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5435" yWindow="-300" windowWidth="15300" windowHeight="11295" tabRatio="600" firstSheet="0" activeTab="3" autoFilterDateGrouping="1"/>
  </bookViews>
  <sheets>
    <sheet xmlns:r="http://schemas.openxmlformats.org/officeDocument/2006/relationships" name="Claude Log" sheetId="1" state="visible" r:id="rId1"/>
    <sheet xmlns:r="http://schemas.openxmlformats.org/officeDocument/2006/relationships" name="グラフ1" sheetId="2" state="visible" r:id="rId2"/>
    <sheet xmlns:r="http://schemas.openxmlformats.org/officeDocument/2006/relationships" name="Sheet2" sheetId="3" state="visible" r:id="rId3"/>
    <sheet xmlns:r="http://schemas.openxmlformats.org/officeDocument/2006/relationships" name="Sheet1" sheetId="4" state="visible" r:id="rId4"/>
    <sheet xmlns:r="http://schemas.openxmlformats.org/officeDocument/2006/relationships" name="keisannyou " sheetId="5" state="visible" r:id="rId5"/>
  </sheets>
  <definedNames/>
  <calcPr calcId="191029" fullCalcOnLoad="1"/>
  <pivotCaches>
    <pivotCache xmlns:r="http://schemas.openxmlformats.org/officeDocument/2006/relationships" cacheId="0" r:id="rId6"/>
  </pivotCaches>
</workbook>
</file>

<file path=xl/styles.xml><?xml version="1.0" encoding="utf-8"?>
<styleSheet xmlns="http://schemas.openxmlformats.org/spreadsheetml/2006/main">
  <numFmts count="3">
    <numFmt numFmtId="164" formatCode="_ * #,##0_ ;_ * \-#,##0_ ;_ * &quot;-&quot;_ ;_ @_ "/>
    <numFmt numFmtId="165" formatCode="_ &quot;¥&quot;* #,##0_ ;_ &quot;¥&quot;* \-#,##0_ ;_ &quot;¥&quot;* &quot;-&quot;_ ;_ @_ "/>
    <numFmt numFmtId="166" formatCode="m/d/yyyy"/>
  </numFmts>
  <fonts count="20"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b val="1"/>
      <color rgb="FFFA7D00"/>
      <sz val="11"/>
      <scheme val="minor"/>
    </font>
    <font>
      <name val="ＭＳ Ｐゴシック"/>
      <charset val="128"/>
      <family val="2"/>
      <color rgb="FFFF0000"/>
      <sz val="11"/>
      <scheme val="minor"/>
    </font>
    <font>
      <name val="ＭＳ Ｐゴシック"/>
      <charset val="128"/>
      <family val="2"/>
      <sz val="6"/>
      <scheme val="minor"/>
    </font>
    <font>
      <name val="ＭＳ Ｐゴシック"/>
      <charset val="128"/>
      <family val="3"/>
      <color rgb="FFFF0000"/>
      <sz val="11"/>
      <scheme val="minor"/>
    </font>
    <font>
      <name val="ＭＳ Ｐゴシック"/>
      <charset val="128"/>
      <family val="2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3"/>
      <sz val="11"/>
      <scheme val="minor"/>
    </font>
    <font>
      <name val="ＭＳ Ｐゴシック"/>
      <charset val="128"/>
      <family val="2"/>
      <color theme="10"/>
      <sz val="11"/>
      <u val="single"/>
      <scheme val="minor"/>
    </font>
    <font>
      <name val="ＭＳ Ｐゴシック"/>
      <charset val="128"/>
      <family val="2"/>
      <color rgb="FFED0000"/>
      <sz val="11"/>
      <scheme val="minor"/>
    </font>
    <font>
      <name val="ＭＳ Ｐゴシック"/>
      <charset val="128"/>
      <family val="3"/>
      <color rgb="FFED0000"/>
      <sz val="11"/>
      <scheme val="minor"/>
    </font>
    <font>
      <name val="ＭＳ Ｐゴシック"/>
      <charset val="128"/>
      <family val="2"/>
      <b val="1"/>
      <color theme="1"/>
      <sz val="11"/>
      <scheme val="minor"/>
    </font>
    <font>
      <name val="ＭＳ Ｐゴシック"/>
      <charset val="128"/>
      <family val="3"/>
      <color rgb="FF595959"/>
      <sz val="11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color rgb="FF595959"/>
      <sz val="11"/>
    </font>
    <font>
      <name val="ＭＳ Ｐゴシック"/>
      <charset val="128"/>
      <family val="3"/>
      <color rgb="FF000000"/>
      <sz val="11"/>
    </font>
    <font>
      <name val="ＭＳ Ｐゴシック"/>
      <charset val="128"/>
      <family val="3"/>
      <color rgb="FFFF0000"/>
      <sz val="11"/>
    </font>
    <font>
      <name val="ＭＳ Ｐゴシック"/>
      <color rgb="FF000000"/>
      <sz val="11"/>
    </font>
    <font>
      <name val="ＭＳ Ｐゴシック"/>
      <color rgb="FF595959"/>
      <sz val="11"/>
    </font>
    <font>
      <name val="ＭＳ Ｐゴシック"/>
      <sz val="11"/>
    </font>
  </fonts>
  <fills count="4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4">
    <xf numFmtId="0" fontId="6" fillId="0" borderId="0" applyAlignment="1">
      <alignment vertical="center"/>
    </xf>
    <xf numFmtId="0" fontId="1" fillId="2" borderId="1" applyAlignment="1">
      <alignment vertical="center"/>
    </xf>
    <xf numFmtId="38" fontId="6" fillId="0" borderId="0" applyAlignment="1">
      <alignment vertical="center"/>
    </xf>
    <xf numFmtId="0" fontId="8" fillId="0" borderId="0" applyAlignment="1">
      <alignment vertical="center"/>
    </xf>
  </cellStyleXfs>
  <cellXfs count="92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9" fontId="0" fillId="0" borderId="0" applyAlignment="1" pivotButton="0" quotePrefix="0" xfId="0">
      <alignment vertical="center"/>
    </xf>
    <xf numFmtId="9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horizontal="center" vertical="center" shrinkToFit="1"/>
    </xf>
    <xf numFmtId="164" fontId="2" fillId="0" borderId="0" applyAlignment="1" pivotButton="0" quotePrefix="0" xfId="0">
      <alignment vertical="center"/>
    </xf>
    <xf numFmtId="0" fontId="1" fillId="2" borderId="0" applyAlignment="1" pivotButton="0" quotePrefix="0" xfId="1">
      <alignment horizontal="center" vertical="center"/>
    </xf>
    <xf numFmtId="56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5" fontId="2" fillId="0" borderId="0" applyAlignment="1" pivotButton="0" quotePrefix="0" xfId="0">
      <alignment vertical="center"/>
    </xf>
    <xf numFmtId="9" fontId="2" fillId="0" borderId="0" applyAlignment="1" pivotButton="0" quotePrefix="0" xfId="0">
      <alignment vertical="center"/>
    </xf>
    <xf numFmtId="165" fontId="2" fillId="0" borderId="0" applyAlignment="1" pivotButton="0" quotePrefix="0" xfId="0">
      <alignment horizontal="center" vertical="center"/>
    </xf>
    <xf numFmtId="9" fontId="2" fillId="0" borderId="0" applyAlignment="1" pivotButton="0" quotePrefix="0" xfId="0">
      <alignment horizontal="center" vertical="center"/>
    </xf>
    <xf numFmtId="9" fontId="0" fillId="0" borderId="0" applyAlignment="1" pivotButton="0" quotePrefix="0" xfId="0">
      <alignment horizontal="right" vertical="center"/>
    </xf>
    <xf numFmtId="164" fontId="2" fillId="0" borderId="0" applyAlignment="1" pivotButton="0" quotePrefix="0" xfId="0">
      <alignment horizontal="center" vertical="center"/>
    </xf>
    <xf numFmtId="164" fontId="4" fillId="0" borderId="0" applyAlignment="1" pivotButton="0" quotePrefix="0" xfId="0">
      <alignment vertical="center"/>
    </xf>
    <xf numFmtId="0" fontId="1" fillId="2" borderId="2" applyAlignment="1" pivotButton="0" quotePrefix="0" xfId="1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2" fillId="0" borderId="0" applyAlignment="1" pivotButton="0" quotePrefix="0" xfId="0">
      <alignment horizontal="center" vertical="center" shrinkToFit="1"/>
    </xf>
    <xf numFmtId="0" fontId="1" fillId="2" borderId="0" applyAlignment="1" pivotButton="0" quotePrefix="0" xfId="1">
      <alignment horizontal="center" vertical="center" shrinkToFit="1"/>
    </xf>
    <xf numFmtId="0" fontId="0" fillId="0" borderId="0" applyAlignment="1" pivotButton="0" quotePrefix="0" xfId="0">
      <alignment horizontal="left" vertical="center" shrinkToFit="1"/>
    </xf>
    <xf numFmtId="164" fontId="5" fillId="0" borderId="0" applyAlignment="1" pivotButton="0" quotePrefix="0" xfId="0">
      <alignment vertical="center"/>
    </xf>
    <xf numFmtId="38" fontId="5" fillId="0" borderId="0" applyAlignment="1" pivotButton="0" quotePrefix="0" xfId="2">
      <alignment vertical="center"/>
    </xf>
    <xf numFmtId="164" fontId="5" fillId="0" borderId="0" applyAlignment="1" pivotButton="0" quotePrefix="0" xfId="2">
      <alignment vertical="center"/>
    </xf>
    <xf numFmtId="0" fontId="2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center" vertical="center" shrinkToFit="1"/>
    </xf>
    <xf numFmtId="0" fontId="5" fillId="0" borderId="0" applyAlignment="1" pivotButton="0" quotePrefix="0" xfId="0">
      <alignment horizontal="center" vertical="center"/>
    </xf>
    <xf numFmtId="164" fontId="7" fillId="0" borderId="0" applyAlignment="1" pivotButton="0" quotePrefix="0" xfId="0">
      <alignment vertical="center"/>
    </xf>
    <xf numFmtId="0" fontId="8" fillId="0" borderId="0" applyAlignment="1" pivotButton="0" quotePrefix="0" xfId="3">
      <alignment horizontal="center" vertical="center" shrinkToFit="1"/>
    </xf>
    <xf numFmtId="0" fontId="8" fillId="0" borderId="0" applyAlignment="1" pivotButton="0" quotePrefix="0" xfId="3">
      <alignment vertical="center"/>
    </xf>
    <xf numFmtId="165" fontId="5" fillId="0" borderId="0" applyAlignment="1" pivotButton="0" quotePrefix="0" xfId="0">
      <alignment horizontal="center" vertical="center"/>
    </xf>
    <xf numFmtId="164" fontId="2" fillId="3" borderId="0" applyAlignment="1" pivotButton="0" quotePrefix="0" xfId="0">
      <alignment vertical="center"/>
    </xf>
    <xf numFmtId="38" fontId="0" fillId="0" borderId="0" applyAlignment="1" pivotButton="0" quotePrefix="0" xfId="2">
      <alignment vertical="center"/>
    </xf>
    <xf numFmtId="0" fontId="0" fillId="0" borderId="0" applyAlignment="1" pivotButton="1" quotePrefix="0" xfId="0">
      <alignment vertical="center"/>
    </xf>
    <xf numFmtId="0" fontId="0" fillId="0" borderId="0" applyAlignment="1" pivotButton="0" quotePrefix="0" xfId="0">
      <alignment horizontal="left" vertical="center"/>
    </xf>
    <xf numFmtId="164" fontId="9" fillId="0" borderId="0" applyAlignment="1" pivotButton="0" quotePrefix="0" xfId="0">
      <alignment vertical="center"/>
    </xf>
    <xf numFmtId="165" fontId="9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165" fontId="9" fillId="0" borderId="0" applyAlignment="1" pivotButton="0" quotePrefix="0" xfId="0">
      <alignment horizontal="center" vertical="center"/>
    </xf>
    <xf numFmtId="38" fontId="9" fillId="0" borderId="0" applyAlignment="1" pivotButton="0" quotePrefix="0" xfId="2">
      <alignment vertical="center"/>
    </xf>
    <xf numFmtId="164" fontId="10" fillId="0" borderId="0" applyAlignment="1" pivotButton="0" quotePrefix="0" xfId="0">
      <alignment vertical="center"/>
    </xf>
    <xf numFmtId="164" fontId="1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/>
    </xf>
    <xf numFmtId="14" fontId="0" fillId="0" borderId="0" applyAlignment="1" pivotButton="0" quotePrefix="0" xfId="0">
      <alignment vertical="center"/>
    </xf>
    <xf numFmtId="166" fontId="0" fillId="0" borderId="0" applyAlignment="1" pivotButton="0" quotePrefix="0" xfId="0">
      <alignment vertical="center"/>
    </xf>
    <xf numFmtId="0" fontId="0" fillId="0" borderId="0" pivotButton="0" quotePrefix="0" xfId="0"/>
    <xf numFmtId="0" fontId="6" fillId="0" borderId="0" pivotButton="0" quotePrefix="0" xfId="0"/>
    <xf numFmtId="165" fontId="6" fillId="0" borderId="0" applyAlignment="1" pivotButton="0" quotePrefix="0" xfId="0">
      <alignment horizontal="center" vertical="center"/>
    </xf>
    <xf numFmtId="9" fontId="6" fillId="0" borderId="0" applyAlignment="1" pivotButton="0" quotePrefix="0" xfId="0">
      <alignment horizontal="center" vertical="center"/>
    </xf>
    <xf numFmtId="165" fontId="6" fillId="0" borderId="0" applyAlignment="1" pivotButton="0" quotePrefix="0" xfId="0">
      <alignment vertical="center"/>
    </xf>
    <xf numFmtId="164" fontId="12" fillId="0" borderId="0" applyAlignment="1" pivotButton="0" quotePrefix="0" xfId="0">
      <alignment vertical="center"/>
    </xf>
    <xf numFmtId="165" fontId="12" fillId="0" borderId="0" applyAlignment="1" pivotButton="0" quotePrefix="0" xfId="0">
      <alignment horizontal="center" vertical="center"/>
    </xf>
    <xf numFmtId="165" fontId="13" fillId="0" borderId="0" applyAlignment="1" pivotButton="0" quotePrefix="0" xfId="0">
      <alignment horizontal="center" vertical="center"/>
    </xf>
    <xf numFmtId="165" fontId="14" fillId="0" borderId="0" applyAlignment="1" pivotButton="0" quotePrefix="0" xfId="0">
      <alignment horizontal="center" vertical="center"/>
    </xf>
    <xf numFmtId="165" fontId="1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4" fontId="16" fillId="0" borderId="0" applyAlignment="1" pivotButton="0" quotePrefix="0" xfId="0">
      <alignment vertical="center"/>
    </xf>
    <xf numFmtId="166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horizontal="center" vertical="center" shrinkToFit="1"/>
    </xf>
    <xf numFmtId="164" fontId="2" fillId="0" borderId="0" applyAlignment="1" pivotButton="0" quotePrefix="0" xfId="0">
      <alignment vertical="center"/>
    </xf>
    <xf numFmtId="164" fontId="0" fillId="0" borderId="0" applyAlignment="1" pivotButton="0" quotePrefix="0" xfId="0">
      <alignment vertical="center"/>
    </xf>
    <xf numFmtId="164" fontId="10" fillId="0" borderId="0" applyAlignment="1" pivotButton="0" quotePrefix="0" xfId="0">
      <alignment vertical="center"/>
    </xf>
    <xf numFmtId="165" fontId="2" fillId="0" borderId="0" applyAlignment="1" pivotButton="0" quotePrefix="0" xfId="0">
      <alignment vertical="center"/>
    </xf>
    <xf numFmtId="165" fontId="0" fillId="0" borderId="0" applyAlignment="1" pivotButton="0" quotePrefix="0" xfId="0">
      <alignment horizontal="center" vertical="center"/>
    </xf>
    <xf numFmtId="164" fontId="9" fillId="0" borderId="0" applyAlignment="1" pivotButton="0" quotePrefix="0" xfId="0">
      <alignment vertical="center"/>
    </xf>
    <xf numFmtId="165" fontId="2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10" fillId="0" borderId="0" applyAlignment="1" pivotButton="0" quotePrefix="0" xfId="0">
      <alignment horizontal="center" vertical="center"/>
    </xf>
    <xf numFmtId="164" fontId="5" fillId="0" borderId="0" applyAlignment="1" pivotButton="0" quotePrefix="0" xfId="0">
      <alignment vertical="center"/>
    </xf>
    <xf numFmtId="164" fontId="5" fillId="0" borderId="0" applyAlignment="1" pivotButton="0" quotePrefix="0" xfId="2">
      <alignment vertical="center"/>
    </xf>
    <xf numFmtId="165" fontId="9" fillId="0" borderId="0" applyAlignment="1" pivotButton="0" quotePrefix="0" xfId="0">
      <alignment vertical="center"/>
    </xf>
    <xf numFmtId="164" fontId="7" fillId="0" borderId="0" applyAlignment="1" pivotButton="0" quotePrefix="0" xfId="0">
      <alignment vertical="center"/>
    </xf>
    <xf numFmtId="164" fontId="4" fillId="0" borderId="0" applyAlignment="1" pivotButton="0" quotePrefix="0" xfId="0">
      <alignment vertical="center"/>
    </xf>
    <xf numFmtId="165" fontId="9" fillId="0" borderId="0" applyAlignment="1" pivotButton="0" quotePrefix="0" xfId="0">
      <alignment horizontal="center" vertical="center"/>
    </xf>
    <xf numFmtId="165" fontId="5" fillId="0" borderId="0" applyAlignment="1" pivotButton="0" quotePrefix="0" xfId="0">
      <alignment horizontal="center" vertical="center"/>
    </xf>
    <xf numFmtId="164" fontId="2" fillId="3" borderId="0" applyAlignment="1" pivotButton="0" quotePrefix="0" xfId="0">
      <alignment vertical="center"/>
    </xf>
    <xf numFmtId="165" fontId="6" fillId="0" borderId="0" applyAlignment="1" pivotButton="0" quotePrefix="0" xfId="0">
      <alignment horizontal="center" vertical="center"/>
    </xf>
    <xf numFmtId="165" fontId="6" fillId="0" borderId="0" applyAlignment="1" pivotButton="0" quotePrefix="0" xfId="0">
      <alignment vertical="center"/>
    </xf>
    <xf numFmtId="164" fontId="12" fillId="0" borderId="0" applyAlignment="1" pivotButton="0" quotePrefix="0" xfId="0">
      <alignment vertical="center"/>
    </xf>
    <xf numFmtId="165" fontId="13" fillId="0" borderId="0" applyAlignment="1" pivotButton="0" quotePrefix="0" xfId="0">
      <alignment horizontal="center" vertical="center"/>
    </xf>
    <xf numFmtId="164" fontId="16" fillId="0" borderId="0" applyAlignment="1" pivotButton="0" quotePrefix="0" xfId="0">
      <alignment vertical="center"/>
    </xf>
    <xf numFmtId="165" fontId="15" fillId="0" borderId="0" applyAlignment="1" pivotButton="0" quotePrefix="0" xfId="0">
      <alignment horizontal="center" vertical="center"/>
    </xf>
    <xf numFmtId="165" fontId="14" fillId="0" borderId="0" applyAlignment="1" pivotButton="0" quotePrefix="0" xfId="0">
      <alignment horizontal="center" vertical="center"/>
    </xf>
    <xf numFmtId="165" fontId="12" fillId="0" borderId="0" applyAlignment="1" pivotButton="0" quotePrefix="0" xfId="0">
      <alignment horizontal="center" vertical="center"/>
    </xf>
    <xf numFmtId="165" fontId="17" fillId="0" borderId="0" applyAlignment="1" pivotButton="0" quotePrefix="0" xfId="0">
      <alignment horizontal="center" vertical="center"/>
    </xf>
    <xf numFmtId="164" fontId="18" fillId="0" borderId="0" applyAlignment="1" pivotButton="0" quotePrefix="0" xfId="0">
      <alignment vertical="center"/>
    </xf>
    <xf numFmtId="0" fontId="19" fillId="0" borderId="0" pivotButton="0" quotePrefix="0" xfId="0"/>
  </cellXfs>
  <cellStyles count="4">
    <cellStyle name="標準" xfId="0" builtinId="0"/>
    <cellStyle name="計算" xfId="1" builtinId="22"/>
    <cellStyle name="桁区切り" xfId="2" builtinId="6"/>
    <cellStyle name="ハイパーリンク" xfId="3" builtinId="8"/>
  </cellStyles>
  <dxfs count="216"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font>
        <name val="ＭＳ Ｐゴシック"/>
        <charset val="128"/>
        <family val="2"/>
        <strike val="0"/>
        <outline val="0"/>
        <shadow val="0"/>
        <condense val="0"/>
        <color rgb="FFED0000"/>
        <extend val="0"/>
        <sz val="11"/>
        <vertAlign val="baseline"/>
        <scheme val="minor"/>
      </font>
      <numFmt numFmtId="33" formatCode="_ * #,##0_ ;_ * \-#,##0_ ;_ * &quot;-&quot;_ ;_ @_ "/>
    </dxf>
    <dxf>
      <numFmt numFmtId="33" formatCode="_ * #,##0_ ;_ * \-#,##0_ ;_ * &quot;-&quot;_ ;_ @_ "/>
    </dxf>
    <dxf>
      <font>
        <name val="ＭＳ Ｐゴシック"/>
        <charset val="128"/>
        <family val="3"/>
        <strike val="0"/>
        <outline val="0"/>
        <shadow val="0"/>
        <condense val="0"/>
        <color rgb="FFED0000"/>
        <extend val="0"/>
        <sz val="11"/>
        <vertAlign val="baseline"/>
        <scheme val="minor"/>
      </font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2" formatCode="_ &quot;¥&quot;* #,##0_ ;_ &quot;¥&quot;* \-#,##0_ ;_ &quot;¥&quot;* &quot;-&quot;_ ;_ @_ "/>
    </dxf>
    <dxf>
      <numFmt numFmtId="13" formatCode="0%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alignment horizontal="center" vertical="center"/>
    </dxf>
    <dxf>
      <alignment horizontal="center" vertical="center" shrinkToFit="1"/>
    </dxf>
    <dxf>
      <alignment horizontal="center" vertical="center" shrinkToFit="1"/>
    </dxf>
    <dxf>
      <alignment horizontal="center" vertical="center" shrinkToFit="1"/>
    </dxf>
    <dxf>
      <alignment horizontal="general" vertical="bottom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font>
        <name val="ＭＳ Ｐゴシック"/>
        <charset val="128"/>
        <family val="3"/>
        <strike val="0"/>
        <outline val="0"/>
        <shadow val="0"/>
        <color rgb="FFFF0000"/>
        <sz val="11"/>
        <vertAlign val="baseline"/>
        <scheme val="minor"/>
      </font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2" formatCode="_ &quot;¥&quot;* #,##0_ ;_ &quot;¥&quot;* \-#,##0_ ;_ &quot;¥&quot;* &quot;-&quot;_ ;_ @_ "/>
      <fill>
        <patternFill>
          <fgColor indexed="64"/>
          <bgColor indexed="65"/>
        </patternFill>
      </fill>
    </dxf>
    <dxf>
      <numFmt numFmtId="13" formatCode="0%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alignment horizontal="center" vertical="center"/>
    </dxf>
    <dxf>
      <alignment horizontal="center" vertical="center" shrinkToFit="1"/>
    </dxf>
    <dxf>
      <alignment horizontal="center" vertical="center"/>
    </dxf>
    <dxf>
      <alignment horizontal="center" vertical="center" shrinkToFit="1"/>
    </dxf>
    <dxf>
      <alignment horizontal="center" vertical="center" shrinkToFi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font>
        <name val="ＭＳ Ｐゴシック"/>
        <charset val="128"/>
        <family val="3"/>
        <strike val="0"/>
        <outline val="0"/>
        <shadow val="0"/>
        <color rgb="FFFF0000"/>
        <sz val="11"/>
        <vertAlign val="baseline"/>
        <scheme val="minor"/>
      </font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3" formatCode="_ * #,##0_ ;_ * \-#,##0_ ;_ * &quot;-&quot;_ ;_ @_ "/>
    </dxf>
    <dxf>
      <numFmt numFmtId="32" formatCode="_ &quot;¥&quot;* #,##0_ ;_ &quot;¥&quot;* \-#,##0_ ;_ &quot;¥&quot;* &quot;-&quot;_ ;_ @_ "/>
      <fill>
        <patternFill>
          <fgColor indexed="64"/>
          <bgColor indexed="65"/>
        </patternFill>
      </fill>
    </dxf>
    <dxf>
      <numFmt numFmtId="13" formatCode="0%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numFmt numFmtId="32" formatCode="_ &quot;¥&quot;* #,##0_ ;_ &quot;¥&quot;* \-#,##0_ ;_ &quot;¥&quot;* &quot;-&quot;_ ;_ @_ "/>
      <alignment horizontal="center" vertical="center"/>
    </dxf>
    <dxf>
      <alignment horizontal="center" vertical="center"/>
    </dxf>
    <dxf>
      <alignment horizontal="center" vertical="center" shrinkToFit="1"/>
    </dxf>
    <dxf>
      <alignment horizontal="center" vertical="center" shrinkToFit="1"/>
    </dxf>
    <dxf>
      <alignment horizontal="center" vertical="center" shrinkToFit="1"/>
    </dxf>
    <dxf>
      <alignment horizontal="center" vertical="center" shrinkToFit="1"/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chartsheet" Target="/xl/chartsheets/sheet1.xml" Id="rId2"/><Relationship Type="http://schemas.openxmlformats.org/officeDocument/2006/relationships/worksheet" Target="/xl/worksheets/sheet2.xml" Id="rId3"/><Relationship Type="http://schemas.openxmlformats.org/officeDocument/2006/relationships/worksheet" Target="/xl/worksheets/sheet3.xml" Id="rId4"/><Relationship Type="http://schemas.openxmlformats.org/officeDocument/2006/relationships/worksheet" Target="/xl/worksheets/sheet4.xml" Id="rId5"/><Relationship Type="http://schemas.openxmlformats.org/officeDocument/2006/relationships/pivotCacheDefinition" Target="/xl/pivotCache/pivotCacheDefinition1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Sheet1!$I$3</f>
              <strCache>
                <ptCount val="1"/>
                <pt idx="0">
                  <v xml:space="preserve"> 支払計 税抜2 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Sheet1!$I$4:$I$1104</f>
              <numCache>
                <formatCode>_("¥"* #,##0_);_("¥"* \(#,##0\);_("¥"* "-"_);_(@_)</formatCode>
                <ptCount val="1101"/>
                <pt idx="0">
                  <v>1401300</v>
                </pt>
                <pt idx="1">
                  <v>993200</v>
                </pt>
                <pt idx="2">
                  <v>120000</v>
                </pt>
                <pt idx="3">
                  <v>2162956</v>
                </pt>
                <pt idx="4">
                  <v>66000</v>
                </pt>
                <pt idx="5">
                  <v>10000</v>
                </pt>
                <pt idx="6">
                  <v>17000</v>
                </pt>
                <pt idx="7">
                  <v>10000</v>
                </pt>
                <pt idx="8">
                  <v>15000</v>
                </pt>
                <pt idx="9">
                  <v>7000</v>
                </pt>
                <pt idx="10">
                  <v>12000</v>
                </pt>
                <pt idx="11">
                  <v>9000</v>
                </pt>
                <pt idx="12">
                  <v>5000</v>
                </pt>
                <pt idx="13">
                  <v>8000</v>
                </pt>
                <pt idx="14">
                  <v>5000</v>
                </pt>
                <pt idx="15">
                  <v>172000</v>
                </pt>
                <pt idx="16">
                  <v>30000</v>
                </pt>
                <pt idx="17">
                  <v>120000</v>
                </pt>
                <pt idx="18">
                  <v>155000</v>
                </pt>
                <pt idx="19">
                  <v>1093700</v>
                </pt>
                <pt idx="20">
                  <v>156000</v>
                </pt>
                <pt idx="21">
                  <v>6568156</v>
                </pt>
                <pt idx="24">
                  <v>830800</v>
                </pt>
                <pt idx="25">
                  <v>1333110</v>
                </pt>
                <pt idx="26">
                  <v>438740</v>
                </pt>
                <pt idx="27">
                  <v>2606180</v>
                </pt>
                <pt idx="28">
                  <v>1045000</v>
                </pt>
                <pt idx="29">
                  <v>6253830</v>
                </pt>
                <pt idx="32">
                  <v>1282700</v>
                </pt>
                <pt idx="33">
                  <v>2133700</v>
                </pt>
                <pt idx="34">
                  <v>2230000</v>
                </pt>
                <pt idx="35">
                  <v>3191517</v>
                </pt>
                <pt idx="36">
                  <v>8837917</v>
                </pt>
                <pt idx="37">
                  <v>0</v>
                </pt>
                <pt idx="38">
                  <v>1354100</v>
                </pt>
                <pt idx="39">
                  <v>1354800</v>
                </pt>
                <pt idx="40">
                  <v>1605500</v>
                </pt>
                <pt idx="41">
                  <v>1542700</v>
                </pt>
                <pt idx="42">
                  <v>5857100</v>
                </pt>
                <pt idx="43">
                  <v>0</v>
                </pt>
                <pt idx="44">
                  <v>0</v>
                </pt>
                <pt idx="45">
                  <v>1066700</v>
                </pt>
                <pt idx="46">
                  <v>1467500</v>
                </pt>
                <pt idx="47">
                  <v>1025200</v>
                </pt>
                <pt idx="48">
                  <v>999360</v>
                </pt>
                <pt idx="49">
                  <v>1299900</v>
                </pt>
                <pt idx="50">
                  <v>1145710</v>
                </pt>
                <pt idx="51">
                  <v>1175750</v>
                </pt>
                <pt idx="52">
                  <v>1489500</v>
                </pt>
                <pt idx="53">
                  <v>1559000</v>
                </pt>
                <pt idx="54">
                  <v>11228620</v>
                </pt>
                <pt idx="57">
                  <v>9161362</v>
                </pt>
                <pt idx="58">
                  <v>1351200</v>
                </pt>
                <pt idx="59">
                  <v>938480</v>
                </pt>
                <pt idx="60">
                  <v>1289700</v>
                </pt>
                <pt idx="61">
                  <v>225000</v>
                </pt>
                <pt idx="62">
                  <v>12965742</v>
                </pt>
                <pt idx="63">
                  <v>0</v>
                </pt>
                <pt idx="64">
                  <v>0</v>
                </pt>
                <pt idx="65">
                  <v>2214500</v>
                </pt>
                <pt idx="66">
                  <v>960800</v>
                </pt>
                <pt idx="67">
                  <v>1322620</v>
                </pt>
                <pt idx="68">
                  <v>4497920</v>
                </pt>
                <pt idx="71">
                  <v>1005000</v>
                </pt>
                <pt idx="72">
                  <v>1921300</v>
                </pt>
                <pt idx="73">
                  <v>1175460</v>
                </pt>
                <pt idx="74">
                  <v>1132300</v>
                </pt>
                <pt idx="75">
                  <v>1308900</v>
                </pt>
                <pt idx="76">
                  <v>1183300</v>
                </pt>
                <pt idx="77">
                  <v>225000</v>
                </pt>
                <pt idx="78">
                  <v>213000</v>
                </pt>
                <pt idx="79">
                  <v>8164260</v>
                </pt>
                <pt idx="81">
                  <v>155000</v>
                </pt>
                <pt idx="82">
                  <v>155000</v>
                </pt>
                <pt idx="83">
                  <v>30000</v>
                </pt>
                <pt idx="84">
                  <v>1212200</v>
                </pt>
                <pt idx="85">
                  <v>1121300</v>
                </pt>
                <pt idx="87">
                  <v>415000</v>
                </pt>
                <pt idx="88">
                  <v>676930</v>
                </pt>
                <pt idx="89">
                  <v>438960</v>
                </pt>
                <pt idx="90">
                  <v>1361700</v>
                </pt>
                <pt idx="91">
                  <v>1189700</v>
                </pt>
                <pt idx="92">
                  <v>329000</v>
                </pt>
                <pt idx="93">
                  <v>7084790</v>
                </pt>
                <pt idx="96">
                  <v>1222200</v>
                </pt>
                <pt idx="97">
                  <v>1272600</v>
                </pt>
                <pt idx="98">
                  <v>1230600</v>
                </pt>
                <pt idx="99">
                  <v>495000</v>
                </pt>
                <pt idx="100">
                  <v>306000</v>
                </pt>
                <pt idx="101">
                  <v>1020887</v>
                </pt>
                <pt idx="102">
                  <v>1400660</v>
                </pt>
                <pt idx="103">
                  <v>1289200</v>
                </pt>
                <pt idx="104">
                  <v>1156800</v>
                </pt>
                <pt idx="105">
                  <v>1182500</v>
                </pt>
                <pt idx="106">
                  <v>30000</v>
                </pt>
                <pt idx="107">
                  <v>10606447</v>
                </pt>
                <pt idx="108">
                  <v>0</v>
                </pt>
                <pt idx="109">
                  <v>0</v>
                </pt>
                <pt idx="110">
                  <v>1284200</v>
                </pt>
                <pt idx="111">
                  <v>1104400</v>
                </pt>
                <pt idx="112">
                  <v>480150</v>
                </pt>
                <pt idx="113">
                  <v>543450</v>
                </pt>
                <pt idx="114">
                  <v>3412200</v>
                </pt>
                <pt idx="115">
                  <v>0</v>
                </pt>
                <pt idx="116">
                  <v>0</v>
                </pt>
                <pt idx="117">
                  <v>1086300</v>
                </pt>
                <pt idx="118">
                  <v>812650</v>
                </pt>
                <pt idx="119">
                  <v>1577446</v>
                </pt>
                <pt idx="120">
                  <v>1549206</v>
                </pt>
                <pt idx="121">
                  <v>5025602</v>
                </pt>
                <pt idx="123">
                  <v>0</v>
                </pt>
                <pt idx="124">
                  <v>0</v>
                </pt>
                <pt idx="125">
                  <v>659168</v>
                </pt>
                <pt idx="126">
                  <v>355592</v>
                </pt>
                <pt idx="127">
                  <v>1014760</v>
                </pt>
                <pt idx="130">
                  <v>360000</v>
                </pt>
                <pt idx="131">
                  <v>1191500</v>
                </pt>
                <pt idx="132">
                  <v>220000</v>
                </pt>
                <pt idx="133">
                  <v>225160</v>
                </pt>
                <pt idx="134">
                  <v>1996660</v>
                </pt>
                <pt idx="137">
                  <v>1499222</v>
                </pt>
                <pt idx="138">
                  <v>96000</v>
                </pt>
                <pt idx="139">
                  <v>104996</v>
                </pt>
                <pt idx="140">
                  <v>1700218</v>
                </pt>
                <pt idx="144">
                  <v>1112600</v>
                </pt>
                <pt idx="145">
                  <v>1099100</v>
                </pt>
                <pt idx="146">
                  <v>919450</v>
                </pt>
                <pt idx="147">
                  <v>896350</v>
                </pt>
                <pt idx="148">
                  <v>586825</v>
                </pt>
                <pt idx="149">
                  <v>586825</v>
                </pt>
                <pt idx="150">
                  <v>0</v>
                </pt>
                <pt idx="151">
                  <v>170860</v>
                </pt>
                <pt idx="152">
                  <v>5372010</v>
                </pt>
                <pt idx="154">
                  <v>1405920</v>
                </pt>
                <pt idx="155">
                  <v>1211700</v>
                </pt>
                <pt idx="156">
                  <v>153000</v>
                </pt>
                <pt idx="157">
                  <v>797100</v>
                </pt>
                <pt idx="158">
                  <v>286816</v>
                </pt>
                <pt idx="159">
                  <v>216000</v>
                </pt>
                <pt idx="160">
                  <v>138596</v>
                </pt>
                <pt idx="161">
                  <v>43000</v>
                </pt>
                <pt idx="162">
                  <v>358500</v>
                </pt>
                <pt idx="163">
                  <v>4610632</v>
                </pt>
                <pt idx="165">
                  <v>210000</v>
                </pt>
                <pt idx="166">
                  <v>1998300</v>
                </pt>
                <pt idx="167">
                  <v>329000</v>
                </pt>
                <pt idx="168">
                  <v>2537300</v>
                </pt>
                <pt idx="171">
                  <v>375000</v>
                </pt>
                <pt idx="172">
                  <v>556337</v>
                </pt>
                <pt idx="173">
                  <v>1187400</v>
                </pt>
                <pt idx="174">
                  <v>1880400</v>
                </pt>
                <pt idx="175">
                  <v>3999137</v>
                </pt>
                <pt idx="178">
                  <v>1498600</v>
                </pt>
                <pt idx="179">
                  <v>178966</v>
                </pt>
                <pt idx="180">
                  <v>546600</v>
                </pt>
                <pt idx="181">
                  <v>2224166</v>
                </pt>
                <pt idx="185">
                  <v>1230200</v>
                </pt>
                <pt idx="186">
                  <v>1112000</v>
                </pt>
                <pt idx="187">
                  <v>434507</v>
                </pt>
                <pt idx="188">
                  <v>401555</v>
                </pt>
                <pt idx="189">
                  <v>3178262</v>
                </pt>
                <pt idx="192">
                  <v>885100</v>
                </pt>
                <pt idx="193">
                  <v>0</v>
                </pt>
                <pt idx="194">
                  <v>1000400</v>
                </pt>
                <pt idx="195">
                  <v>383075</v>
                </pt>
                <pt idx="196">
                  <v>1156400</v>
                </pt>
                <pt idx="197">
                  <v>1499950</v>
                </pt>
                <pt idx="198">
                  <v>60000</v>
                </pt>
                <pt idx="199">
                  <v>123000</v>
                </pt>
                <pt idx="200">
                  <v>2839350</v>
                </pt>
                <pt idx="203">
                  <v>290170</v>
                </pt>
                <pt idx="204">
                  <v>156678</v>
                </pt>
                <pt idx="205">
                  <v>662019</v>
                </pt>
                <pt idx="206">
                  <v>871810</v>
                </pt>
                <pt idx="207">
                  <v>3442298</v>
                </pt>
                <pt idx="208">
                  <v>731200</v>
                </pt>
                <pt idx="209">
                  <v>380000</v>
                </pt>
                <pt idx="210">
                  <v>432073</v>
                </pt>
                <pt idx="211">
                  <v>6966248</v>
                </pt>
                <pt idx="214">
                  <v>285000</v>
                </pt>
                <pt idx="215">
                  <v>320000</v>
                </pt>
                <pt idx="216">
                  <v>605000</v>
                </pt>
                <pt idx="217">
                  <v>366116</v>
                </pt>
                <pt idx="218">
                  <v>185000</v>
                </pt>
                <pt idx="219">
                  <v>250203</v>
                </pt>
                <pt idx="220">
                  <v>2011319</v>
                </pt>
                <pt idx="223">
                  <v>466156</v>
                </pt>
                <pt idx="224">
                  <v>234920</v>
                </pt>
                <pt idx="225">
                  <v>255000</v>
                </pt>
                <pt idx="226">
                  <v>616423</v>
                </pt>
                <pt idx="227">
                  <v>50000</v>
                </pt>
                <pt idx="228">
                  <v>471150</v>
                </pt>
                <pt idx="229">
                  <v>2093649</v>
                </pt>
                <pt idx="232">
                  <v>858771</v>
                </pt>
                <pt idx="233">
                  <v>1931804</v>
                </pt>
                <pt idx="234">
                  <v>3507897</v>
                </pt>
                <pt idx="235">
                  <v>165241</v>
                </pt>
                <pt idx="236">
                  <v>177265</v>
                </pt>
                <pt idx="237">
                  <v>1839022</v>
                </pt>
                <pt idx="238">
                  <v>2660000</v>
                </pt>
                <pt idx="239">
                  <v>189000</v>
                </pt>
                <pt idx="240">
                  <v>1673400</v>
                </pt>
                <pt idx="241">
                  <v>415000</v>
                </pt>
                <pt idx="242">
                  <v>777624</v>
                </pt>
                <pt idx="243">
                  <v>110000</v>
                </pt>
                <pt idx="244">
                  <v>119000</v>
                </pt>
                <pt idx="245">
                  <v>330000</v>
                </pt>
                <pt idx="246">
                  <v>319576</v>
                </pt>
                <pt idx="247">
                  <v>139589</v>
                </pt>
                <pt idx="248">
                  <v>15213189</v>
                </pt>
                <pt idx="249">
                  <v>0</v>
                </pt>
                <pt idx="250">
                  <v>0</v>
                </pt>
                <pt idx="251">
                  <v>355300</v>
                </pt>
                <pt idx="252">
                  <v>409196</v>
                </pt>
                <pt idx="253">
                  <v>713693</v>
                </pt>
                <pt idx="254">
                  <v>38000</v>
                </pt>
                <pt idx="255">
                  <v>1516189</v>
                </pt>
                <pt idx="256">
                  <v>0</v>
                </pt>
                <pt idx="257">
                  <v>129719</v>
                </pt>
                <pt idx="258">
                  <v>78499</v>
                </pt>
                <pt idx="259">
                  <v>118000</v>
                </pt>
                <pt idx="260">
                  <v>76872</v>
                </pt>
                <pt idx="261">
                  <v>1425700</v>
                </pt>
                <pt idx="262">
                  <v>310000</v>
                </pt>
                <pt idx="263">
                  <v>350000</v>
                </pt>
                <pt idx="264">
                  <v>249500</v>
                </pt>
                <pt idx="265">
                  <v>325000</v>
                </pt>
                <pt idx="266">
                  <v>3063290</v>
                </pt>
                <pt idx="268">
                  <v>380000</v>
                </pt>
                <pt idx="269">
                  <v>1260112</v>
                </pt>
                <pt idx="270">
                  <v>294830</v>
                </pt>
                <pt idx="271">
                  <v>1640180</v>
                </pt>
                <pt idx="272">
                  <v>1216337</v>
                </pt>
                <pt idx="273">
                  <v>0</v>
                </pt>
                <pt idx="274">
                  <v>50000</v>
                </pt>
                <pt idx="275">
                  <v>68000</v>
                </pt>
                <pt idx="276">
                  <v>4909459</v>
                </pt>
                <pt idx="278">
                  <v>1725031</v>
                </pt>
                <pt idx="279">
                  <v>190000</v>
                </pt>
                <pt idx="280">
                  <v>266100</v>
                </pt>
                <pt idx="281">
                  <v>45000</v>
                </pt>
                <pt idx="282">
                  <v>222000</v>
                </pt>
                <pt idx="283">
                  <v>38000</v>
                </pt>
                <pt idx="284">
                  <v>2486131</v>
                </pt>
                <pt idx="285">
                  <v>0</v>
                </pt>
                <pt idx="286">
                  <v>4716100</v>
                </pt>
                <pt idx="287">
                  <v>431516</v>
                </pt>
                <pt idx="288">
                  <v>5147616</v>
                </pt>
                <pt idx="291">
                  <v>550000</v>
                </pt>
                <pt idx="292">
                  <v>1064600</v>
                </pt>
                <pt idx="293">
                  <v>1614600</v>
                </pt>
                <pt idx="296">
                  <v>374130</v>
                </pt>
                <pt idx="297">
                  <v>374130</v>
                </pt>
                <pt idx="299">
                  <v>6496500</v>
                </pt>
                <pt idx="300">
                  <v>300000</v>
                </pt>
                <pt idx="301">
                  <v>4347258</v>
                </pt>
                <pt idx="302">
                  <v>615978</v>
                </pt>
                <pt idx="303">
                  <v>219559</v>
                </pt>
                <pt idx="304">
                  <v>11979295</v>
                </pt>
                <pt idx="307">
                  <v>193560</v>
                </pt>
                <pt idx="308">
                  <v>509065</v>
                </pt>
                <pt idx="309">
                  <v>509065</v>
                </pt>
                <pt idx="310">
                  <v>1592076</v>
                </pt>
                <pt idx="311">
                  <v>157840</v>
                </pt>
                <pt idx="312">
                  <v>2961606</v>
                </pt>
                <pt idx="314">
                  <v>256370</v>
                </pt>
                <pt idx="315">
                  <v>824577</v>
                </pt>
                <pt idx="316">
                  <v>1891880</v>
                </pt>
                <pt idx="317">
                  <v>61000</v>
                </pt>
                <pt idx="318">
                  <v>3033827</v>
                </pt>
                <pt idx="320">
                  <v>1179700</v>
                </pt>
                <pt idx="321">
                  <v>1313700</v>
                </pt>
                <pt idx="322">
                  <v>0</v>
                </pt>
                <pt idx="323">
                  <v>21500</v>
                </pt>
                <pt idx="324">
                  <v>1847446</v>
                </pt>
                <pt idx="325">
                  <v>102000</v>
                </pt>
                <pt idx="326">
                  <v>18000</v>
                </pt>
                <pt idx="327">
                  <v>184638</v>
                </pt>
                <pt idx="330">
                  <v>1232206</v>
                </pt>
                <pt idx="331">
                  <v>212716</v>
                </pt>
                <pt idx="332">
                  <v>721687</v>
                </pt>
                <pt idx="333">
                  <v>1436920</v>
                </pt>
                <pt idx="334">
                  <v>781100</v>
                </pt>
                <pt idx="335">
                  <v>155608</v>
                </pt>
                <pt idx="336">
                  <v>89014</v>
                </pt>
                <pt idx="338">
                  <v>885180</v>
                </pt>
                <pt idx="339">
                  <v>476000</v>
                </pt>
                <pt idx="340">
                  <v>50000</v>
                </pt>
                <pt idx="341">
                  <v>35000</v>
                </pt>
                <pt idx="342">
                  <v>50762</v>
                </pt>
                <pt idx="343">
                  <v>138841</v>
                </pt>
                <pt idx="344">
                  <v>135000</v>
                </pt>
                <pt idx="347">
                  <v>1150529</v>
                </pt>
                <pt idx="348">
                  <v>421640</v>
                </pt>
                <pt idx="349">
                  <v>791000</v>
                </pt>
                <pt idx="350">
                  <v>390000</v>
                </pt>
                <pt idx="351">
                  <v>0</v>
                </pt>
                <pt idx="352">
                  <v>347000</v>
                </pt>
                <pt idx="353">
                  <v>540602</v>
                </pt>
                <pt idx="354">
                  <v>178000</v>
                </pt>
                <pt idx="355">
                  <v>193000</v>
                </pt>
                <pt idx="356">
                  <v>0</v>
                </pt>
                <pt idx="357">
                  <v>0</v>
                </pt>
                <pt idx="358">
                  <v>2523300</v>
                </pt>
                <pt idx="359">
                  <v>170000</v>
                </pt>
                <pt idx="360">
                  <v>366796</v>
                </pt>
                <pt idx="361">
                  <v>448962</v>
                </pt>
                <pt idx="362">
                  <v>0</v>
                </pt>
                <pt idx="363">
                  <v>0</v>
                </pt>
                <pt idx="364">
                  <v>1065772</v>
                </pt>
                <pt idx="365">
                  <v>2810847</v>
                </pt>
                <pt idx="366">
                  <v>920569</v>
                </pt>
                <pt idx="367">
                  <v>580258</v>
                </pt>
                <pt idx="368">
                  <v>2944104</v>
                </pt>
                <pt idx="369">
                  <v>1032450</v>
                </pt>
                <pt idx="370">
                  <v>654899</v>
                </pt>
                <pt idx="371">
                  <v>6041385</v>
                </pt>
                <pt idx="372">
                  <v>166100</v>
                </pt>
                <pt idx="373">
                  <v>966200</v>
                </pt>
                <pt idx="374">
                  <v>299230</v>
                </pt>
                <pt idx="377">
                  <v>80000</v>
                </pt>
                <pt idx="378">
                  <v>764696</v>
                </pt>
                <pt idx="379">
                  <v>1413770</v>
                </pt>
                <pt idx="380">
                  <v>276523</v>
                </pt>
                <pt idx="381">
                  <v>445000</v>
                </pt>
                <pt idx="382">
                  <v>1269200</v>
                </pt>
                <pt idx="383">
                  <v>320556</v>
                </pt>
                <pt idx="384">
                  <v>186614</v>
                </pt>
                <pt idx="386">
                  <v>11777765</v>
                </pt>
                <pt idx="387">
                  <v>114442</v>
                </pt>
                <pt idx="388">
                  <v>74000</v>
                </pt>
                <pt idx="389">
                  <v>5098517</v>
                </pt>
                <pt idx="390">
                  <v>0</v>
                </pt>
                <pt idx="391">
                  <v>0</v>
                </pt>
                <pt idx="392">
                  <v>7739214</v>
                </pt>
                <pt idx="393">
                  <v>140000</v>
                </pt>
                <pt idx="394">
                  <v>0</v>
                </pt>
                <pt idx="395">
                  <v>170900</v>
                </pt>
                <pt idx="396">
                  <v>4919236</v>
                </pt>
                <pt idx="397">
                  <v>534552</v>
                </pt>
                <pt idx="398">
                  <v>973145</v>
                </pt>
                <pt idx="399">
                  <v>806790</v>
                </pt>
                <pt idx="400">
                  <v>136784</v>
                </pt>
                <pt idx="401">
                  <v>0</v>
                </pt>
                <pt idx="402">
                  <v>92560</v>
                </pt>
                <pt idx="403">
                  <v>4380224</v>
                </pt>
                <pt idx="404">
                  <v>140000</v>
                </pt>
                <pt idx="405">
                  <v>3983260</v>
                </pt>
                <pt idx="406">
                  <v>187022</v>
                </pt>
                <pt idx="407">
                  <v>0</v>
                </pt>
                <pt idx="408">
                  <v>2427152</v>
                </pt>
                <pt idx="409">
                  <v>534800</v>
                </pt>
                <pt idx="410">
                  <v>517763</v>
                </pt>
                <pt idx="411">
                  <v>260000</v>
                </pt>
                <pt idx="412">
                  <v>18000</v>
                </pt>
                <pt idx="413">
                  <v>0</v>
                </pt>
                <pt idx="414">
                  <v>2039606</v>
                </pt>
                <pt idx="415">
                  <v>682560</v>
                </pt>
                <pt idx="416">
                  <v>2902092</v>
                </pt>
                <pt idx="417">
                  <v>1501739</v>
                </pt>
                <pt idx="418">
                  <v>1318900</v>
                </pt>
                <pt idx="419">
                  <v>0</v>
                </pt>
                <pt idx="420">
                  <v>761806</v>
                </pt>
                <pt idx="421">
                  <v>0</v>
                </pt>
                <pt idx="422">
                  <v>13544896</v>
                </pt>
                <pt idx="423">
                  <v>708318</v>
                </pt>
                <pt idx="424">
                  <v>364476</v>
                </pt>
                <pt idx="425">
                  <v>0</v>
                </pt>
                <pt idx="426">
                  <v>45000</v>
                </pt>
                <pt idx="427">
                  <v>215711</v>
                </pt>
                <pt idx="428">
                  <v>550168</v>
                </pt>
                <pt idx="429">
                  <v>350888</v>
                </pt>
                <pt idx="430">
                  <v>95040</v>
                </pt>
                <pt idx="431">
                  <v>1863600</v>
                </pt>
                <pt idx="432">
                  <v>115000</v>
                </pt>
                <pt idx="433">
                  <v>1725535</v>
                </pt>
                <pt idx="434">
                  <v>1139200</v>
                </pt>
                <pt idx="435">
                  <v>1194200</v>
                </pt>
                <pt idx="436">
                  <v>930687</v>
                </pt>
                <pt idx="437">
                  <v>1266800</v>
                </pt>
                <pt idx="438">
                  <v>602215</v>
                </pt>
                <pt idx="439">
                  <v>70000</v>
                </pt>
                <pt idx="440">
                  <v>1550000</v>
                </pt>
                <pt idx="441">
                  <v>150000</v>
                </pt>
                <pt idx="442">
                  <v>225000</v>
                </pt>
                <pt idx="443">
                  <v>110000</v>
                </pt>
                <pt idx="444">
                  <v>539160</v>
                </pt>
                <pt idx="445">
                  <v>3612403</v>
                </pt>
                <pt idx="446">
                  <v>250914</v>
                </pt>
                <pt idx="447">
                  <v>0</v>
                </pt>
                <pt idx="448">
                  <v>310000</v>
                </pt>
                <pt idx="449">
                  <v>0</v>
                </pt>
                <pt idx="450">
                  <v>229456</v>
                </pt>
                <pt idx="451">
                  <v>1011843</v>
                </pt>
                <pt idx="452">
                  <v>240713</v>
                </pt>
                <pt idx="453">
                  <v>72000</v>
                </pt>
                <pt idx="454">
                  <v>90000</v>
                </pt>
                <pt idx="455">
                  <v>43000</v>
                </pt>
                <pt idx="456">
                  <v>90000</v>
                </pt>
                <pt idx="457">
                  <v>1065300</v>
                </pt>
                <pt idx="458">
                  <v>0</v>
                </pt>
                <pt idx="459">
                  <v>743400</v>
                </pt>
                <pt idx="460">
                  <v>303464</v>
                </pt>
                <pt idx="461">
                  <v>3049479</v>
                </pt>
                <pt idx="462">
                  <v>0</v>
                </pt>
                <pt idx="463">
                  <v>1277499</v>
                </pt>
                <pt idx="464">
                  <v>0</v>
                </pt>
                <pt idx="465">
                  <v>175000</v>
                </pt>
                <pt idx="466">
                  <v>201948</v>
                </pt>
                <pt idx="467">
                  <v>117200</v>
                </pt>
                <pt idx="468">
                  <v>7055850</v>
                </pt>
                <pt idx="469">
                  <v>3150650</v>
                </pt>
                <pt idx="470">
                  <v>1198233</v>
                </pt>
                <pt idx="471">
                  <v>695638</v>
                </pt>
                <pt idx="472">
                  <v>555200</v>
                </pt>
                <pt idx="473">
                  <v>395745</v>
                </pt>
                <pt idx="474">
                  <v>208825</v>
                </pt>
                <pt idx="475">
                  <v>0</v>
                </pt>
                <pt idx="476">
                  <v>278082</v>
                </pt>
                <pt idx="477">
                  <v>35000</v>
                </pt>
                <pt idx="478">
                  <v>63000</v>
                </pt>
                <pt idx="479">
                  <v>0</v>
                </pt>
                <pt idx="480">
                  <v>226925</v>
                </pt>
                <pt idx="481">
                  <v>60632</v>
                </pt>
                <pt idx="482">
                  <v>236000</v>
                </pt>
                <pt idx="483">
                  <v>273484</v>
                </pt>
                <pt idx="484">
                  <v>2002314</v>
                </pt>
                <pt idx="485">
                  <v>154590</v>
                </pt>
                <pt idx="486">
                  <v>36750</v>
                </pt>
                <pt idx="487">
                  <v>102502</v>
                </pt>
                <pt idx="488">
                  <v>59602</v>
                </pt>
                <pt idx="489">
                  <v>2056794</v>
                </pt>
                <pt idx="490">
                  <v>0</v>
                </pt>
                <pt idx="491">
                  <v>1778962</v>
                </pt>
                <pt idx="492">
                  <v>133279</v>
                </pt>
                <pt idx="493">
                  <v>595736</v>
                </pt>
                <pt idx="494">
                  <v>423931</v>
                </pt>
                <pt idx="495">
                  <v>0</v>
                </pt>
                <pt idx="496">
                  <v>818158</v>
                </pt>
                <pt idx="497">
                  <v>147000</v>
                </pt>
                <pt idx="498">
                  <v>35000</v>
                </pt>
                <pt idx="499">
                  <v>0</v>
                </pt>
                <pt idx="500">
                  <v>417868</v>
                </pt>
                <pt idx="501">
                  <v>356497</v>
                </pt>
                <pt idx="502">
                  <v>1424558</v>
                </pt>
                <pt idx="503">
                  <v>460134</v>
                </pt>
                <pt idx="504">
                  <v>0</v>
                </pt>
                <pt idx="505">
                  <v>738025</v>
                </pt>
                <pt idx="506">
                  <v>361154</v>
                </pt>
                <pt idx="507">
                  <v>3507661</v>
                </pt>
                <pt idx="508">
                  <v>167384</v>
                </pt>
                <pt idx="509">
                  <v>118000</v>
                </pt>
                <pt idx="510">
                  <v>16000</v>
                </pt>
                <pt idx="511">
                  <v>1424983</v>
                </pt>
                <pt idx="512">
                  <v>0</v>
                </pt>
                <pt idx="513">
                  <v>306178</v>
                </pt>
                <pt idx="514">
                  <v>0</v>
                </pt>
                <pt idx="515">
                  <v>38000</v>
                </pt>
                <pt idx="516">
                  <v>63000</v>
                </pt>
                <pt idx="517">
                  <v>15000</v>
                </pt>
                <pt idx="518">
                  <v>273982</v>
                </pt>
                <pt idx="519">
                  <v>396804</v>
                </pt>
                <pt idx="520">
                  <v>261697</v>
                </pt>
                <pt idx="521">
                  <v>78000</v>
                </pt>
                <pt idx="522">
                  <v>0</v>
                </pt>
                <pt idx="523">
                  <v>15000</v>
                </pt>
                <pt idx="524">
                  <v>42523</v>
                </pt>
                <pt idx="525">
                  <v>61172</v>
                </pt>
                <pt idx="526">
                  <v>0</v>
                </pt>
                <pt idx="527">
                  <v>5236075</v>
                </pt>
                <pt idx="528">
                  <v>0</v>
                </pt>
                <pt idx="529">
                  <v>527772</v>
                </pt>
                <pt idx="530">
                  <v>2861134</v>
                </pt>
                <pt idx="531">
                  <v>104000</v>
                </pt>
                <pt idx="532">
                  <v>41500</v>
                </pt>
                <pt idx="533">
                  <v>0</v>
                </pt>
                <pt idx="534">
                  <v>6604794</v>
                </pt>
                <pt idx="535">
                  <v>50000</v>
                </pt>
                <pt idx="536">
                  <v>0</v>
                </pt>
                <pt idx="537">
                  <v>946119</v>
                </pt>
                <pt idx="538">
                  <v>23000</v>
                </pt>
                <pt idx="539">
                  <v>105000</v>
                </pt>
                <pt idx="540">
                  <v>28000</v>
                </pt>
                <pt idx="541">
                  <v>157000</v>
                </pt>
                <pt idx="542">
                  <v>87000</v>
                </pt>
                <pt idx="543">
                  <v>80000</v>
                </pt>
                <pt idx="544">
                  <v>52000</v>
                </pt>
                <pt idx="545">
                  <v>521292</v>
                </pt>
                <pt idx="546">
                  <v>0</v>
                </pt>
                <pt idx="547">
                  <v>1190860</v>
                </pt>
                <pt idx="548">
                  <v>1076640</v>
                </pt>
                <pt idx="549">
                  <v>1248426</v>
                </pt>
                <pt idx="550">
                  <v>70000</v>
                </pt>
                <pt idx="551">
                  <v>1145312</v>
                </pt>
                <pt idx="552">
                  <v>364076</v>
                </pt>
                <pt idx="553">
                  <v>115000</v>
                </pt>
                <pt idx="554">
                  <v>342904</v>
                </pt>
                <pt idx="555">
                  <v>315850</v>
                </pt>
                <pt idx="556">
                  <v>0</v>
                </pt>
                <pt idx="557">
                  <v>217300</v>
                </pt>
                <pt idx="558">
                  <v>0</v>
                </pt>
                <pt idx="559">
                  <v>10000</v>
                </pt>
                <pt idx="560">
                  <v>0</v>
                </pt>
                <pt idx="561">
                  <v>130571</v>
                </pt>
                <pt idx="562">
                  <v>347468</v>
                </pt>
                <pt idx="563">
                  <v>98486</v>
                </pt>
                <pt idx="564">
                  <v>12000</v>
                </pt>
                <pt idx="565">
                  <v>239695</v>
                </pt>
                <pt idx="566">
                  <v>60000</v>
                </pt>
                <pt idx="567">
                  <v>535000</v>
                </pt>
                <pt idx="568">
                  <v>259445</v>
                </pt>
                <pt idx="569">
                  <v>185698</v>
                </pt>
                <pt idx="570">
                  <v>24000</v>
                </pt>
                <pt idx="571">
                  <v>12000</v>
                </pt>
                <pt idx="572">
                  <v>67744</v>
                </pt>
                <pt idx="573">
                  <v>0</v>
                </pt>
                <pt idx="574">
                  <v>58426</v>
                </pt>
                <pt idx="575">
                  <v>378764</v>
                </pt>
                <pt idx="576">
                  <v>136312</v>
                </pt>
                <pt idx="577">
                  <v>70000</v>
                </pt>
                <pt idx="578">
                  <v>138765</v>
                </pt>
                <pt idx="579">
                  <v>495576</v>
                </pt>
                <pt idx="580">
                  <v>576136</v>
                </pt>
                <pt idx="581">
                  <v>510059</v>
                </pt>
                <pt idx="582">
                  <v>639399</v>
                </pt>
                <pt idx="583">
                  <v>890797</v>
                </pt>
                <pt idx="584">
                  <v>45626</v>
                </pt>
                <pt idx="585">
                  <v>435000</v>
                </pt>
                <pt idx="586">
                  <v>74532</v>
                </pt>
                <pt idx="587">
                  <v>55000</v>
                </pt>
                <pt idx="588">
                  <v>203300</v>
                </pt>
                <pt idx="589">
                  <v>0</v>
                </pt>
                <pt idx="590">
                  <v>40000</v>
                </pt>
                <pt idx="591">
                  <v>75000</v>
                </pt>
                <pt idx="592">
                  <v>386334</v>
                </pt>
                <pt idx="593">
                  <v>0</v>
                </pt>
                <pt idx="594">
                  <v>150000</v>
                </pt>
                <pt idx="595">
                  <v>111000</v>
                </pt>
                <pt idx="596">
                  <v>12000</v>
                </pt>
                <pt idx="597">
                  <v>1036801</v>
                </pt>
                <pt idx="598">
                  <v>1016801</v>
                </pt>
                <pt idx="599">
                  <v>560477</v>
                </pt>
                <pt idx="600">
                  <v>453000</v>
                </pt>
                <pt idx="601">
                  <v>125380</v>
                </pt>
                <pt idx="602">
                  <v>145000</v>
                </pt>
                <pt idx="603">
                  <v>52860</v>
                </pt>
                <pt idx="604">
                  <v>55820</v>
                </pt>
                <pt idx="605">
                  <v>23000</v>
                </pt>
                <pt idx="606">
                  <v>549840</v>
                </pt>
                <pt idx="607">
                  <v>0</v>
                </pt>
                <pt idx="608">
                  <v>829966</v>
                </pt>
                <pt idx="609">
                  <v>416521</v>
                </pt>
                <pt idx="610">
                  <v>35000</v>
                </pt>
                <pt idx="611">
                  <v>0</v>
                </pt>
                <pt idx="612">
                  <v>731166</v>
                </pt>
                <pt idx="613">
                  <v>0</v>
                </pt>
                <pt idx="614">
                  <v>26000</v>
                </pt>
                <pt idx="615">
                  <v>117224</v>
                </pt>
                <pt idx="616">
                  <v>176574</v>
                </pt>
                <pt idx="617">
                  <v>929138</v>
                </pt>
                <pt idx="618">
                  <v>903352</v>
                </pt>
                <pt idx="619">
                  <v>1785112</v>
                </pt>
                <pt idx="620">
                  <v>371160</v>
                </pt>
                <pt idx="621">
                  <v>0</v>
                </pt>
                <pt idx="622">
                  <v>0</v>
                </pt>
                <pt idx="623">
                  <v>15000</v>
                </pt>
                <pt idx="624">
                  <v>523180</v>
                </pt>
                <pt idx="625">
                  <v>146759</v>
                </pt>
                <pt idx="626">
                  <v>55000</v>
                </pt>
                <pt idx="627">
                  <v>25653</v>
                </pt>
                <pt idx="628">
                  <v>0</v>
                </pt>
                <pt idx="629">
                  <v>0</v>
                </pt>
                <pt idx="630">
                  <v>428400</v>
                </pt>
                <pt idx="631">
                  <v>323200</v>
                </pt>
                <pt idx="632">
                  <v>77600</v>
                </pt>
                <pt idx="633">
                  <v>88000</v>
                </pt>
                <pt idx="634">
                  <v>92000</v>
                </pt>
                <pt idx="635">
                  <v>0</v>
                </pt>
                <pt idx="636">
                  <v>251942</v>
                </pt>
                <pt idx="637">
                  <v>445039</v>
                </pt>
                <pt idx="638">
                  <v>5405275</v>
                </pt>
                <pt idx="639">
                  <v>120000</v>
                </pt>
                <pt idx="640">
                  <v>55000</v>
                </pt>
                <pt idx="641">
                  <v>120000</v>
                </pt>
                <pt idx="642">
                  <v>340000</v>
                </pt>
                <pt idx="643">
                  <v>48540</v>
                </pt>
                <pt idx="644">
                  <v>751368</v>
                </pt>
                <pt idx="645">
                  <v>901785</v>
                </pt>
                <pt idx="646">
                  <v>637780</v>
                </pt>
                <pt idx="647">
                  <v>516000</v>
                </pt>
                <pt idx="648">
                  <v>0</v>
                </pt>
                <pt idx="649">
                  <v>305699</v>
                </pt>
                <pt idx="650">
                  <v>0</v>
                </pt>
                <pt idx="651">
                  <v>0</v>
                </pt>
                <pt idx="652">
                  <v>3242391</v>
                </pt>
                <pt idx="653">
                  <v>3058941</v>
                </pt>
                <pt idx="654">
                  <v>2307413</v>
                </pt>
                <pt idx="655">
                  <v>87752</v>
                </pt>
                <pt idx="656">
                  <v>160880</v>
                </pt>
                <pt idx="657">
                  <v>171800</v>
                </pt>
                <pt idx="658">
                  <v>100960</v>
                </pt>
                <pt idx="659">
                  <v>0</v>
                </pt>
                <pt idx="660">
                  <v>490485</v>
                </pt>
                <pt idx="661">
                  <v>125028</v>
                </pt>
                <pt idx="662">
                  <v>89168</v>
                </pt>
                <pt idx="663">
                  <v>255000</v>
                </pt>
                <pt idx="664">
                  <v>0</v>
                </pt>
                <pt idx="665">
                  <v>101190</v>
                </pt>
                <pt idx="666">
                  <v>60000</v>
                </pt>
                <pt idx="667">
                  <v>27000</v>
                </pt>
                <pt idx="668">
                  <v>90000</v>
                </pt>
                <pt idx="669">
                  <v>955380</v>
                </pt>
                <pt idx="670">
                  <v>1125976</v>
                </pt>
                <pt idx="671">
                  <v>555242</v>
                </pt>
                <pt idx="672">
                  <v>0</v>
                </pt>
                <pt idx="673">
                  <v>0</v>
                </pt>
                <pt idx="674">
                  <v>18000</v>
                </pt>
                <pt idx="675">
                  <v>409637</v>
                </pt>
                <pt idx="676">
                  <v>136600</v>
                </pt>
                <pt idx="677">
                  <v>161000</v>
                </pt>
                <pt idx="678">
                  <v>358334</v>
                </pt>
                <pt idx="679">
                  <v>0</v>
                </pt>
                <pt idx="680">
                  <v>1017660</v>
                </pt>
                <pt idx="681">
                  <v>0</v>
                </pt>
                <pt idx="682">
                  <v>174000</v>
                </pt>
                <pt idx="683">
                  <v>500000</v>
                </pt>
                <pt idx="684">
                  <v>202000</v>
                </pt>
                <pt idx="685">
                  <v>0</v>
                </pt>
                <pt idx="686">
                  <v>153386</v>
                </pt>
                <pt idx="687">
                  <v>270000</v>
                </pt>
                <pt idx="688">
                  <v>509900</v>
                </pt>
                <pt idx="689">
                  <v>25754</v>
                </pt>
                <pt idx="690">
                  <v>10000</v>
                </pt>
                <pt idx="691">
                  <v>40000</v>
                </pt>
                <pt idx="692">
                  <v>405029</v>
                </pt>
                <pt idx="693">
                  <v>80000</v>
                </pt>
                <pt idx="694">
                  <v>364550</v>
                </pt>
                <pt idx="695">
                  <v>40000</v>
                </pt>
                <pt idx="696">
                  <v>308776</v>
                </pt>
                <pt idx="697">
                  <v>110000</v>
                </pt>
                <pt idx="698">
                  <v>1036898</v>
                </pt>
                <pt idx="699">
                  <v>196285</v>
                </pt>
                <pt idx="700">
                  <v>120000</v>
                </pt>
                <pt idx="701">
                  <v>53496</v>
                </pt>
                <pt idx="702">
                  <v>65000</v>
                </pt>
                <pt idx="703">
                  <v>662524</v>
                </pt>
                <pt idx="704">
                  <v>350200</v>
                </pt>
                <pt idx="705">
                  <v>67950</v>
                </pt>
                <pt idx="706">
                  <v>38000</v>
                </pt>
                <pt idx="707">
                  <v>139360</v>
                </pt>
                <pt idx="708">
                  <v>111365</v>
                </pt>
                <pt idx="709">
                  <v>25668</v>
                </pt>
                <pt idx="710">
                  <v>35155</v>
                </pt>
                <pt idx="711">
                  <v>22678</v>
                </pt>
                <pt idx="712">
                  <v>15000</v>
                </pt>
                <pt idx="713">
                  <v>3000</v>
                </pt>
                <pt idx="714">
                  <v>50000</v>
                </pt>
                <pt idx="715">
                  <v>97168.60000000001</v>
                </pt>
                <pt idx="716">
                  <v>110000</v>
                </pt>
                <pt idx="717">
                  <v>80000</v>
                </pt>
                <pt idx="718">
                  <v>35000</v>
                </pt>
                <pt idx="719">
                  <v>456000</v>
                </pt>
                <pt idx="720">
                  <v>1500000</v>
                </pt>
                <pt idx="721">
                  <v>2842000</v>
                </pt>
                <pt idx="722">
                  <v>46000</v>
                </pt>
                <pt idx="723">
                  <v>0</v>
                </pt>
                <pt idx="724">
                  <v>160000</v>
                </pt>
                <pt idx="725">
                  <v>1525850</v>
                </pt>
                <pt idx="726">
                  <v>7000</v>
                </pt>
                <pt idx="727">
                  <v>184875</v>
                </pt>
                <pt idx="728">
                  <v>0</v>
                </pt>
                <pt idx="729">
                  <v>15000</v>
                </pt>
                <pt idx="730">
                  <v>0</v>
                </pt>
                <pt idx="731">
                  <v>0</v>
                </pt>
                <pt idx="732">
                  <v>0</v>
                </pt>
                <pt idx="733">
                  <v>0</v>
                </pt>
                <pt idx="734">
                  <v>0</v>
                </pt>
                <pt idx="735">
                  <v>0</v>
                </pt>
                <pt idx="736">
                  <v>0</v>
                </pt>
                <pt idx="737">
                  <v>111</v>
                </pt>
                <pt idx="738">
                  <v>0</v>
                </pt>
                <pt idx="739">
                  <v>0</v>
                </pt>
                <pt idx="740">
                  <v>0</v>
                </pt>
                <pt idx="741">
                  <v>0</v>
                </pt>
                <pt idx="742">
                  <v>0</v>
                </pt>
                <pt idx="743">
                  <v>0</v>
                </pt>
                <pt idx="744">
                  <v>0</v>
                </pt>
                <pt idx="745">
                  <v>0</v>
                </pt>
                <pt idx="746">
                  <v>0</v>
                </pt>
                <pt idx="747">
                  <v>0</v>
                </pt>
                <pt idx="748">
                  <v>0</v>
                </pt>
                <pt idx="749">
                  <v>0</v>
                </pt>
                <pt idx="750">
                  <v>0</v>
                </pt>
                <pt idx="751">
                  <v>0</v>
                </pt>
                <pt idx="752">
                  <v>0</v>
                </pt>
                <pt idx="753">
                  <v>0</v>
                </pt>
                <pt idx="754">
                  <v>0</v>
                </pt>
                <pt idx="755">
                  <v>0</v>
                </pt>
                <pt idx="756">
                  <v>0</v>
                </pt>
                <pt idx="757">
                  <v>0</v>
                </pt>
                <pt idx="758">
                  <v>0</v>
                </pt>
                <pt idx="759">
                  <v>0</v>
                </pt>
                <pt idx="760">
                  <v>0</v>
                </pt>
                <pt idx="761">
                  <v>0</v>
                </pt>
                <pt idx="762">
                  <v>0</v>
                </pt>
                <pt idx="763">
                  <v>0</v>
                </pt>
                <pt idx="764">
                  <v>0</v>
                </pt>
                <pt idx="765">
                  <v>0</v>
                </pt>
                <pt idx="766">
                  <v>0</v>
                </pt>
                <pt idx="767">
                  <v>0</v>
                </pt>
                <pt idx="768">
                  <v>0</v>
                </pt>
                <pt idx="769">
                  <v>0</v>
                </pt>
                <pt idx="770">
                  <v>0</v>
                </pt>
                <pt idx="771">
                  <v>0</v>
                </pt>
                <pt idx="772">
                  <v>0</v>
                </pt>
                <pt idx="773">
                  <v>0</v>
                </pt>
                <pt idx="774">
                  <v>0</v>
                </pt>
                <pt idx="775">
                  <v>0</v>
                </pt>
                <pt idx="776">
                  <v>0</v>
                </pt>
                <pt idx="777">
                  <v>0</v>
                </pt>
                <pt idx="778">
                  <v>0</v>
                </pt>
                <pt idx="779">
                  <v>0</v>
                </pt>
                <pt idx="780">
                  <v>0</v>
                </pt>
                <pt idx="781">
                  <v>0</v>
                </pt>
                <pt idx="782">
                  <v>0</v>
                </pt>
                <pt idx="783">
                  <v>0</v>
                </pt>
                <pt idx="784">
                  <v>0</v>
                </pt>
                <pt idx="785">
                  <v>0</v>
                </pt>
                <pt idx="786">
                  <v>0</v>
                </pt>
                <pt idx="787">
                  <v>0</v>
                </pt>
                <pt idx="788">
                  <v>0</v>
                </pt>
                <pt idx="789">
                  <v>0</v>
                </pt>
                <pt idx="790">
                  <v>0</v>
                </pt>
                <pt idx="791">
                  <v>0</v>
                </pt>
                <pt idx="792">
                  <v>0</v>
                </pt>
                <pt idx="793">
                  <v>0</v>
                </pt>
                <pt idx="794">
                  <v>0</v>
                </pt>
                <pt idx="795">
                  <v>0</v>
                </pt>
                <pt idx="796">
                  <v>0</v>
                </pt>
                <pt idx="797">
                  <v>0</v>
                </pt>
                <pt idx="798">
                  <v>0</v>
                </pt>
                <pt idx="799">
                  <v>0</v>
                </pt>
                <pt idx="800">
                  <v>0</v>
                </pt>
                <pt idx="801">
                  <v>0</v>
                </pt>
                <pt idx="802">
                  <v>0</v>
                </pt>
                <pt idx="803">
                  <v>0</v>
                </pt>
                <pt idx="804">
                  <v>0</v>
                </pt>
                <pt idx="805">
                  <v>0</v>
                </pt>
                <pt idx="806">
                  <v>0</v>
                </pt>
                <pt idx="807">
                  <v>0</v>
                </pt>
                <pt idx="808">
                  <v>0</v>
                </pt>
                <pt idx="809">
                  <v>0</v>
                </pt>
                <pt idx="810">
                  <v>0</v>
                </pt>
                <pt idx="811">
                  <v>0</v>
                </pt>
                <pt idx="812">
                  <v>0</v>
                </pt>
                <pt idx="813">
                  <v>0</v>
                </pt>
                <pt idx="814">
                  <v>0</v>
                </pt>
                <pt idx="815">
                  <v>0</v>
                </pt>
                <pt idx="816">
                  <v>0</v>
                </pt>
                <pt idx="817">
                  <v>0</v>
                </pt>
                <pt idx="818">
                  <v>0</v>
                </pt>
                <pt idx="819">
                  <v>0</v>
                </pt>
                <pt idx="820">
                  <v>0</v>
                </pt>
                <pt idx="821">
                  <v>0</v>
                </pt>
                <pt idx="822">
                  <v>0</v>
                </pt>
                <pt idx="823">
                  <v>0</v>
                </pt>
                <pt idx="824">
                  <v>0</v>
                </pt>
                <pt idx="825">
                  <v>0</v>
                </pt>
                <pt idx="826">
                  <v>0</v>
                </pt>
                <pt idx="827">
                  <v>0</v>
                </pt>
                <pt idx="828">
                  <v>0</v>
                </pt>
                <pt idx="829">
                  <v>0</v>
                </pt>
                <pt idx="830">
                  <v>0</v>
                </pt>
                <pt idx="831">
                  <v>0</v>
                </pt>
                <pt idx="832">
                  <v>0</v>
                </pt>
                <pt idx="833">
                  <v>0</v>
                </pt>
                <pt idx="834">
                  <v>0</v>
                </pt>
                <pt idx="835">
                  <v>0</v>
                </pt>
                <pt idx="836">
                  <v>0</v>
                </pt>
                <pt idx="837">
                  <v>0</v>
                </pt>
                <pt idx="838">
                  <v>0</v>
                </pt>
                <pt idx="839">
                  <v>0</v>
                </pt>
                <pt idx="840">
                  <v>0</v>
                </pt>
                <pt idx="841">
                  <v>0</v>
                </pt>
                <pt idx="842">
                  <v>0</v>
                </pt>
                <pt idx="843">
                  <v>0</v>
                </pt>
                <pt idx="844">
                  <v>0</v>
                </pt>
                <pt idx="845">
                  <v>0</v>
                </pt>
                <pt idx="846">
                  <v>0</v>
                </pt>
                <pt idx="847">
                  <v>0</v>
                </pt>
                <pt idx="848">
                  <v>0</v>
                </pt>
                <pt idx="849">
                  <v>0</v>
                </pt>
                <pt idx="850">
                  <v>0</v>
                </pt>
                <pt idx="851">
                  <v>0</v>
                </pt>
                <pt idx="852">
                  <v>0</v>
                </pt>
                <pt idx="853">
                  <v>0</v>
                </pt>
                <pt idx="854">
                  <v>0</v>
                </pt>
                <pt idx="855">
                  <v>0</v>
                </pt>
                <pt idx="856">
                  <v>0</v>
                </pt>
                <pt idx="857">
                  <v>0</v>
                </pt>
                <pt idx="858">
                  <v>0</v>
                </pt>
                <pt idx="859">
                  <v>0</v>
                </pt>
                <pt idx="860">
                  <v>0</v>
                </pt>
                <pt idx="861">
                  <v>0</v>
                </pt>
                <pt idx="862">
                  <v>0</v>
                </pt>
                <pt idx="863">
                  <v>0</v>
                </pt>
                <pt idx="864">
                  <v>0</v>
                </pt>
                <pt idx="865">
                  <v>0</v>
                </pt>
                <pt idx="866">
                  <v>0</v>
                </pt>
                <pt idx="867">
                  <v>0</v>
                </pt>
                <pt idx="868">
                  <v>0</v>
                </pt>
                <pt idx="869">
                  <v>0</v>
                </pt>
                <pt idx="870">
                  <v>0</v>
                </pt>
                <pt idx="871">
                  <v>0</v>
                </pt>
                <pt idx="872">
                  <v>0</v>
                </pt>
                <pt idx="873">
                  <v>0</v>
                </pt>
                <pt idx="874">
                  <v>0</v>
                </pt>
                <pt idx="875">
                  <v>0</v>
                </pt>
                <pt idx="876">
                  <v>0</v>
                </pt>
                <pt idx="877">
                  <v>0</v>
                </pt>
                <pt idx="878">
                  <v>0</v>
                </pt>
                <pt idx="879">
                  <v>0</v>
                </pt>
                <pt idx="880">
                  <v>0</v>
                </pt>
                <pt idx="881">
                  <v>0</v>
                </pt>
                <pt idx="882">
                  <v>0</v>
                </pt>
                <pt idx="883">
                  <v>0</v>
                </pt>
                <pt idx="884">
                  <v>0</v>
                </pt>
                <pt idx="885">
                  <v>0</v>
                </pt>
                <pt idx="886">
                  <v>0</v>
                </pt>
                <pt idx="887">
                  <v>0</v>
                </pt>
                <pt idx="888">
                  <v>0</v>
                </pt>
                <pt idx="889">
                  <v>0</v>
                </pt>
                <pt idx="890">
                  <v>0</v>
                </pt>
                <pt idx="891">
                  <v>0</v>
                </pt>
                <pt idx="892">
                  <v>0</v>
                </pt>
                <pt idx="893">
                  <v>0</v>
                </pt>
                <pt idx="894">
                  <v>0</v>
                </pt>
                <pt idx="895">
                  <v>0</v>
                </pt>
                <pt idx="896">
                  <v>0</v>
                </pt>
                <pt idx="897">
                  <v>0</v>
                </pt>
                <pt idx="898">
                  <v>0</v>
                </pt>
                <pt idx="899">
                  <v>0</v>
                </pt>
                <pt idx="900">
                  <v>0</v>
                </pt>
                <pt idx="901">
                  <v>0</v>
                </pt>
                <pt idx="902">
                  <v>0</v>
                </pt>
                <pt idx="903">
                  <v>0</v>
                </pt>
                <pt idx="904">
                  <v>0</v>
                </pt>
                <pt idx="905">
                  <v>0</v>
                </pt>
                <pt idx="906">
                  <v>0</v>
                </pt>
                <pt idx="907">
                  <v>0</v>
                </pt>
                <pt idx="908">
                  <v>0</v>
                </pt>
                <pt idx="909">
                  <v>0</v>
                </pt>
                <pt idx="910">
                  <v>0</v>
                </pt>
                <pt idx="911">
                  <v>0</v>
                </pt>
                <pt idx="912">
                  <v>0</v>
                </pt>
                <pt idx="913">
                  <v>0</v>
                </pt>
                <pt idx="914">
                  <v>0</v>
                </pt>
                <pt idx="915">
                  <v>0</v>
                </pt>
                <pt idx="916">
                  <v>0</v>
                </pt>
                <pt idx="917">
                  <v>0</v>
                </pt>
                <pt idx="918">
                  <v>0</v>
                </pt>
                <pt idx="919">
                  <v>0</v>
                </pt>
                <pt idx="920">
                  <v>0</v>
                </pt>
                <pt idx="921">
                  <v>0</v>
                </pt>
                <pt idx="922">
                  <v>0</v>
                </pt>
                <pt idx="923">
                  <v>0</v>
                </pt>
                <pt idx="924">
                  <v>0</v>
                </pt>
                <pt idx="925">
                  <v>0</v>
                </pt>
                <pt idx="926">
                  <v>0</v>
                </pt>
                <pt idx="927">
                  <v>0</v>
                </pt>
                <pt idx="928">
                  <v>0</v>
                </pt>
                <pt idx="929">
                  <v>0</v>
                </pt>
                <pt idx="930">
                  <v>0</v>
                </pt>
                <pt idx="931">
                  <v>0</v>
                </pt>
                <pt idx="932">
                  <v>0</v>
                </pt>
                <pt idx="933">
                  <v>0</v>
                </pt>
                <pt idx="934">
                  <v>0</v>
                </pt>
                <pt idx="935">
                  <v>0</v>
                </pt>
                <pt idx="936">
                  <v>0</v>
                </pt>
                <pt idx="937">
                  <v>0</v>
                </pt>
                <pt idx="938">
                  <v>0</v>
                </pt>
                <pt idx="939">
                  <v>0</v>
                </pt>
                <pt idx="940">
                  <v>0</v>
                </pt>
                <pt idx="941">
                  <v>0</v>
                </pt>
                <pt idx="942">
                  <v>0</v>
                </pt>
                <pt idx="943">
                  <v>0</v>
                </pt>
                <pt idx="944">
                  <v>0</v>
                </pt>
                <pt idx="945">
                  <v>0</v>
                </pt>
                <pt idx="946">
                  <v>0</v>
                </pt>
                <pt idx="947">
                  <v>0</v>
                </pt>
                <pt idx="948">
                  <v>0</v>
                </pt>
                <pt idx="949">
                  <v>0</v>
                </pt>
                <pt idx="950">
                  <v>0</v>
                </pt>
                <pt idx="951">
                  <v>0</v>
                </pt>
                <pt idx="952">
                  <v>0</v>
                </pt>
                <pt idx="953">
                  <v>0</v>
                </pt>
                <pt idx="954">
                  <v>0</v>
                </pt>
                <pt idx="955">
                  <v>0</v>
                </pt>
                <pt idx="956">
                  <v>0</v>
                </pt>
                <pt idx="957">
                  <v>0</v>
                </pt>
                <pt idx="958">
                  <v>0</v>
                </pt>
                <pt idx="959">
                  <v>0</v>
                </pt>
                <pt idx="960">
                  <v>0</v>
                </pt>
                <pt idx="961">
                  <v>0</v>
                </pt>
                <pt idx="962">
                  <v>0</v>
                </pt>
                <pt idx="963">
                  <v>0</v>
                </pt>
                <pt idx="964">
                  <v>0</v>
                </pt>
                <pt idx="965">
                  <v>0</v>
                </pt>
                <pt idx="966">
                  <v>0</v>
                </pt>
                <pt idx="967">
                  <v>0</v>
                </pt>
                <pt idx="968">
                  <v>0</v>
                </pt>
                <pt idx="969">
                  <v>0</v>
                </pt>
                <pt idx="970">
                  <v>0</v>
                </pt>
                <pt idx="971">
                  <v>0</v>
                </pt>
                <pt idx="972">
                  <v>0</v>
                </pt>
                <pt idx="973">
                  <v>0</v>
                </pt>
                <pt idx="974">
                  <v>0</v>
                </pt>
                <pt idx="975">
                  <v>0</v>
                </pt>
                <pt idx="976">
                  <v>0</v>
                </pt>
                <pt idx="977">
                  <v>0</v>
                </pt>
                <pt idx="978">
                  <v>0</v>
                </pt>
                <pt idx="979">
                  <v>0</v>
                </pt>
                <pt idx="980">
                  <v>0</v>
                </pt>
                <pt idx="981">
                  <v>0</v>
                </pt>
                <pt idx="982">
                  <v>0</v>
                </pt>
                <pt idx="983">
                  <v>0</v>
                </pt>
                <pt idx="984">
                  <v>0</v>
                </pt>
                <pt idx="985">
                  <v>0</v>
                </pt>
                <pt idx="986">
                  <v>0</v>
                </pt>
                <pt idx="987">
                  <v>0</v>
                </pt>
                <pt idx="988">
                  <v>0</v>
                </pt>
                <pt idx="989">
                  <v>0</v>
                </pt>
                <pt idx="990">
                  <v>0</v>
                </pt>
                <pt idx="991">
                  <v>0</v>
                </pt>
                <pt idx="992">
                  <v>0</v>
                </pt>
                <pt idx="993">
                  <v>0</v>
                </pt>
                <pt idx="994">
                  <v>0</v>
                </pt>
                <pt idx="995">
                  <v>0</v>
                </pt>
                <pt idx="996">
                  <v>0</v>
                </pt>
                <pt idx="997">
                  <v>0</v>
                </pt>
                <pt idx="998">
                  <v>0</v>
                </pt>
                <pt idx="999">
                  <v>0</v>
                </pt>
                <pt idx="1000">
                  <v>0</v>
                </pt>
                <pt idx="1001">
                  <v>0</v>
                </pt>
                <pt idx="1002">
                  <v>0</v>
                </pt>
                <pt idx="1003">
                  <v>0</v>
                </pt>
                <pt idx="1004">
                  <v>0</v>
                </pt>
                <pt idx="1005">
                  <v>0</v>
                </pt>
                <pt idx="1006">
                  <v>0</v>
                </pt>
                <pt idx="1007">
                  <v>0</v>
                </pt>
                <pt idx="1008">
                  <v>0</v>
                </pt>
                <pt idx="1009">
                  <v>0</v>
                </pt>
                <pt idx="1010">
                  <v>0</v>
                </pt>
                <pt idx="1011">
                  <v>0</v>
                </pt>
                <pt idx="1012">
                  <v>0</v>
                </pt>
                <pt idx="1013">
                  <v>0</v>
                </pt>
                <pt idx="1014">
                  <v>0</v>
                </pt>
                <pt idx="1015">
                  <v>0</v>
                </pt>
                <pt idx="1016">
                  <v>0</v>
                </pt>
                <pt idx="1017">
                  <v>0</v>
                </pt>
                <pt idx="1018">
                  <v>0</v>
                </pt>
                <pt idx="1019">
                  <v>0</v>
                </pt>
                <pt idx="1020">
                  <v>0</v>
                </pt>
                <pt idx="1021">
                  <v>0</v>
                </pt>
                <pt idx="1022">
                  <v>0</v>
                </pt>
                <pt idx="1023">
                  <v>0</v>
                </pt>
                <pt idx="1024">
                  <v>0</v>
                </pt>
                <pt idx="1025">
                  <v>0</v>
                </pt>
                <pt idx="1026">
                  <v>0</v>
                </pt>
                <pt idx="1027">
                  <v>0</v>
                </pt>
                <pt idx="1028">
                  <v>0</v>
                </pt>
                <pt idx="1029">
                  <v>0</v>
                </pt>
                <pt idx="1030">
                  <v>0</v>
                </pt>
                <pt idx="1031">
                  <v>0</v>
                </pt>
                <pt idx="1032">
                  <v>0</v>
                </pt>
                <pt idx="1033">
                  <v>0</v>
                </pt>
                <pt idx="1034">
                  <v>0</v>
                </pt>
                <pt idx="1035">
                  <v>0</v>
                </pt>
                <pt idx="1036">
                  <v>0</v>
                </pt>
                <pt idx="1037">
                  <v>0</v>
                </pt>
                <pt idx="1038">
                  <v>0</v>
                </pt>
                <pt idx="1039">
                  <v>0</v>
                </pt>
                <pt idx="1040">
                  <v>0</v>
                </pt>
                <pt idx="1041">
                  <v>0</v>
                </pt>
                <pt idx="1042">
                  <v>0</v>
                </pt>
                <pt idx="1043">
                  <v>0</v>
                </pt>
                <pt idx="1044">
                  <v>0</v>
                </pt>
                <pt idx="1045">
                  <v>0</v>
                </pt>
                <pt idx="1046">
                  <v>0</v>
                </pt>
                <pt idx="1047">
                  <v>0</v>
                </pt>
                <pt idx="1048">
                  <v>0</v>
                </pt>
                <pt idx="1049">
                  <v>0</v>
                </pt>
                <pt idx="1050">
                  <v>0</v>
                </pt>
                <pt idx="1051">
                  <v>0</v>
                </pt>
                <pt idx="1052">
                  <v>0</v>
                </pt>
                <pt idx="1053">
                  <v>0</v>
                </pt>
                <pt idx="1054">
                  <v>0</v>
                </pt>
                <pt idx="1055">
                  <v>0</v>
                </pt>
                <pt idx="1056">
                  <v>0</v>
                </pt>
                <pt idx="1057">
                  <v>0</v>
                </pt>
                <pt idx="1058">
                  <v>0</v>
                </pt>
                <pt idx="1059">
                  <v>0</v>
                </pt>
                <pt idx="1060">
                  <v>0</v>
                </pt>
                <pt idx="1061">
                  <v>0</v>
                </pt>
                <pt idx="1062">
                  <v>0</v>
                </pt>
                <pt idx="1063">
                  <v>0</v>
                </pt>
                <pt idx="1064">
                  <v>0</v>
                </pt>
                <pt idx="1065">
                  <v>0</v>
                </pt>
                <pt idx="1066">
                  <v>0</v>
                </pt>
                <pt idx="1067">
                  <v>0</v>
                </pt>
                <pt idx="1068">
                  <v>0</v>
                </pt>
                <pt idx="1069">
                  <v>0</v>
                </pt>
                <pt idx="1070">
                  <v>0</v>
                </pt>
                <pt idx="1071">
                  <v>0</v>
                </pt>
                <pt idx="1072">
                  <v>0</v>
                </pt>
                <pt idx="1073">
                  <v>0</v>
                </pt>
                <pt idx="1074">
                  <v>0</v>
                </pt>
                <pt idx="1075">
                  <v>0</v>
                </pt>
                <pt idx="1076">
                  <v>0</v>
                </pt>
                <pt idx="1077">
                  <v>0</v>
                </pt>
                <pt idx="1078">
                  <v>0</v>
                </pt>
                <pt idx="1079">
                  <v>0</v>
                </pt>
                <pt idx="1080">
                  <v>0</v>
                </pt>
                <pt idx="1081">
                  <v>0</v>
                </pt>
                <pt idx="1082">
                  <v>0</v>
                </pt>
                <pt idx="1083">
                  <v>0</v>
                </pt>
                <pt idx="1084">
                  <v>0</v>
                </pt>
                <pt idx="1085">
                  <v>0</v>
                </pt>
                <pt idx="1086">
                  <v>0</v>
                </pt>
                <pt idx="1087">
                  <v>0</v>
                </pt>
                <pt idx="1088">
                  <v>0</v>
                </pt>
                <pt idx="1089">
                  <v>0</v>
                </pt>
                <pt idx="1090">
                  <v>0</v>
                </pt>
                <pt idx="1091">
                  <v>0</v>
                </pt>
                <pt idx="1092">
                  <v>0</v>
                </pt>
                <pt idx="1093">
                  <v>0</v>
                </pt>
                <pt idx="1094">
                  <v>0</v>
                </pt>
                <pt idx="1095">
                  <v>0</v>
                </pt>
                <pt idx="1096">
                  <v>0</v>
                </pt>
                <pt idx="1097">
                  <v>0</v>
                </pt>
                <pt idx="1098">
                  <v>0</v>
                </pt>
                <pt idx="1099">
                  <v>0</v>
                </pt>
                <pt idx="1100">
                  <v>0</v>
                </pt>
              </numCache>
            </numRef>
          </val>
        </ser>
        <ser>
          <idx val="1"/>
          <order val="1"/>
          <tx>
            <strRef>
              <f>Sheet1!$J$3</f>
              <strCache>
                <ptCount val="1"/>
                <pt idx="0">
                  <v>五大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Sheet1!$J$4:$J$1104</f>
              <numCache>
                <formatCode>_(* #,##0_);_(* \(#,##0\);_(* "-"_);_(@_)</formatCode>
                <ptCount val="1101"/>
                <pt idx="0">
                  <v>388000</v>
                </pt>
                <pt idx="3">
                  <v>115000</v>
                </pt>
                <pt idx="4">
                  <v>35000</v>
                </pt>
                <pt idx="19">
                  <v>250000</v>
                </pt>
                <pt idx="25">
                  <v>220000</v>
                </pt>
                <pt idx="28">
                  <v>230000</v>
                </pt>
                <pt idx="32">
                  <v>250000</v>
                </pt>
                <pt idx="40">
                  <v>265200</v>
                </pt>
                <pt idx="45">
                  <v>230000</v>
                </pt>
                <pt idx="47">
                  <v>220000</v>
                </pt>
                <pt idx="50">
                  <v>240000</v>
                </pt>
                <pt idx="51">
                  <v>220000</v>
                </pt>
                <pt idx="52">
                  <v>283000</v>
                </pt>
                <pt idx="58">
                  <v>340000</v>
                </pt>
                <pt idx="66">
                  <v>250000</v>
                </pt>
                <pt idx="71">
                  <v>255000</v>
                </pt>
                <pt idx="73">
                  <v>250000</v>
                </pt>
                <pt idx="74">
                  <v>255000</v>
                </pt>
                <pt idx="81">
                  <v>155000</v>
                </pt>
                <pt idx="82">
                  <v>155000</v>
                </pt>
                <pt idx="92">
                  <v>155000</v>
                </pt>
                <pt idx="99">
                  <v>375000</v>
                </pt>
                <pt idx="102">
                  <v>220000</v>
                </pt>
                <pt idx="103">
                  <v>255000</v>
                </pt>
                <pt idx="110">
                  <v>230000</v>
                </pt>
                <pt idx="112">
                  <v>200000</v>
                </pt>
                <pt idx="113">
                  <v>200000</v>
                </pt>
                <pt idx="132">
                  <v>130000</v>
                </pt>
                <pt idx="133">
                  <v>205000</v>
                </pt>
                <pt idx="144">
                  <v>275000</v>
                </pt>
                <pt idx="156">
                  <v>45000</v>
                </pt>
                <pt idx="166">
                  <v>310000</v>
                </pt>
                <pt idx="174">
                  <v>400000</v>
                </pt>
                <pt idx="180">
                  <v>170000</v>
                </pt>
                <pt idx="186">
                  <v>220000</v>
                </pt>
                <pt idx="197">
                  <v>215000</v>
                </pt>
                <pt idx="233">
                  <v>270000</v>
                </pt>
                <pt idx="240">
                  <v>350000</v>
                </pt>
                <pt idx="243">
                  <v>80000</v>
                </pt>
                <pt idx="244">
                  <v>40000</v>
                </pt>
                <pt idx="252">
                  <v>120000</v>
                </pt>
                <pt idx="261">
                  <v>360000</v>
                </pt>
                <pt idx="268">
                  <v>130000</v>
                </pt>
                <pt idx="269">
                  <v>130000</v>
                </pt>
                <pt idx="271">
                  <v>450000</v>
                </pt>
                <pt idx="272">
                  <v>270000</v>
                </pt>
                <pt idx="279">
                  <v>140000</v>
                </pt>
                <pt idx="291">
                  <v>60000</v>
                </pt>
                <pt idx="292">
                  <v>160000</v>
                </pt>
                <pt idx="299">
                  <v>1100000</v>
                </pt>
                <pt idx="303">
                  <v>50000</v>
                </pt>
                <pt idx="316">
                  <v>170000</v>
                </pt>
                <pt idx="320">
                  <v>240000</v>
                </pt>
                <pt idx="321">
                  <v>310000</v>
                </pt>
                <pt idx="324">
                  <v>260000</v>
                </pt>
                <pt idx="352">
                  <v>50000</v>
                </pt>
                <pt idx="371">
                  <v>550000</v>
                </pt>
                <pt idx="378">
                  <v>300000</v>
                </pt>
                <pt idx="383">
                  <v>150000</v>
                </pt>
                <pt idx="431">
                  <v>290000</v>
                </pt>
                <pt idx="434">
                  <v>120000</v>
                </pt>
                <pt idx="435">
                  <v>130000</v>
                </pt>
                <pt idx="442">
                  <v>65000</v>
                </pt>
                <pt idx="450">
                  <v>70000</v>
                </pt>
                <pt idx="457">
                  <v>120000</v>
                </pt>
                <pt idx="468">
                  <v>2550000</v>
                </pt>
                <pt idx="472">
                  <v>140000</v>
                </pt>
                <pt idx="507">
                  <v>90000</v>
                </pt>
                <pt idx="518">
                  <v>110000</v>
                </pt>
                <pt idx="529">
                  <v>140000</v>
                </pt>
                <pt idx="547">
                  <v>160000</v>
                </pt>
                <pt idx="548">
                  <v>125000</v>
                </pt>
                <pt idx="549">
                  <v>135000</v>
                </pt>
                <pt idx="550">
                  <v>70000</v>
                </pt>
                <pt idx="561">
                  <v>70000</v>
                </pt>
                <pt idx="621">
                  <v>0</v>
                </pt>
                <pt idx="630">
                  <v>110000</v>
                </pt>
                <pt idx="688">
                  <v>160000</v>
                </pt>
                <pt idx="721">
                  <v>250000</v>
                </pt>
              </numCache>
            </numRef>
          </val>
        </ser>
        <ser>
          <idx val="2"/>
          <order val="2"/>
          <tx>
            <strRef>
              <f>Sheet1!$K$3</f>
              <strCache>
                <ptCount val="1"/>
                <pt idx="0">
                  <v>アシバックス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Sheet1!$K$4:$K$1104</f>
              <numCache>
                <formatCode>_(* #,##0_);_(* \(#,##0\);_(* "-"_);_(@_)</formatCode>
                <ptCount val="1101"/>
                <pt idx="1">
                  <v>214500</v>
                </pt>
                <pt idx="24">
                  <v>189300</v>
                </pt>
                <pt idx="34">
                  <v>440000</v>
                </pt>
                <pt idx="38">
                  <v>276000</v>
                </pt>
                <pt idx="46">
                  <v>322000</v>
                </pt>
                <pt idx="48">
                  <v>214000</v>
                </pt>
                <pt idx="60">
                  <v>279500</v>
                </pt>
                <pt idx="65">
                  <v>474300</v>
                </pt>
                <pt idx="67">
                  <v>260000</v>
                </pt>
                <pt idx="72">
                  <v>442000</v>
                </pt>
                <pt idx="75">
                  <v>260000</v>
                </pt>
                <pt idx="76">
                  <v>253500</v>
                </pt>
                <pt idx="83">
                  <v>30000</v>
                </pt>
                <pt idx="84">
                  <v>221000</v>
                </pt>
                <pt idx="85">
                  <v>230000</v>
                </pt>
                <pt idx="90">
                  <v>260000</v>
                </pt>
                <pt idx="91">
                  <v>253500</v>
                </pt>
                <pt idx="104">
                  <v>253500</v>
                </pt>
                <pt idx="106">
                  <v>30000</v>
                </pt>
                <pt idx="117">
                  <v>227500</v>
                </pt>
                <pt idx="131">
                  <v>182000</v>
                </pt>
                <pt idx="145">
                  <v>195000</v>
                </pt>
                <pt idx="155">
                  <v>247000</v>
                </pt>
                <pt idx="178">
                  <v>234000</v>
                </pt>
                <pt idx="194">
                  <v>214500</v>
                </pt>
                <pt idx="196">
                  <v>208000</v>
                </pt>
                <pt idx="208">
                  <v>154000</v>
                </pt>
                <pt idx="333">
                  <v>365000</v>
                </pt>
                <pt idx="334">
                  <v>139000</v>
                </pt>
                <pt idx="338">
                  <v>203500</v>
                </pt>
                <pt idx="343">
                  <v>45000</v>
                </pt>
                <pt idx="344">
                  <v>45000</v>
                </pt>
                <pt idx="347">
                  <v>220000</v>
                </pt>
                <pt idx="354">
                  <v>70000</v>
                </pt>
                <pt idx="355">
                  <v>65000</v>
                </pt>
                <pt idx="369">
                  <v>179000</v>
                </pt>
                <pt idx="373">
                  <v>165000</v>
                </pt>
                <pt idx="395">
                  <v>75000</v>
                </pt>
                <pt idx="468">
                  <v>380000</v>
                </pt>
              </numCache>
            </numRef>
          </val>
        </ser>
        <ser>
          <idx val="3"/>
          <order val="3"/>
          <tx>
            <strRef>
              <f>Sheet1!$M$3</f>
              <strCache>
                <ptCount val="1"/>
                <pt idx="0">
                  <v>スタック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Sheet1!$M$4:$M$1104</f>
              <numCache>
                <formatCode>_(* #,##0_);_(* \(#,##0\);_(* "-"_);_(@_)</formatCode>
                <ptCount val="1101"/>
                <pt idx="24">
                  <v>0</v>
                </pt>
                <pt idx="27">
                  <v>400000</v>
                </pt>
                <pt idx="33">
                  <v>320000</v>
                </pt>
                <pt idx="39">
                  <v>245000</v>
                </pt>
                <pt idx="49">
                  <v>245000</v>
                </pt>
                <pt idx="59">
                  <v>240000</v>
                </pt>
                <pt idx="96">
                  <v>230000</v>
                </pt>
                <pt idx="97">
                  <v>230000</v>
                </pt>
                <pt idx="98">
                  <v>260000</v>
                </pt>
                <pt idx="105">
                  <v>221000</v>
                </pt>
                <pt idx="111">
                  <v>230000</v>
                </pt>
                <pt idx="148">
                  <v>247500</v>
                </pt>
                <pt idx="149">
                  <v>247500</v>
                </pt>
                <pt idx="154">
                  <v>280000</v>
                </pt>
                <pt idx="173">
                  <v>230000</v>
                </pt>
                <pt idx="185">
                  <v>280000</v>
                </pt>
                <pt idx="192">
                  <v>209000</v>
                </pt>
                <pt idx="431">
                  <v>160800</v>
                </pt>
              </numCache>
            </numRef>
          </val>
        </ser>
        <ser>
          <idx val="4"/>
          <order val="4"/>
          <tx>
            <strRef>
              <f>Sheet1!$O$3</f>
              <strCache>
                <ptCount val="1"/>
                <pt idx="0">
                  <v>安井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Sheet1!$O$4:$O$1104</f>
              <numCache>
                <formatCode>_(* #,##0_);_(* \(#,##0\);_(* "-"_);_(@_)</formatCode>
                <ptCount val="1101"/>
                <pt idx="0">
                  <v>500000</v>
                </pt>
                <pt idx="1">
                  <v>600000</v>
                </pt>
                <pt idx="2">
                  <v>120000</v>
                </pt>
                <pt idx="3">
                  <v>150000</v>
                </pt>
                <pt idx="4">
                  <v>8000</v>
                </pt>
                <pt idx="5">
                  <v>10000</v>
                </pt>
                <pt idx="6">
                  <v>17000</v>
                </pt>
                <pt idx="7">
                  <v>10000</v>
                </pt>
                <pt idx="8">
                  <v>15000</v>
                </pt>
                <pt idx="9">
                  <v>7000</v>
                </pt>
                <pt idx="10">
                  <v>12000</v>
                </pt>
                <pt idx="11">
                  <v>9000</v>
                </pt>
                <pt idx="12">
                  <v>5000</v>
                </pt>
                <pt idx="13">
                  <v>5000</v>
                </pt>
                <pt idx="14">
                  <v>5000</v>
                </pt>
                <pt idx="15">
                  <v>12000</v>
                </pt>
                <pt idx="16">
                  <v>30000</v>
                </pt>
                <pt idx="24">
                  <v>600000</v>
                </pt>
                <pt idx="26">
                  <v>65000</v>
                </pt>
                <pt idx="27">
                  <v>1600000</v>
                </pt>
                <pt idx="28">
                  <v>650000</v>
                </pt>
                <pt idx="32">
                  <v>700000</v>
                </pt>
                <pt idx="33">
                  <v>1500000</v>
                </pt>
                <pt idx="35">
                  <v>60000</v>
                </pt>
                <pt idx="39">
                  <v>950000</v>
                </pt>
                <pt idx="40">
                  <v>900000</v>
                </pt>
                <pt idx="45">
                  <v>650000</v>
                </pt>
                <pt idx="46">
                  <v>900000</v>
                </pt>
                <pt idx="47">
                  <v>611800</v>
                </pt>
                <pt idx="48">
                  <v>650000</v>
                </pt>
                <pt idx="49">
                  <v>950000</v>
                </pt>
                <pt idx="50">
                  <v>650000</v>
                </pt>
                <pt idx="51">
                  <v>750000</v>
                </pt>
                <pt idx="52">
                  <v>950000</v>
                </pt>
                <pt idx="53">
                  <v>50000</v>
                </pt>
                <pt idx="55">
                  <v>0</v>
                </pt>
                <pt idx="57">
                  <v>200000</v>
                </pt>
                <pt idx="59">
                  <v>600000</v>
                </pt>
                <pt idx="60">
                  <v>800000</v>
                </pt>
                <pt idx="65">
                  <v>1400000</v>
                </pt>
                <pt idx="67">
                  <v>850000</v>
                </pt>
                <pt idx="71">
                  <v>700000</v>
                </pt>
                <pt idx="73">
                  <v>700000</v>
                </pt>
                <pt idx="74">
                  <v>700000</v>
                </pt>
                <pt idx="75">
                  <v>900000</v>
                </pt>
                <pt idx="76">
                  <v>700000</v>
                </pt>
                <pt idx="84">
                  <v>700000</v>
                </pt>
                <pt idx="90">
                  <v>900000</v>
                </pt>
                <pt idx="91">
                  <v>700000</v>
                </pt>
                <pt idx="100">
                  <v>30000</v>
                </pt>
                <pt idx="102">
                  <v>700000</v>
                </pt>
                <pt idx="103">
                  <v>750000</v>
                </pt>
                <pt idx="104">
                  <v>850000</v>
                </pt>
                <pt idx="105">
                  <v>850000</v>
                </pt>
                <pt idx="110">
                  <v>750000</v>
                </pt>
                <pt idx="118">
                  <v>750000</v>
                </pt>
                <pt idx="119">
                  <v>20000</v>
                </pt>
                <pt idx="120">
                  <v>40000</v>
                </pt>
                <pt idx="130">
                  <v>50000</v>
                </pt>
                <pt idx="131">
                  <v>800000</v>
                </pt>
                <pt idx="144">
                  <v>700000</v>
                </pt>
                <pt idx="145">
                  <v>650000</v>
                </pt>
                <pt idx="154">
                  <v>800000</v>
                </pt>
                <pt idx="156">
                  <v>50000</v>
                </pt>
                <pt idx="166">
                  <v>900000</v>
                </pt>
                <pt idx="173">
                  <v>700000</v>
                </pt>
                <pt idx="174">
                  <v>1200000</v>
                </pt>
                <pt idx="180">
                  <v>300000</v>
                </pt>
                <pt idx="185">
                  <v>800000</v>
                </pt>
                <pt idx="186">
                  <v>700000</v>
                </pt>
                <pt idx="192">
                  <v>550000</v>
                </pt>
                <pt idx="196">
                  <v>750000</v>
                </pt>
                <pt idx="197">
                  <v>850000</v>
                </pt>
                <pt idx="203">
                  <v>40000</v>
                </pt>
                <pt idx="206">
                  <v>14000</v>
                </pt>
                <pt idx="207">
                  <v>41200</v>
                </pt>
                <pt idx="219">
                  <v>30000</v>
                </pt>
                <pt idx="224">
                  <v>20000</v>
                </pt>
                <pt idx="226">
                  <v>75000</v>
                </pt>
                <pt idx="228">
                  <v>70000</v>
                </pt>
                <pt idx="233">
                  <v>900000</v>
                </pt>
                <pt idx="238">
                  <v>60000</v>
                </pt>
                <pt idx="240">
                  <v>1000000</v>
                </pt>
                <pt idx="241">
                  <v>25000</v>
                </pt>
                <pt idx="242">
                  <v>28000</v>
                </pt>
                <pt idx="244">
                  <v>25000</v>
                </pt>
                <pt idx="252">
                  <v>40000</v>
                </pt>
                <pt idx="261">
                  <v>800000</v>
                </pt>
                <pt idx="265">
                  <v>40000</v>
                </pt>
                <pt idx="268">
                  <v>250000</v>
                </pt>
                <pt idx="269">
                  <v>200000</v>
                </pt>
                <pt idx="271">
                  <v>800000</v>
                </pt>
                <pt idx="272">
                  <v>650000</v>
                </pt>
                <pt idx="274">
                  <v>50000</v>
                </pt>
                <pt idx="292">
                  <v>450000</v>
                </pt>
                <pt idx="299">
                  <v>3000000</v>
                </pt>
                <pt idx="301">
                  <v>200000</v>
                </pt>
                <pt idx="303">
                  <v>30000</v>
                </pt>
                <pt idx="310">
                  <v>50000</v>
                </pt>
                <pt idx="316">
                  <v>800000</v>
                </pt>
                <pt idx="320">
                  <v>600000</v>
                </pt>
                <pt idx="321">
                  <v>700000</v>
                </pt>
                <pt idx="324">
                  <v>850000</v>
                </pt>
                <pt idx="332">
                  <v>40000</v>
                </pt>
                <pt idx="333">
                  <v>800000</v>
                </pt>
                <pt idx="334">
                  <v>500000</v>
                </pt>
                <pt idx="335">
                  <v>25000</v>
                </pt>
                <pt idx="338">
                  <v>600000</v>
                </pt>
                <pt idx="339">
                  <v>100000</v>
                </pt>
                <pt idx="347">
                  <v>400000</v>
                </pt>
                <pt idx="348">
                  <v>250000</v>
                </pt>
                <pt idx="349">
                  <v>600000</v>
                </pt>
                <pt idx="358">
                  <v>1600000</v>
                </pt>
                <pt idx="360">
                  <v>18000</v>
                </pt>
                <pt idx="361">
                  <v>18000</v>
                </pt>
                <pt idx="368">
                  <v>25700</v>
                </pt>
                <pt idx="369">
                  <v>500000</v>
                </pt>
                <pt idx="372">
                  <v>80000</v>
                </pt>
                <pt idx="373">
                  <v>450000</v>
                </pt>
                <pt idx="378">
                  <v>30000</v>
                </pt>
                <pt idx="379">
                  <v>650000</v>
                </pt>
                <pt idx="386">
                  <v>108000</v>
                </pt>
                <pt idx="392">
                  <v>340000</v>
                </pt>
                <pt idx="395">
                  <v>35000</v>
                </pt>
                <pt idx="396">
                  <v>200000</v>
                </pt>
                <pt idx="400">
                  <v>40000</v>
                </pt>
                <pt idx="402">
                  <v>34560</v>
                </pt>
                <pt idx="403">
                  <v>60000</v>
                </pt>
                <pt idx="431">
                  <v>912800</v>
                </pt>
                <pt idx="432">
                  <v>50000</v>
                </pt>
                <pt idx="433">
                  <v>80000</v>
                </pt>
                <pt idx="434">
                  <v>600000</v>
                </pt>
                <pt idx="435">
                  <v>600000</v>
                </pt>
                <pt idx="436">
                  <v>15000</v>
                </pt>
                <pt idx="437">
                  <v>1000000</v>
                </pt>
                <pt idx="444">
                  <v>30000</v>
                </pt>
                <pt idx="445">
                  <v>120000</v>
                </pt>
                <pt idx="450">
                  <v>40000</v>
                </pt>
                <pt idx="457">
                  <v>600000</v>
                </pt>
                <pt idx="463">
                  <v>120000</v>
                </pt>
                <pt idx="468">
                  <v>1800000</v>
                </pt>
                <pt idx="472">
                  <v>20000</v>
                </pt>
                <pt idx="473">
                  <v>15000</v>
                </pt>
                <pt idx="505">
                  <v>100000</v>
                </pt>
                <pt idx="507">
                  <v>500000</v>
                </pt>
                <pt idx="518">
                  <v>40000</v>
                </pt>
                <pt idx="547">
                  <v>50000</v>
                </pt>
                <pt idx="548">
                  <v>500000</v>
                </pt>
                <pt idx="549">
                  <v>500000</v>
                </pt>
                <pt idx="559">
                  <v>10000</v>
                </pt>
                <pt idx="561">
                  <v>8000</v>
                </pt>
                <pt idx="588">
                  <v>100000</v>
                </pt>
                <pt idx="590">
                  <v>40000</v>
                </pt>
                <pt idx="591">
                  <v>75000</v>
                </pt>
                <pt idx="592">
                  <v>100000</v>
                </pt>
              </numCache>
            </numRef>
          </val>
        </ser>
        <ser>
          <idx val="5"/>
          <order val="5"/>
          <tx>
            <strRef>
              <f>Sheet1!$P$3</f>
              <strCache>
                <ptCount val="1"/>
                <pt idx="0">
                  <v>大宮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Sheet1!$P$4:$P$1104</f>
              <numCache>
                <formatCode>_(* #,##0_);_(* \(#,##0\);_(* "-"_);_(@_)</formatCode>
                <ptCount val="1101"/>
                <pt idx="19">
                  <v>750000</v>
                </pt>
                <pt idx="20">
                  <v>156000</v>
                </pt>
                <pt idx="25">
                  <v>700000</v>
                </pt>
                <pt idx="34">
                  <v>1400000</v>
                </pt>
                <pt idx="38">
                  <v>850000</v>
                </pt>
                <pt idx="58">
                  <v>800000</v>
                </pt>
                <pt idx="66">
                  <v>600000</v>
                </pt>
                <pt idx="72">
                  <v>1200000</v>
                </pt>
                <pt idx="85">
                  <v>800000</v>
                </pt>
                <pt idx="92">
                  <v>120000</v>
                </pt>
                <pt idx="96">
                  <v>800000</v>
                </pt>
                <pt idx="97">
                  <v>750000</v>
                </pt>
                <pt idx="98">
                  <v>750000</v>
                </pt>
                <pt idx="99">
                  <v>120000</v>
                </pt>
                <pt idx="111">
                  <v>800000</v>
                </pt>
                <pt idx="112">
                  <v>200000</v>
                </pt>
                <pt idx="113">
                  <v>278300</v>
                </pt>
                <pt idx="117">
                  <v>800000</v>
                </pt>
                <pt idx="146">
                  <v>600000</v>
                </pt>
                <pt idx="147">
                  <v>600000</v>
                </pt>
                <pt idx="155">
                  <v>800000</v>
                </pt>
                <pt idx="159">
                  <v>72000</v>
                </pt>
                <pt idx="178">
                  <v>900000</v>
                </pt>
                <pt idx="194">
                  <v>650000</v>
                </pt>
                <pt idx="208">
                  <v>500000</v>
                </pt>
                <pt idx="236">
                  <v>20000</v>
                </pt>
              </numCache>
            </numRef>
          </val>
        </ser>
        <ser>
          <idx val="6"/>
          <order val="6"/>
          <tx>
            <strRef>
              <f>Sheet1!$Q$3</f>
              <strCache>
                <ptCount val="1"/>
                <pt idx="0">
                  <v>鎌田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Sheet1!$Q$4:$Q$1104</f>
              <numCache>
                <formatCode>_(* #,##0_);_(* \(#,##0\);_(* "-"_);_(@_)</formatCode>
                <ptCount val="1101"/>
                <pt idx="0">
                  <v>400000</v>
                </pt>
              </numCache>
            </numRef>
          </val>
        </ser>
        <ser>
          <idx val="7"/>
          <order val="7"/>
          <tx>
            <strRef>
              <f>Sheet1!$R$3</f>
              <strCache>
                <ptCount val="1"/>
                <pt idx="0">
                  <v>KSシール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Sheet1!$R$4:$R$1104</f>
              <numCache>
                <formatCode>_(* #,##0_);_(* \(#,##0\);_(* "-"_);_(@_)</formatCode>
                <ptCount val="1101"/>
                <pt idx="0">
                  <v>25900</v>
                </pt>
                <pt idx="19">
                  <v>6300</v>
                </pt>
                <pt idx="25">
                  <v>27720</v>
                </pt>
                <pt idx="27">
                  <v>74550</v>
                </pt>
                <pt idx="28">
                  <v>16100</v>
                </pt>
                <pt idx="32">
                  <v>21000</v>
                </pt>
                <pt idx="33">
                  <v>82600</v>
                </pt>
                <pt idx="34">
                  <v>137200</v>
                </pt>
                <pt idx="38">
                  <v>45000</v>
                </pt>
                <pt idx="39">
                  <v>27300</v>
                </pt>
                <pt idx="40">
                  <v>53200</v>
                </pt>
                <pt idx="45">
                  <v>25200</v>
                </pt>
                <pt idx="46">
                  <v>10500</v>
                </pt>
                <pt idx="48">
                  <v>37660</v>
                </pt>
                <pt idx="49">
                  <v>27300</v>
                </pt>
                <pt idx="50">
                  <v>40110</v>
                </pt>
                <pt idx="51">
                  <v>45850</v>
                </pt>
                <pt idx="52">
                  <v>40000</v>
                </pt>
                <pt idx="58">
                  <v>87000</v>
                </pt>
                <pt idx="59">
                  <v>45780</v>
                </pt>
                <pt idx="60">
                  <v>56700</v>
                </pt>
                <pt idx="65">
                  <v>80000</v>
                </pt>
                <pt idx="66">
                  <v>60000</v>
                </pt>
                <pt idx="67">
                  <v>40320</v>
                </pt>
                <pt idx="73">
                  <v>48160</v>
                </pt>
                <pt idx="74">
                  <v>49000</v>
                </pt>
                <pt idx="75">
                  <v>42700</v>
                </pt>
                <pt idx="76">
                  <v>29400</v>
                </pt>
                <pt idx="84">
                  <v>70700</v>
                </pt>
                <pt idx="85">
                  <v>60000</v>
                </pt>
                <pt idx="86">
                  <v>36120</v>
                </pt>
                <pt idx="90">
                  <v>42700</v>
                </pt>
                <pt idx="91">
                  <v>32200</v>
                </pt>
                <pt idx="96">
                  <v>25000</v>
                </pt>
                <pt idx="102">
                  <v>43260</v>
                </pt>
                <pt idx="103">
                  <v>47600</v>
                </pt>
                <pt idx="105">
                  <v>42700</v>
                </pt>
                <pt idx="110">
                  <v>41300</v>
                </pt>
                <pt idx="111">
                  <v>25000</v>
                </pt>
                <pt idx="117">
                  <v>58800</v>
                </pt>
                <pt idx="118">
                  <v>62650</v>
                </pt>
                <pt idx="131">
                  <v>21700</v>
                </pt>
                <pt idx="133">
                  <v>20160</v>
                </pt>
                <pt idx="144">
                  <v>48300</v>
                </pt>
                <pt idx="145">
                  <v>50400</v>
                </pt>
                <pt idx="146">
                  <v>39100</v>
                </pt>
                <pt idx="147">
                  <v>44000</v>
                </pt>
                <pt idx="154">
                  <v>64400</v>
                </pt>
                <pt idx="155">
                  <v>35700</v>
                </pt>
                <pt idx="159">
                  <v>12600</v>
                </pt>
                <pt idx="166">
                  <v>550500</v>
                </pt>
                <pt idx="173">
                  <v>50000</v>
                </pt>
                <pt idx="174">
                  <v>50000</v>
                </pt>
                <pt idx="178">
                  <v>63000</v>
                </pt>
                <pt idx="185">
                  <v>35000</v>
                </pt>
                <pt idx="186">
                  <v>37100</v>
                </pt>
                <pt idx="192">
                  <v>25000</v>
                </pt>
                <pt idx="194">
                  <v>46900</v>
                </pt>
                <pt idx="196">
                  <v>29400</v>
                </pt>
                <pt idx="197">
                  <v>48300</v>
                </pt>
                <pt idx="208">
                  <v>35000</v>
                </pt>
                <pt idx="233">
                  <v>250000</v>
                </pt>
                <pt idx="236">
                  <v>40250</v>
                </pt>
                <pt idx="240">
                  <v>58100</v>
                </pt>
                <pt idx="243">
                  <v>30000</v>
                </pt>
                <pt idx="261">
                  <v>52500</v>
                </pt>
                <pt idx="271">
                  <v>70000</v>
                </pt>
                <pt idx="272">
                  <v>27300</v>
                </pt>
                <pt idx="292">
                  <v>160000</v>
                </pt>
                <pt idx="299">
                  <v>800000</v>
                </pt>
                <pt idx="316">
                  <v>85000</v>
                </pt>
                <pt idx="320">
                  <v>122500</v>
                </pt>
                <pt idx="321">
                  <v>33600</v>
                </pt>
                <pt idx="324">
                  <v>240000</v>
                </pt>
                <pt idx="338">
                  <v>42980</v>
                </pt>
                <pt idx="339">
                  <v>18000</v>
                </pt>
                <pt idx="358">
                  <v>102200</v>
                </pt>
                <pt idx="371">
                  <v>140000</v>
                </pt>
                <pt idx="372">
                  <v>86100</v>
                </pt>
                <pt idx="373">
                  <v>294000</v>
                </pt>
                <pt idx="379">
                  <v>50000</v>
                </pt>
                <pt idx="405">
                  <v>150000</v>
                </pt>
                <pt idx="416">
                  <v>100000</v>
                </pt>
                <pt idx="432">
                  <v>20000</v>
                </pt>
                <pt idx="434">
                  <v>60000</v>
                </pt>
                <pt idx="435">
                  <v>180000</v>
                </pt>
                <pt idx="437">
                  <v>100000</v>
                </pt>
                <pt idx="457">
                  <v>95000</v>
                </pt>
                <pt idx="468">
                  <v>1560000</v>
                </pt>
                <pt idx="472">
                  <v>55200</v>
                </pt>
                <pt idx="529">
                  <v>10000</v>
                </pt>
                <pt idx="547">
                  <v>40000</v>
                </pt>
                <pt idx="588">
                  <v>52800</v>
                </pt>
                <pt idx="647">
                  <v>108000</v>
                </pt>
              </numCache>
            </numRef>
          </val>
        </ser>
        <ser>
          <idx val="8"/>
          <order val="8"/>
          <tx>
            <strRef>
              <f>Sheet1!$S$3</f>
              <strCache>
                <ptCount val="1"/>
                <pt idx="0">
                  <v>光輝美装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Sheet1!$S$4:$S$1104</f>
              <numCache>
                <formatCode>_(* #,##0_);_(* \(#,##0\);_(* "-"_);_(@_)</formatCode>
                <ptCount val="1101"/>
                <pt idx="0">
                  <v>35000</v>
                </pt>
                <pt idx="1">
                  <v>35000</v>
                </pt>
                <pt idx="19">
                  <v>35000</v>
                </pt>
                <pt idx="24">
                  <v>35000</v>
                </pt>
                <pt idx="25">
                  <v>35000</v>
                </pt>
                <pt idx="27">
                  <v>35000</v>
                </pt>
                <pt idx="28">
                  <v>35000</v>
                </pt>
                <pt idx="32">
                  <v>35000</v>
                </pt>
                <pt idx="33">
                  <v>35000</v>
                </pt>
                <pt idx="35">
                  <v>8000</v>
                </pt>
                <pt idx="38">
                  <v>35000</v>
                </pt>
                <pt idx="40">
                  <v>35000</v>
                </pt>
                <pt idx="45">
                  <v>35000</v>
                </pt>
                <pt idx="48">
                  <v>35000</v>
                </pt>
                <pt idx="49">
                  <v>35000</v>
                </pt>
                <pt idx="50">
                  <v>35000</v>
                </pt>
                <pt idx="60">
                  <v>35000</v>
                </pt>
                <pt idx="65">
                  <v>35000</v>
                </pt>
                <pt idx="67">
                  <v>35000</v>
                </pt>
                <pt idx="71">
                  <v>35000</v>
                </pt>
                <pt idx="72">
                  <v>35000</v>
                </pt>
                <pt idx="75">
                  <v>35000</v>
                </pt>
                <pt idx="76">
                  <v>35000</v>
                </pt>
                <pt idx="84">
                  <v>35000</v>
                </pt>
                <pt idx="90">
                  <v>35000</v>
                </pt>
                <pt idx="91">
                  <v>35000</v>
                </pt>
                <pt idx="96">
                  <v>35000</v>
                </pt>
                <pt idx="97">
                  <v>35000</v>
                </pt>
                <pt idx="98">
                  <v>35000</v>
                </pt>
                <pt idx="102">
                  <v>35000</v>
                </pt>
                <pt idx="103">
                  <v>35000</v>
                </pt>
                <pt idx="131">
                  <v>35000</v>
                </pt>
                <pt idx="144">
                  <v>35000</v>
                </pt>
                <pt idx="145">
                  <v>35000</v>
                </pt>
                <pt idx="146">
                  <v>35000</v>
                </pt>
                <pt idx="147">
                  <v>35000</v>
                </pt>
                <pt idx="154">
                  <v>35000</v>
                </pt>
                <pt idx="167">
                  <v>29000</v>
                </pt>
                <pt idx="173">
                  <v>35000</v>
                </pt>
                <pt idx="174">
                  <v>70000</v>
                </pt>
                <pt idx="178">
                  <v>35000</v>
                </pt>
                <pt idx="185">
                  <v>35000</v>
                </pt>
                <pt idx="186">
                  <v>35000</v>
                </pt>
                <pt idx="194">
                  <v>35000</v>
                </pt>
                <pt idx="196">
                  <v>35000</v>
                </pt>
                <pt idx="197">
                  <v>35000</v>
                </pt>
                <pt idx="240">
                  <v>35000</v>
                </pt>
                <pt idx="271">
                  <v>35000</v>
                </pt>
                <pt idx="272">
                  <v>35000</v>
                </pt>
                <pt idx="379">
                  <v>35000</v>
                </pt>
                <pt idx="405">
                  <v>35000</v>
                </pt>
                <pt idx="532">
                  <v>29500</v>
                </pt>
              </numCache>
            </numRef>
          </val>
        </ser>
        <ser>
          <idx val="9"/>
          <order val="9"/>
          <tx>
            <strRef>
              <f>Sheet1!$T$3</f>
              <strCache>
                <ptCount val="1"/>
                <pt idx="0">
                  <v>ｸﾘｰﾝｱｯﾌﾟ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Sheet1!$T$4:$T$1104</f>
              <numCache>
                <formatCode>_(* #,##0_);_(* \(#,##0\);_(* "-"_);_(@_)</formatCode>
                <ptCount val="1101"/>
                <pt idx="17">
                  <v>30000</v>
                </pt>
                <pt idx="18">
                  <v>25000</v>
                </pt>
                <pt idx="206">
                  <v>35000</v>
                </pt>
                <pt idx="226">
                  <v>25500</v>
                </pt>
                <pt idx="332">
                  <v>30000</v>
                </pt>
                <pt idx="482">
                  <v>196000</v>
                </pt>
                <pt idx="676">
                  <v>136600</v>
                </pt>
                <pt idx="715">
                  <v>1168.6</v>
                </pt>
              </numCache>
            </numRef>
          </val>
        </ser>
        <ser>
          <idx val="10"/>
          <order val="10"/>
          <tx>
            <strRef>
              <f>Sheet1!$U$3</f>
              <strCache>
                <ptCount val="1"/>
                <pt idx="0">
                  <v>ケミカル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Sheet1!$U$4:$U$1104</f>
              <numCache>
                <formatCode>_(* #,##0_);_(* \(#,##0\);_(* "-"_);_(@_)</formatCode>
                <ptCount val="1101"/>
                <pt idx="0">
                  <v>52400</v>
                </pt>
                <pt idx="1">
                  <v>121200</v>
                </pt>
                <pt idx="19">
                  <v>52400</v>
                </pt>
                <pt idx="24">
                  <v>0</v>
                </pt>
                <pt idx="25">
                  <v>170900</v>
                </pt>
                <pt idx="27">
                  <v>334630</v>
                </pt>
                <pt idx="28">
                  <v>97900</v>
                </pt>
                <pt idx="32">
                  <v>98200</v>
                </pt>
                <pt idx="33">
                  <v>116100</v>
                </pt>
                <pt idx="34">
                  <v>237800</v>
                </pt>
                <pt idx="38">
                  <v>82100</v>
                </pt>
                <pt idx="39">
                  <v>52500</v>
                </pt>
                <pt idx="40">
                  <v>122100</v>
                </pt>
                <pt idx="45">
                  <v>94500</v>
                </pt>
                <pt idx="46">
                  <v>119000</v>
                </pt>
                <pt idx="47">
                  <v>193400</v>
                </pt>
                <pt idx="48">
                  <v>62700</v>
                </pt>
                <pt idx="49">
                  <v>22600</v>
                </pt>
                <pt idx="50">
                  <v>64100</v>
                </pt>
                <pt idx="51">
                  <v>50400</v>
                </pt>
                <pt idx="52">
                  <v>216500</v>
                </pt>
                <pt idx="58">
                  <v>109200</v>
                </pt>
                <pt idx="59">
                  <v>52700</v>
                </pt>
                <pt idx="60">
                  <v>118500</v>
                </pt>
                <pt idx="65">
                  <v>211800</v>
                </pt>
                <pt idx="66">
                  <v>50800</v>
                </pt>
                <pt idx="67">
                  <v>122300</v>
                </pt>
                <pt idx="72">
                  <v>244300</v>
                </pt>
                <pt idx="73">
                  <v>177300</v>
                </pt>
                <pt idx="74">
                  <v>177300</v>
                </pt>
                <pt idx="75">
                  <v>56200</v>
                </pt>
                <pt idx="76">
                  <v>150400</v>
                </pt>
                <pt idx="84">
                  <v>162500</v>
                </pt>
                <pt idx="85">
                  <v>31300</v>
                </pt>
                <pt idx="90">
                  <v>109000</v>
                </pt>
                <pt idx="91">
                  <v>154000</v>
                </pt>
                <pt idx="92">
                  <v>54000</v>
                </pt>
                <pt idx="96">
                  <v>132200</v>
                </pt>
                <pt idx="97">
                  <v>257600</v>
                </pt>
                <pt idx="98">
                  <v>185600</v>
                </pt>
                <pt idx="102">
                  <v>79400</v>
                </pt>
                <pt idx="103">
                  <v>183600</v>
                </pt>
                <pt idx="104">
                  <v>53300</v>
                </pt>
                <pt idx="105">
                  <v>68800</v>
                </pt>
                <pt idx="110">
                  <v>126900</v>
                </pt>
                <pt idx="111">
                  <v>49400</v>
                </pt>
                <pt idx="112">
                  <v>65150</v>
                </pt>
                <pt idx="113">
                  <v>65150</v>
                </pt>
                <pt idx="131">
                  <v>80800</v>
                </pt>
                <pt idx="144">
                  <v>39300</v>
                </pt>
                <pt idx="145">
                  <v>164700</v>
                </pt>
                <pt idx="146">
                  <v>106350</v>
                </pt>
                <pt idx="147">
                  <v>106350</v>
                </pt>
                <pt idx="154">
                  <v>157000</v>
                </pt>
                <pt idx="155">
                  <v>114000</v>
                </pt>
                <pt idx="159">
                  <v>7400</v>
                </pt>
                <pt idx="166">
                  <v>237800</v>
                </pt>
                <pt idx="173">
                  <v>147400</v>
                </pt>
                <pt idx="174">
                  <v>160400</v>
                </pt>
                <pt idx="178">
                  <v>161600</v>
                </pt>
                <pt idx="180">
                  <v>76600</v>
                </pt>
                <pt idx="185">
                  <v>80200</v>
                </pt>
                <pt idx="186">
                  <v>88900</v>
                </pt>
                <pt idx="192">
                  <v>101100</v>
                </pt>
                <pt idx="194">
                  <v>44000</v>
                </pt>
                <pt idx="196">
                  <v>134000</v>
                </pt>
                <pt idx="197">
                  <v>311650</v>
                </pt>
                <pt idx="208">
                  <v>42200</v>
                </pt>
                <pt idx="233">
                  <v>133950</v>
                </pt>
                <pt idx="240">
                  <v>195300</v>
                </pt>
                <pt idx="261">
                  <v>146800</v>
                </pt>
                <pt idx="269">
                  <v>63200</v>
                </pt>
                <pt idx="271">
                  <v>106000</v>
                </pt>
                <pt idx="272">
                  <v>105000</v>
                </pt>
                <pt idx="292">
                  <v>186600</v>
                </pt>
                <pt idx="299">
                  <v>656500</v>
                </pt>
                <pt idx="316">
                  <v>160600</v>
                </pt>
                <pt idx="320">
                  <v>177200</v>
                </pt>
                <pt idx="321">
                  <v>92200</v>
                </pt>
                <pt idx="324">
                  <v>216810</v>
                </pt>
                <pt idx="333">
                  <v>138200</v>
                </pt>
                <pt idx="334">
                  <v>127100</v>
                </pt>
                <pt idx="338">
                  <v>38700</v>
                </pt>
                <pt idx="347">
                  <v>142300</v>
                </pt>
                <pt idx="348">
                  <v>35000</v>
                </pt>
                <pt idx="349">
                  <v>105000</v>
                </pt>
                <pt idx="358">
                  <v>310100</v>
                </pt>
                <pt idx="361">
                  <v>19200</v>
                </pt>
                <pt idx="369">
                  <v>192150</v>
                </pt>
                <pt idx="373">
                  <v>57200</v>
                </pt>
                <pt idx="378">
                  <v>17500</v>
                </pt>
                <pt idx="379">
                  <v>167600</v>
                </pt>
                <pt idx="395">
                  <v>12900</v>
                </pt>
                <pt idx="403">
                  <v>41700</v>
                </pt>
                <pt idx="405">
                  <v>276800</v>
                </pt>
                <pt idx="416">
                  <v>106500</v>
                </pt>
                <pt idx="431">
                  <v>358000</v>
                </pt>
                <pt idx="434">
                  <v>329200</v>
                </pt>
                <pt idx="435">
                  <v>45400</v>
                </pt>
                <pt idx="437">
                  <v>166800</v>
                </pt>
                <pt idx="445">
                  <v>185000</v>
                </pt>
                <pt idx="457">
                  <v>220300</v>
                </pt>
                <pt idx="468">
                  <v>523350</v>
                </pt>
                <pt idx="472">
                  <v>190000</v>
                </pt>
                <pt idx="473">
                  <v>3500</v>
                </pt>
                <pt idx="507">
                  <v>102600</v>
                </pt>
                <pt idx="547">
                  <v>106700</v>
                </pt>
                <pt idx="548">
                  <v>388230</v>
                </pt>
                <pt idx="549">
                  <v>262000</v>
                </pt>
                <pt idx="588">
                  <v>50500</v>
                </pt>
                <pt idx="630">
                  <v>78400</v>
                </pt>
                <pt idx="688">
                  <v>129900</v>
                </pt>
                <pt idx="704">
                  <v>9700</v>
                </pt>
              </numCache>
            </numRef>
          </val>
        </ser>
        <ser>
          <idx val="11"/>
          <order val="11"/>
          <tx>
            <strRef>
              <f>Sheet1!$V$3</f>
              <strCache>
                <ptCount val="1"/>
                <pt idx="0">
                  <v>ビルクラ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Sheet1!$V$4:$V$1104</f>
              <numCache>
                <formatCode>_(* #,##0_);_(* \(#,##0\);_(* "-"_);_(@_)</formatCode>
                <ptCount val="1101"/>
                <pt idx="251">
                  <v>50000</v>
                </pt>
                <pt idx="271">
                  <v>179180</v>
                </pt>
                <pt idx="272">
                  <v>84037</v>
                </pt>
                <pt idx="292">
                  <v>78000</v>
                </pt>
                <pt idx="299">
                  <v>500000</v>
                </pt>
                <pt idx="316">
                  <v>209280</v>
                </pt>
                <pt idx="321">
                  <v>177900</v>
                </pt>
                <pt idx="333">
                  <v>133720</v>
                </pt>
                <pt idx="358">
                  <v>264000</v>
                </pt>
                <pt idx="369">
                  <v>131300</v>
                </pt>
                <pt idx="379">
                  <v>466170</v>
                </pt>
                <pt idx="405">
                  <v>3506460</v>
                </pt>
                <pt idx="416">
                  <v>2695592</v>
                </pt>
              </numCache>
            </numRef>
          </val>
        </ser>
        <ser>
          <idx val="12"/>
          <order val="12"/>
          <tx>
            <strRef>
              <f>Sheet1!$W$3</f>
              <strCache>
                <ptCount val="1"/>
                <pt idx="0">
                  <v>伊藤建装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Sheet1!$W$4:$W$1104</f>
              <numCache>
                <formatCode>_(* #,##0_);_(* \(#,##0\);_(* "-"_);_(@_)</formatCode>
                <ptCount val="1101"/>
                <pt idx="3">
                  <v>625551</v>
                </pt>
                <pt idx="4">
                  <v>20000</v>
                </pt>
                <pt idx="17">
                  <v>20000</v>
                </pt>
                <pt idx="18">
                  <v>35000</v>
                </pt>
                <pt idx="27">
                  <v>15000</v>
                </pt>
                <pt idx="32">
                  <v>122500</v>
                </pt>
                <pt idx="35">
                  <v>674749</v>
                </pt>
                <pt idx="53">
                  <v>500000</v>
                </pt>
                <pt idx="57">
                  <v>1500000</v>
                </pt>
                <pt idx="77">
                  <v>65000</v>
                </pt>
                <pt idx="87">
                  <v>200000</v>
                </pt>
                <pt idx="89">
                  <v>125960</v>
                </pt>
                <pt idx="100">
                  <v>150000</v>
                </pt>
                <pt idx="119">
                  <v>600000</v>
                </pt>
                <pt idx="120">
                  <v>450000</v>
                </pt>
                <pt idx="125">
                  <v>200000</v>
                </pt>
                <pt idx="126">
                  <v>320000</v>
                </pt>
                <pt idx="130">
                  <v>150000</v>
                </pt>
                <pt idx="132">
                  <v>40000</v>
                </pt>
                <pt idx="137">
                  <v>568832</v>
                </pt>
                <pt idx="138">
                  <v>45000</v>
                </pt>
                <pt idx="139">
                  <v>47996</v>
                </pt>
                <pt idx="146">
                  <v>47500</v>
                </pt>
                <pt idx="147">
                  <v>47500</v>
                </pt>
                <pt idx="151">
                  <v>52000</v>
                </pt>
                <pt idx="157">
                  <v>100000</v>
                </pt>
                <pt idx="158">
                  <v>40000</v>
                </pt>
                <pt idx="160">
                  <v>48596</v>
                </pt>
                <pt idx="161">
                  <v>18000</v>
                </pt>
                <pt idx="162">
                  <v>150000</v>
                </pt>
                <pt idx="165">
                  <v>110000</v>
                </pt>
                <pt idx="167">
                  <v>180000</v>
                </pt>
                <pt idx="172">
                  <v>232337</v>
                </pt>
                <pt idx="178">
                  <v>90000</v>
                </pt>
                <pt idx="179">
                  <v>41966</v>
                </pt>
                <pt idx="187">
                  <v>150000</v>
                </pt>
                <pt idx="188">
                  <v>200000</v>
                </pt>
                <pt idx="195">
                  <v>150000</v>
                </pt>
                <pt idx="197">
                  <v>40000</v>
                </pt>
                <pt idx="198">
                  <v>20000</v>
                </pt>
                <pt idx="199">
                  <v>90000</v>
                </pt>
                <pt idx="203">
                  <v>170000</v>
                </pt>
                <pt idx="204">
                  <v>45000</v>
                </pt>
                <pt idx="205">
                  <v>100000</v>
                </pt>
                <pt idx="206">
                  <v>73000</v>
                </pt>
                <pt idx="207">
                  <v>600000</v>
                </pt>
                <pt idx="210">
                  <v>150000</v>
                </pt>
                <pt idx="214">
                  <v>150000</v>
                </pt>
                <pt idx="216">
                  <v>150000</v>
                </pt>
                <pt idx="217">
                  <v>80000</v>
                </pt>
                <pt idx="218">
                  <v>25000</v>
                </pt>
                <pt idx="219">
                  <v>180000</v>
                </pt>
                <pt idx="223">
                  <v>100000</v>
                </pt>
                <pt idx="226">
                  <v>81000</v>
                </pt>
                <pt idx="227">
                  <v>50000</v>
                </pt>
                <pt idx="228">
                  <v>25000</v>
                </pt>
                <pt idx="232">
                  <v>250000</v>
                </pt>
                <pt idx="233">
                  <v>250000</v>
                </pt>
                <pt idx="234">
                  <v>650000</v>
                </pt>
                <pt idx="235">
                  <v>30000</v>
                </pt>
                <pt idx="237">
                  <v>400000</v>
                </pt>
                <pt idx="246">
                  <v>25000</v>
                </pt>
                <pt idx="247">
                  <v>45000</v>
                </pt>
                <pt idx="251">
                  <v>150000</v>
                </pt>
                <pt idx="252">
                  <v>80000</v>
                </pt>
                <pt idx="253">
                  <v>200000</v>
                </pt>
                <pt idx="257">
                  <v>50000</v>
                </pt>
                <pt idx="258">
                  <v>40000</v>
                </pt>
                <pt idx="259">
                  <v>40000</v>
                </pt>
                <pt idx="260">
                  <v>30000</v>
                </pt>
                <pt idx="264">
                  <v>5000</v>
                </pt>
                <pt idx="265">
                  <v>150000</v>
                </pt>
                <pt idx="269">
                  <v>300000</v>
                </pt>
                <pt idx="270">
                  <v>150000</v>
                </pt>
                <pt idx="275">
                  <v>45000</v>
                </pt>
                <pt idx="278">
                  <v>700000</v>
                </pt>
                <pt idx="279">
                  <v>50000</v>
                </pt>
                <pt idx="283">
                  <v>38000</v>
                </pt>
                <pt idx="286">
                  <v>750000</v>
                </pt>
                <pt idx="287">
                  <v>120000</v>
                </pt>
                <pt idx="291">
                  <v>200000</v>
                </pt>
                <pt idx="296">
                  <v>180000</v>
                </pt>
                <pt idx="301">
                  <v>290000</v>
                </pt>
                <pt idx="303">
                  <v>80000</v>
                </pt>
                <pt idx="307">
                  <v>70000</v>
                </pt>
                <pt idx="308">
                  <v>180000</v>
                </pt>
                <pt idx="309">
                  <v>180000</v>
                </pt>
                <pt idx="310">
                  <v>50000</v>
                </pt>
                <pt idx="311">
                  <v>60000</v>
                </pt>
                <pt idx="314">
                  <v>80000</v>
                </pt>
                <pt idx="315">
                  <v>300000</v>
                </pt>
                <pt idx="317">
                  <v>35000</v>
                </pt>
                <pt idx="324">
                  <v>200000</v>
                </pt>
                <pt idx="325">
                  <v>40000</v>
                </pt>
                <pt idx="327">
                  <v>80000</v>
                </pt>
                <pt idx="330">
                  <v>300000</v>
                </pt>
                <pt idx="331">
                  <v>100000</v>
                </pt>
                <pt idx="332">
                  <v>250000</v>
                </pt>
                <pt idx="335">
                  <v>40000</v>
                </pt>
                <pt idx="336">
                  <v>60000</v>
                </pt>
                <pt idx="339">
                  <v>30000</v>
                </pt>
                <pt idx="340">
                  <v>35000</v>
                </pt>
                <pt idx="341">
                  <v>35000</v>
                </pt>
                <pt idx="342">
                  <v>35000</v>
                </pt>
                <pt idx="343">
                  <v>50000</v>
                </pt>
                <pt idx="344">
                  <v>50000</v>
                </pt>
                <pt idx="347">
                  <v>142000</v>
                </pt>
                <pt idx="349">
                  <v>48000</v>
                </pt>
                <pt idx="352">
                  <v>50000</v>
                </pt>
                <pt idx="353">
                  <v>120000</v>
                </pt>
                <pt idx="354">
                  <v>48000</v>
                </pt>
                <pt idx="355">
                  <v>48000</v>
                </pt>
                <pt idx="360">
                  <v>90000</v>
                </pt>
                <pt idx="361">
                  <v>160000</v>
                </pt>
                <pt idx="364">
                  <v>120000</v>
                </pt>
                <pt idx="365">
                  <v>900000</v>
                </pt>
                <pt idx="366">
                  <v>150000</v>
                </pt>
                <pt idx="367">
                  <v>120000</v>
                </pt>
                <pt idx="368">
                  <v>500000</v>
                </pt>
                <pt idx="370">
                  <v>35000</v>
                </pt>
                <pt idx="374">
                  <v>180000</v>
                </pt>
                <pt idx="377">
                  <v>80000</v>
                </pt>
                <pt idx="378">
                  <v>160000</v>
                </pt>
                <pt idx="380">
                  <v>50000</v>
                </pt>
                <pt idx="382">
                  <v>180000</v>
                </pt>
                <pt idx="383">
                  <v>56000</v>
                </pt>
                <pt idx="384">
                  <v>60000</v>
                </pt>
                <pt idx="385">
                  <v>0</v>
                </pt>
                <pt idx="386">
                  <v>4700000</v>
                </pt>
                <pt idx="387">
                  <v>60000</v>
                </pt>
                <pt idx="389">
                  <v>700000</v>
                </pt>
                <pt idx="392">
                  <v>630000</v>
                </pt>
                <pt idx="395">
                  <v>40000</v>
                </pt>
                <pt idx="396">
                  <v>290000</v>
                </pt>
                <pt idx="397">
                  <v>180000</v>
                </pt>
                <pt idx="398">
                  <v>350000</v>
                </pt>
                <pt idx="399">
                  <v>400000</v>
                </pt>
                <pt idx="400">
                  <v>80000</v>
                </pt>
                <pt idx="403">
                  <v>900000</v>
                </pt>
                <pt idx="406">
                  <v>120000</v>
                </pt>
                <pt idx="408">
                  <v>850000</v>
                </pt>
                <pt idx="409">
                  <v>35000</v>
                </pt>
                <pt idx="410">
                  <v>120000</v>
                </pt>
                <pt idx="414">
                  <v>140000</v>
                </pt>
                <pt idx="415">
                  <v>100000</v>
                </pt>
                <pt idx="417">
                  <v>500000</v>
                </pt>
                <pt idx="418">
                  <v>60000</v>
                </pt>
                <pt idx="420">
                  <v>298000</v>
                </pt>
                <pt idx="422">
                  <v>386276</v>
                </pt>
                <pt idx="423">
                  <v>300000</v>
                </pt>
                <pt idx="424">
                  <v>85000</v>
                </pt>
                <pt idx="427">
                  <v>180000</v>
                </pt>
                <pt idx="428">
                  <v>180000</v>
                </pt>
                <pt idx="429">
                  <v>25000</v>
                </pt>
                <pt idx="431">
                  <v>15000</v>
                </pt>
                <pt idx="433">
                  <v>265000</v>
                </pt>
                <pt idx="435">
                  <v>20000</v>
                </pt>
                <pt idx="436">
                  <v>230000</v>
                </pt>
                <pt idx="438">
                  <v>180000</v>
                </pt>
                <pt idx="439">
                  <v>50000</v>
                </pt>
                <pt idx="442">
                  <v>80000</v>
                </pt>
                <pt idx="443">
                  <v>45000</v>
                </pt>
                <pt idx="444">
                  <v>300000</v>
                </pt>
                <pt idx="445">
                  <v>150000</v>
                </pt>
                <pt idx="446">
                  <v>80000</v>
                </pt>
                <pt idx="450">
                  <v>100000</v>
                </pt>
                <pt idx="451">
                  <v>400000</v>
                </pt>
                <pt idx="452">
                  <v>120000</v>
                </pt>
                <pt idx="453">
                  <v>25000</v>
                </pt>
                <pt idx="455">
                  <v>25000</v>
                </pt>
                <pt idx="456">
                  <v>35000</v>
                </pt>
                <pt idx="459">
                  <v>100000</v>
                </pt>
                <pt idx="460">
                  <v>80000</v>
                </pt>
                <pt idx="461">
                  <v>600000</v>
                </pt>
                <pt idx="463">
                  <v>150000</v>
                </pt>
                <pt idx="467">
                  <v>80000</v>
                </pt>
                <pt idx="468">
                  <v>30000</v>
                </pt>
                <pt idx="469">
                  <v>420000</v>
                </pt>
                <pt idx="470">
                  <v>400000</v>
                </pt>
                <pt idx="471">
                  <v>200000</v>
                </pt>
                <pt idx="476">
                  <v>80000</v>
                </pt>
                <pt idx="478">
                  <v>25000</v>
                </pt>
                <pt idx="480">
                  <v>80000</v>
                </pt>
                <pt idx="481">
                  <v>35000</v>
                </pt>
                <pt idx="484">
                  <v>500000</v>
                </pt>
                <pt idx="487">
                  <v>60000</v>
                </pt>
                <pt idx="488">
                  <v>50000</v>
                </pt>
                <pt idx="489">
                  <v>500000</v>
                </pt>
                <pt idx="491">
                  <v>500000</v>
                </pt>
                <pt idx="492">
                  <v>100000</v>
                </pt>
                <pt idx="493">
                  <v>250000</v>
                </pt>
                <pt idx="494">
                  <v>50000</v>
                </pt>
                <pt idx="496">
                  <v>400000</v>
                </pt>
                <pt idx="497">
                  <v>50000</v>
                </pt>
                <pt idx="500">
                  <v>200000</v>
                </pt>
                <pt idx="501">
                  <v>80000</v>
                </pt>
                <pt idx="502">
                  <v>330000</v>
                </pt>
                <pt idx="503">
                  <v>200000</v>
                </pt>
                <pt idx="505">
                  <v>350000</v>
                </pt>
                <pt idx="506">
                  <v>200000</v>
                </pt>
                <pt idx="507">
                  <v>650000</v>
                </pt>
                <pt idx="508">
                  <v>20000</v>
                </pt>
                <pt idx="509">
                  <v>60000</v>
                </pt>
                <pt idx="511">
                  <v>400000</v>
                </pt>
                <pt idx="513">
                  <v>80000</v>
                </pt>
                <pt idx="518">
                  <v>120000</v>
                </pt>
                <pt idx="519">
                  <v>85000</v>
                </pt>
                <pt idx="520">
                  <v>100000</v>
                </pt>
                <pt idx="521">
                  <v>35000</v>
                </pt>
                <pt idx="524">
                  <v>30000</v>
                </pt>
                <pt idx="525">
                  <v>50000</v>
                </pt>
                <pt idx="527">
                  <v>500000</v>
                </pt>
                <pt idx="529">
                  <v>35000</v>
                </pt>
                <pt idx="530">
                  <v>1135000</v>
                </pt>
                <pt idx="531">
                  <v>60000</v>
                </pt>
                <pt idx="539">
                  <v>20000</v>
                </pt>
                <pt idx="543">
                  <v>80000</v>
                </pt>
                <pt idx="544">
                  <v>12000</v>
                </pt>
                <pt idx="545">
                  <v>130000</v>
                </pt>
                <pt idx="547">
                  <v>809160</v>
                </pt>
                <pt idx="548">
                  <v>25000</v>
                </pt>
                <pt idx="549">
                  <v>30000</v>
                </pt>
                <pt idx="551">
                  <v>300000</v>
                </pt>
                <pt idx="552">
                  <v>80000</v>
                </pt>
                <pt idx="555">
                  <v>20000</v>
                </pt>
                <pt idx="561">
                  <v>40000</v>
                </pt>
                <pt idx="562">
                  <v>80000</v>
                </pt>
                <pt idx="563">
                  <v>16000</v>
                </pt>
                <pt idx="565">
                  <v>75000</v>
                </pt>
                <pt idx="569">
                  <v>20000</v>
                </pt>
                <pt idx="570">
                  <v>24000</v>
                </pt>
                <pt idx="572">
                  <v>62000</v>
                </pt>
                <pt idx="574">
                  <v>50000</v>
                </pt>
                <pt idx="575">
                  <v>110000</v>
                </pt>
                <pt idx="576">
                  <v>25000</v>
                </pt>
                <pt idx="578">
                  <v>100000</v>
                </pt>
                <pt idx="579">
                  <v>123000</v>
                </pt>
                <pt idx="580">
                  <v>123000</v>
                </pt>
                <pt idx="581">
                  <v>78000</v>
                </pt>
                <pt idx="582">
                  <v>117000</v>
                </pt>
                <pt idx="583">
                  <v>120000</v>
                </pt>
                <pt idx="584">
                  <v>40000</v>
                </pt>
                <pt idx="585">
                  <v>280000</v>
                </pt>
                <pt idx="592">
                  <v>200000</v>
                </pt>
                <pt idx="594">
                  <v>150000</v>
                </pt>
                <pt idx="597">
                  <v>164000</v>
                </pt>
                <pt idx="598">
                  <v>144000</v>
                </pt>
                <pt idx="599">
                  <v>102000</v>
                </pt>
                <pt idx="608">
                  <v>200000</v>
                </pt>
                <pt idx="609">
                  <v>80000</v>
                </pt>
                <pt idx="612">
                  <v>250000</v>
                </pt>
                <pt idx="615">
                  <v>20000</v>
                </pt>
                <pt idx="616">
                  <v>70000</v>
                </pt>
                <pt idx="617">
                  <v>124000</v>
                </pt>
                <pt idx="618">
                  <v>124000</v>
                </pt>
                <pt idx="619">
                  <v>230000</v>
                </pt>
                <pt idx="620">
                  <v>52000</v>
                </pt>
                <pt idx="624">
                  <v>124000</v>
                </pt>
                <pt idx="625">
                  <v>50000</v>
                </pt>
                <pt idx="631">
                  <v>92800</v>
                </pt>
                <pt idx="632">
                  <v>77600</v>
                </pt>
                <pt idx="633">
                  <v>43000</v>
                </pt>
                <pt idx="634">
                  <v>20000</v>
                </pt>
                <pt idx="636">
                  <v>40000</v>
                </pt>
                <pt idx="637">
                  <v>91000</v>
                </pt>
                <pt idx="638">
                  <v>980000</v>
                </pt>
                <pt idx="643">
                  <v>15000</v>
                </pt>
                <pt idx="644">
                  <v>122000</v>
                </pt>
                <pt idx="645">
                  <v>93400</v>
                </pt>
                <pt idx="646">
                  <v>140000</v>
                </pt>
                <pt idx="649">
                  <v>60000</v>
                </pt>
                <pt idx="652">
                  <v>150000</v>
                </pt>
                <pt idx="653">
                  <v>80000</v>
                </pt>
                <pt idx="654">
                  <v>40000</v>
                </pt>
                <pt idx="655">
                  <v>20000</v>
                </pt>
                <pt idx="658">
                  <v>70000</v>
                </pt>
                <pt idx="660">
                  <v>300000</v>
                </pt>
                <pt idx="661">
                  <v>40000</v>
                </pt>
                <pt idx="662">
                  <v>45000</v>
                </pt>
                <pt idx="663">
                  <v>60000</v>
                </pt>
                <pt idx="669">
                  <v>430080</v>
                </pt>
                <pt idx="671">
                  <v>60000</v>
                </pt>
                <pt idx="675">
                  <v>90000</v>
                </pt>
                <pt idx="678">
                  <v>300000</v>
                </pt>
                <pt idx="680">
                  <v>455360</v>
                </pt>
                <pt idx="684">
                  <v>100000</v>
                </pt>
                <pt idx="686">
                  <v>45000</v>
                </pt>
                <pt idx="689">
                  <v>20000</v>
                </pt>
                <pt idx="692">
                  <v>220000</v>
                </pt>
                <pt idx="696">
                  <v>80000</v>
                </pt>
                <pt idx="699">
                  <v>150000</v>
                </pt>
                <pt idx="701">
                  <v>45000</v>
                </pt>
                <pt idx="703">
                  <v>160000</v>
                </pt>
                <pt idx="704">
                  <v>25000</v>
                </pt>
                <pt idx="706">
                  <v>20000</v>
                </pt>
                <pt idx="708">
                  <v>50000</v>
                </pt>
                <pt idx="709">
                  <v>20000</v>
                </pt>
                <pt idx="710">
                  <v>18000</v>
                </pt>
                <pt idx="711">
                  <v>15000</v>
                </pt>
                <pt idx="715">
                  <v>25000</v>
                </pt>
                <pt idx="716">
                  <v>30000</v>
                </pt>
                <pt idx="719">
                  <v>120000</v>
                </pt>
                <pt idx="720">
                  <v>600000</v>
                </pt>
                <pt idx="721">
                  <v>400000</v>
                </pt>
                <pt idx="725">
                  <v>0</v>
                </pt>
              </numCache>
            </numRef>
          </val>
        </ser>
        <ser>
          <idx val="13"/>
          <order val="13"/>
          <tx>
            <strRef>
              <f>Sheet1!$X$3</f>
              <strCache>
                <ptCount val="1"/>
                <pt idx="0">
                  <v>部材購入費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Sheet1!$X$4:$X$1104</f>
              <numCache>
                <formatCode>_(* #,##0_);_(* \(#,##0\);_(* "-"_);_(@_)</formatCode>
                <ptCount val="1101"/>
                <pt idx="119">
                  <v>180408</v>
                </pt>
                <pt idx="120">
                  <v>77206</v>
                </pt>
                <pt idx="125">
                  <v>21168</v>
                </pt>
                <pt idx="126">
                  <v>5592</v>
                </pt>
                <pt idx="151">
                  <v>18860</v>
                </pt>
                <pt idx="187">
                  <v>22507</v>
                </pt>
                <pt idx="188">
                  <v>41555</v>
                </pt>
                <pt idx="195">
                  <v>22075</v>
                </pt>
                <pt idx="203">
                  <v>17170</v>
                </pt>
                <pt idx="204">
                  <v>2678</v>
                </pt>
                <pt idx="205">
                  <v>11719</v>
                </pt>
                <pt idx="207">
                  <v>76643</v>
                </pt>
                <pt idx="210">
                  <v>27398</v>
                </pt>
                <pt idx="217">
                  <v>10116</v>
                </pt>
                <pt idx="219">
                  <v>40203</v>
                </pt>
                <pt idx="223">
                  <v>62156</v>
                </pt>
                <pt idx="226">
                  <v>41493</v>
                </pt>
                <pt idx="228">
                  <v>42000</v>
                </pt>
                <pt idx="232">
                  <v>53371</v>
                </pt>
                <pt idx="233">
                  <v>14434</v>
                </pt>
                <pt idx="234">
                  <v>97897</v>
                </pt>
                <pt idx="235">
                  <v>6241</v>
                </pt>
                <pt idx="236">
                  <v>15000</v>
                </pt>
                <pt idx="237">
                  <v>66922</v>
                </pt>
                <pt idx="242">
                  <v>59734</v>
                </pt>
                <pt idx="247">
                  <v>9589</v>
                </pt>
                <pt idx="252">
                  <v>7504</v>
                </pt>
                <pt idx="253">
                  <v>58693</v>
                </pt>
                <pt idx="257">
                  <v>7719</v>
                </pt>
                <pt idx="258">
                  <v>18499</v>
                </pt>
                <pt idx="260">
                  <v>8872</v>
                </pt>
                <pt idx="265">
                  <v>15000</v>
                </pt>
                <pt idx="269">
                  <v>106912</v>
                </pt>
                <pt idx="270">
                  <v>16830</v>
                </pt>
                <pt idx="278">
                  <v>217131</v>
                </pt>
                <pt idx="286">
                  <v>100000</v>
                </pt>
                <pt idx="287">
                  <v>11896</v>
                </pt>
                <pt idx="296">
                  <v>36630</v>
                </pt>
                <pt idx="301">
                  <v>97036</v>
                </pt>
                <pt idx="303">
                  <v>27559</v>
                </pt>
                <pt idx="307">
                  <v>3443</v>
                </pt>
                <pt idx="308">
                  <v>18565</v>
                </pt>
                <pt idx="309">
                  <v>18565</v>
                </pt>
                <pt idx="310">
                  <v>12766</v>
                </pt>
                <pt idx="314">
                  <v>28370</v>
                </pt>
                <pt idx="315">
                  <v>68977</v>
                </pt>
                <pt idx="324">
                  <v>28716</v>
                </pt>
                <pt idx="327">
                  <v>39638</v>
                </pt>
                <pt idx="330">
                  <v>83361</v>
                </pt>
                <pt idx="331">
                  <v>29716</v>
                </pt>
                <pt idx="332">
                  <v>76687</v>
                </pt>
                <pt idx="335">
                  <v>5608</v>
                </pt>
                <pt idx="336">
                  <v>29014</v>
                </pt>
                <pt idx="342">
                  <v>15762</v>
                </pt>
                <pt idx="343">
                  <v>3841</v>
                </pt>
                <pt idx="353">
                  <v>11802</v>
                </pt>
                <pt idx="360">
                  <v>31436</v>
                </pt>
                <pt idx="361">
                  <v>45762</v>
                </pt>
                <pt idx="364">
                  <v>45422</v>
                </pt>
                <pt idx="365">
                  <v>140527</v>
                </pt>
                <pt idx="366">
                  <v>26615</v>
                </pt>
                <pt idx="367">
                  <v>27818</v>
                </pt>
                <pt idx="368">
                  <v>159460</v>
                </pt>
                <pt idx="370">
                  <v>12899</v>
                </pt>
                <pt idx="374">
                  <v>54230</v>
                </pt>
                <pt idx="378">
                  <v>9696</v>
                </pt>
                <pt idx="380">
                  <v>16523</v>
                </pt>
                <pt idx="382">
                  <v>19340</v>
                </pt>
                <pt idx="383">
                  <v>6556</v>
                </pt>
                <pt idx="384">
                  <v>27614</v>
                </pt>
                <pt idx="386">
                  <v>1670910</v>
                </pt>
                <pt idx="387">
                  <v>14442</v>
                </pt>
                <pt idx="389">
                  <v>227935</v>
                </pt>
                <pt idx="392">
                  <v>55490</v>
                </pt>
                <pt idx="396">
                  <v>97036</v>
                </pt>
                <pt idx="397">
                  <v>25727</v>
                </pt>
                <pt idx="398">
                  <v>77245</v>
                </pt>
                <pt idx="399">
                  <v>55150</v>
                </pt>
                <pt idx="400">
                  <v>16784</v>
                </pt>
                <pt idx="403">
                  <v>510835</v>
                </pt>
                <pt idx="406">
                  <v>32022</v>
                </pt>
                <pt idx="408">
                  <v>161889</v>
                </pt>
                <pt idx="410">
                  <v>42763</v>
                </pt>
                <pt idx="414">
                  <v>21560</v>
                </pt>
                <pt idx="415">
                  <v>33560</v>
                </pt>
                <pt idx="417">
                  <v>92354</v>
                </pt>
                <pt idx="420">
                  <v>87046</v>
                </pt>
                <pt idx="423">
                  <v>28318</v>
                </pt>
                <pt idx="427">
                  <v>18076</v>
                </pt>
                <pt idx="428">
                  <v>24168</v>
                </pt>
                <pt idx="429">
                  <v>7418</v>
                </pt>
                <pt idx="433">
                  <v>38865</v>
                </pt>
                <pt idx="436">
                  <v>46777</v>
                </pt>
                <pt idx="438">
                  <v>25515</v>
                </pt>
                <pt idx="444">
                  <v>29160</v>
                </pt>
                <pt idx="445">
                  <v>121185</v>
                </pt>
                <pt idx="446">
                  <v>15914</v>
                </pt>
                <pt idx="450">
                  <v>19456</v>
                </pt>
                <pt idx="451">
                  <v>94883</v>
                </pt>
                <pt idx="452">
                  <v>48963</v>
                </pt>
                <pt idx="459">
                  <v>35000</v>
                </pt>
                <pt idx="460">
                  <v>23464</v>
                </pt>
                <pt idx="461">
                  <v>217271</v>
                </pt>
                <pt idx="463">
                  <v>37917</v>
                </pt>
                <pt idx="467">
                  <v>9000</v>
                </pt>
                <pt idx="469">
                  <v>37587</v>
                </pt>
                <pt idx="470">
                  <v>57588</v>
                </pt>
                <pt idx="471">
                  <v>28638</v>
                </pt>
                <pt idx="476">
                  <v>25082</v>
                </pt>
                <pt idx="480">
                  <v>1925</v>
                </pt>
                <pt idx="481">
                  <v>5632</v>
                </pt>
                <pt idx="484">
                  <v>81199</v>
                </pt>
                <pt idx="487">
                  <v>19610</v>
                </pt>
                <pt idx="489">
                  <v>312794</v>
                </pt>
                <pt idx="491">
                  <v>118862</v>
                </pt>
                <pt idx="492">
                  <v>33279</v>
                </pt>
                <pt idx="493">
                  <v>15836</v>
                </pt>
                <pt idx="496">
                  <v>137158</v>
                </pt>
                <pt idx="500">
                  <v>28868</v>
                </pt>
                <pt idx="501">
                  <v>14497</v>
                </pt>
                <pt idx="502">
                  <v>158954</v>
                </pt>
                <pt idx="503">
                  <v>51134</v>
                </pt>
                <pt idx="505">
                  <v>75035</v>
                </pt>
                <pt idx="506">
                  <v>6164</v>
                </pt>
                <pt idx="507">
                  <v>195659</v>
                </pt>
                <pt idx="509">
                  <v>12000</v>
                </pt>
                <pt idx="511">
                  <v>48983</v>
                </pt>
                <pt idx="513">
                  <v>8178</v>
                </pt>
                <pt idx="518">
                  <v>3982</v>
                </pt>
                <pt idx="519">
                  <v>18804</v>
                </pt>
                <pt idx="520">
                  <v>31697</v>
                </pt>
                <pt idx="524">
                  <v>12523</v>
                </pt>
                <pt idx="525">
                  <v>11172</v>
                </pt>
                <pt idx="527">
                  <v>155632</v>
                </pt>
                <pt idx="529">
                  <v>3772</v>
                </pt>
                <pt idx="530">
                  <v>310403</v>
                </pt>
                <pt idx="534">
                  <v>82544</v>
                </pt>
                <pt idx="545">
                  <v>13792</v>
                </pt>
                <pt idx="549">
                  <v>3926</v>
                </pt>
                <pt idx="551">
                  <v>18764</v>
                </pt>
                <pt idx="552">
                  <v>22076</v>
                </pt>
                <pt idx="561">
                  <v>12571</v>
                </pt>
                <pt idx="562">
                  <v>12468</v>
                </pt>
                <pt idx="563">
                  <v>7486</v>
                </pt>
                <pt idx="565">
                  <v>9695</v>
                </pt>
                <pt idx="569">
                  <v>4698</v>
                </pt>
                <pt idx="572">
                  <v>5744</v>
                </pt>
                <pt idx="574">
                  <v>8426</v>
                </pt>
                <pt idx="575">
                  <v>15764</v>
                </pt>
                <pt idx="576">
                  <v>2312</v>
                </pt>
                <pt idx="578">
                  <v>18765</v>
                </pt>
                <pt idx="579">
                  <v>29518</v>
                </pt>
                <pt idx="580">
                  <v>29518</v>
                </pt>
                <pt idx="581">
                  <v>26768</v>
                </pt>
                <pt idx="582">
                  <v>26768</v>
                </pt>
                <pt idx="583">
                  <v>44252</v>
                </pt>
                <pt idx="584">
                  <v>5626</v>
                </pt>
                <pt idx="592">
                  <v>86334</v>
                </pt>
                <pt idx="597">
                  <v>29518</v>
                </pt>
                <pt idx="598">
                  <v>29518</v>
                </pt>
                <pt idx="608">
                  <v>63166</v>
                </pt>
                <pt idx="609">
                  <v>43521</v>
                </pt>
                <pt idx="612">
                  <v>63166</v>
                </pt>
                <pt idx="615">
                  <v>7224</v>
                </pt>
                <pt idx="616">
                  <v>16574</v>
                </pt>
                <pt idx="618">
                  <v>8779</v>
                </pt>
                <pt idx="619">
                  <v>110522</v>
                </pt>
                <pt idx="625">
                  <v>5859</v>
                </pt>
                <pt idx="636">
                  <v>11942</v>
                </pt>
                <pt idx="637">
                  <v>26039</v>
                </pt>
                <pt idx="638">
                  <v>638866</v>
                </pt>
                <pt idx="644">
                  <v>18682</v>
                </pt>
                <pt idx="646">
                  <v>30802</v>
                </pt>
                <pt idx="649">
                  <v>19699</v>
                </pt>
                <pt idx="652">
                  <v>37263</v>
                </pt>
                <pt idx="653">
                  <v>95586</v>
                </pt>
                <pt idx="654">
                  <v>4133</v>
                </pt>
                <pt idx="655">
                  <v>5752</v>
                </pt>
                <pt idx="658">
                  <v>30960</v>
                </pt>
                <pt idx="660">
                  <v>45237</v>
                </pt>
                <pt idx="661">
                  <v>85028</v>
                </pt>
                <pt idx="662">
                  <v>44168</v>
                </pt>
                <pt idx="671">
                  <v>29654</v>
                </pt>
                <pt idx="675">
                  <v>39637</v>
                </pt>
                <pt idx="678">
                  <v>58334</v>
                </pt>
                <pt idx="684">
                  <v>22000</v>
                </pt>
                <pt idx="686">
                  <v>13386</v>
                </pt>
                <pt idx="689">
                  <v>5754</v>
                </pt>
                <pt idx="692">
                  <v>27693</v>
                </pt>
                <pt idx="696">
                  <v>12776</v>
                </pt>
                <pt idx="699">
                  <v>37735</v>
                </pt>
                <pt idx="701">
                  <v>3496</v>
                </pt>
                <pt idx="703">
                  <v>35524</v>
                </pt>
                <pt idx="708">
                  <v>61365</v>
                </pt>
                <pt idx="709">
                  <v>5668</v>
                </pt>
                <pt idx="710">
                  <v>2155</v>
                </pt>
                <pt idx="711">
                  <v>7678</v>
                </pt>
                <pt idx="713">
                  <v>3000</v>
                </pt>
                <pt idx="737">
                  <v>111</v>
                </pt>
              </numCache>
            </numRef>
          </val>
        </ser>
        <ser>
          <idx val="14"/>
          <order val="14"/>
          <tx>
            <strRef>
              <f>Sheet1!$Y$3</f>
              <strCache>
                <ptCount val="1"/>
                <pt idx="0">
                  <v>前野木工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Sheet1!$Y$4:$Y$1104</f>
              <numCache>
                <formatCode>_(* #,##0_);_(* \(#,##0\);_(* "-"_);_(@_)</formatCode>
                <ptCount val="1101"/>
                <pt idx="57">
                  <v>85000</v>
                </pt>
                <pt idx="125">
                  <v>70000</v>
                </pt>
                <pt idx="188">
                  <v>110000</v>
                </pt>
                <pt idx="207">
                  <v>192000</v>
                </pt>
                <pt idx="216">
                  <v>265000</v>
                </pt>
                <pt idx="234">
                  <v>133000</v>
                </pt>
                <pt idx="259">
                  <v>40000</v>
                </pt>
                <pt idx="264">
                  <v>146500</v>
                </pt>
                <pt idx="286">
                  <v>120000</v>
                </pt>
                <pt idx="364">
                  <v>97000</v>
                </pt>
                <pt idx="386">
                  <v>352000</v>
                </pt>
                <pt idx="389">
                  <v>68000</v>
                </pt>
                <pt idx="422">
                  <v>72050</v>
                </pt>
                <pt idx="542">
                  <v>87000</v>
                </pt>
              </numCache>
            </numRef>
          </val>
        </ser>
        <ser>
          <idx val="15"/>
          <order val="15"/>
          <tx>
            <strRef>
              <f>Sheet1!$Z$3</f>
              <strCache>
                <ptCount val="1"/>
                <pt idx="0">
                  <v>加藤テクニカ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Sheet1!$Z$4:$Z$1104</f>
              <numCache>
                <formatCode>_(* #,##0_);_(* \(#,##0\);_(* "-"_);_(@_)</formatCode>
                <ptCount val="1101"/>
                <pt idx="25">
                  <v>27000</v>
                </pt>
                <pt idx="148">
                  <v>205000</v>
                </pt>
                <pt idx="149">
                  <v>205000</v>
                </pt>
                <pt idx="156">
                  <v>50000</v>
                </pt>
                <pt idx="358">
                  <v>208000</v>
                </pt>
                <pt idx="367">
                  <v>550</v>
                </pt>
                <pt idx="386">
                  <v>371000</v>
                </pt>
                <pt idx="529">
                  <v>291000</v>
                </pt>
                <pt idx="687">
                  <v>240000</v>
                </pt>
              </numCache>
            </numRef>
          </val>
        </ser>
        <ser>
          <idx val="16"/>
          <order val="16"/>
          <tx>
            <strRef>
              <f>Sheet1!$AA$3</f>
              <strCache>
                <ptCount val="1"/>
                <pt idx="0">
                  <v>はやでん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Sheet1!$AA$4:$AA$1104</f>
              <numCache>
                <formatCode>_(* #,##0_);_(* \(#,##0\);_(* "-"_);_(@_)</formatCode>
                <ptCount val="1101"/>
                <pt idx="3">
                  <v>80000</v>
                </pt>
                <pt idx="15">
                  <v>80000</v>
                </pt>
                <pt idx="17">
                  <v>70000</v>
                </pt>
                <pt idx="18">
                  <v>32000</v>
                </pt>
                <pt idx="25">
                  <v>69000</v>
                </pt>
                <pt idx="26">
                  <v>93000</v>
                </pt>
                <pt idx="27">
                  <v>75000</v>
                </pt>
                <pt idx="28">
                  <v>16000</v>
                </pt>
                <pt idx="33">
                  <v>60000</v>
                </pt>
                <pt idx="35">
                  <v>1042800</v>
                </pt>
                <pt idx="38">
                  <v>21000</v>
                </pt>
                <pt idx="39">
                  <v>28000</v>
                </pt>
                <pt idx="40">
                  <v>14000</v>
                </pt>
                <pt idx="41">
                  <v>250200</v>
                </pt>
                <pt idx="45">
                  <v>32000</v>
                </pt>
                <pt idx="46">
                  <v>32000</v>
                </pt>
                <pt idx="49">
                  <v>14000</v>
                </pt>
                <pt idx="50">
                  <v>11500</v>
                </pt>
                <pt idx="51">
                  <v>25500</v>
                </pt>
                <pt idx="53">
                  <v>200000</v>
                </pt>
                <pt idx="57">
                  <v>1523200</v>
                </pt>
                <pt idx="61">
                  <v>160000</v>
                </pt>
                <pt idx="78">
                  <v>20000</v>
                </pt>
                <pt idx="87">
                  <v>40000</v>
                </pt>
                <pt idx="88">
                  <v>60000</v>
                </pt>
                <pt idx="89">
                  <v>83000</v>
                </pt>
                <pt idx="100">
                  <v>75000</v>
                </pt>
                <pt idx="110">
                  <v>34000</v>
                </pt>
                <pt idx="120">
                  <v>200000</v>
                </pt>
                <pt idx="125">
                  <v>30000</v>
                </pt>
                <pt idx="126">
                  <v>30000</v>
                </pt>
                <pt idx="130">
                  <v>52000</v>
                </pt>
                <pt idx="131">
                  <v>47000</v>
                </pt>
                <pt idx="137">
                  <v>40720</v>
                </pt>
                <pt idx="138">
                  <v>8000</v>
                </pt>
                <pt idx="154">
                  <v>16000</v>
                </pt>
                <pt idx="156">
                  <v>8000</v>
                </pt>
                <pt idx="157">
                  <v>60000</v>
                </pt>
                <pt idx="158">
                  <v>120000</v>
                </pt>
                <pt idx="159">
                  <v>92000</v>
                </pt>
                <pt idx="162">
                  <v>35000</v>
                </pt>
                <pt idx="165">
                  <v>30000</v>
                </pt>
                <pt idx="172">
                  <v>120000</v>
                </pt>
                <pt idx="173">
                  <v>10000</v>
                </pt>
                <pt idx="178">
                  <v>0</v>
                </pt>
                <pt idx="179">
                  <v>40000</v>
                </pt>
                <pt idx="185">
                  <v>0</v>
                </pt>
                <pt idx="186">
                  <v>16000</v>
                </pt>
                <pt idx="187">
                  <v>90000</v>
                </pt>
                <pt idx="195">
                  <v>60000</v>
                </pt>
                <pt idx="198">
                  <v>40000</v>
                </pt>
                <pt idx="203">
                  <v>58000</v>
                </pt>
                <pt idx="204">
                  <v>44000</v>
                </pt>
                <pt idx="205">
                  <v>40500</v>
                </pt>
                <pt idx="206">
                  <v>205000</v>
                </pt>
                <pt idx="207">
                  <v>200000</v>
                </pt>
                <pt idx="209">
                  <v>380000</v>
                </pt>
                <pt idx="210">
                  <v>18000</v>
                </pt>
                <pt idx="214">
                  <v>50000</v>
                </pt>
                <pt idx="216">
                  <v>50000</v>
                </pt>
                <pt idx="217">
                  <v>161000</v>
                </pt>
                <pt idx="218">
                  <v>10000</v>
                </pt>
                <pt idx="223">
                  <v>25000</v>
                </pt>
                <pt idx="224">
                  <v>69920</v>
                </pt>
                <pt idx="225">
                  <v>100000</v>
                </pt>
                <pt idx="228">
                  <v>18000</v>
                </pt>
                <pt idx="232">
                  <v>90000</v>
                </pt>
                <pt idx="233">
                  <v>20000</v>
                </pt>
                <pt idx="234">
                  <v>220000</v>
                </pt>
                <pt idx="235">
                  <v>20000</v>
                </pt>
                <pt idx="237">
                  <v>453500</v>
                </pt>
                <pt idx="238">
                  <v>25000</v>
                </pt>
                <pt idx="240">
                  <v>35000</v>
                </pt>
                <pt idx="242">
                  <v>278000</v>
                </pt>
                <pt idx="244">
                  <v>54000</v>
                </pt>
                <pt idx="253">
                  <v>140000</v>
                </pt>
                <pt idx="257">
                  <v>33000</v>
                </pt>
                <pt idx="259">
                  <v>8000</v>
                </pt>
                <pt idx="262">
                  <v>70000</v>
                </pt>
                <pt idx="263">
                  <v>105000</v>
                </pt>
                <pt idx="265">
                  <v>55000</v>
                </pt>
                <pt idx="269">
                  <v>200000</v>
                </pt>
                <pt idx="270">
                  <v>40000</v>
                </pt>
                <pt idx="272">
                  <v>30000</v>
                </pt>
                <pt idx="278">
                  <v>230000</v>
                </pt>
                <pt idx="280">
                  <v>35000</v>
                </pt>
                <pt idx="281">
                  <v>45000</v>
                </pt>
                <pt idx="282">
                  <v>27000</v>
                </pt>
                <pt idx="286">
                  <v>300000</v>
                </pt>
                <pt idx="287">
                  <v>12000</v>
                </pt>
                <pt idx="291">
                  <v>35000</v>
                </pt>
                <pt idx="299">
                  <v>360000</v>
                </pt>
                <pt idx="301">
                  <v>20000</v>
                </pt>
                <pt idx="308">
                  <v>130000</v>
                </pt>
                <pt idx="309">
                  <v>130000</v>
                </pt>
                <pt idx="310">
                  <v>740000</v>
                </pt>
                <pt idx="315">
                  <v>15000</v>
                </pt>
                <pt idx="316">
                  <v>32000</v>
                </pt>
                <pt idx="323">
                  <v>21500</v>
                </pt>
                <pt idx="324">
                  <v>51920</v>
                </pt>
                <pt idx="330">
                  <v>90000</v>
                </pt>
                <pt idx="353">
                  <v>26000</v>
                </pt>
                <pt idx="358">
                  <v>24000</v>
                </pt>
                <pt idx="360">
                  <v>60000</v>
                </pt>
                <pt idx="361">
                  <v>40000</v>
                </pt>
                <pt idx="364">
                  <v>171000</v>
                </pt>
                <pt idx="365">
                  <v>496490</v>
                </pt>
                <pt idx="366">
                  <v>35000</v>
                </pt>
                <pt idx="367">
                  <v>141000</v>
                </pt>
                <pt idx="368">
                  <v>200000</v>
                </pt>
                <pt idx="370">
                  <v>113000</v>
                </pt>
                <pt idx="379">
                  <v>30000</v>
                </pt>
                <pt idx="380">
                  <v>50000</v>
                </pt>
                <pt idx="381">
                  <v>195000</v>
                </pt>
                <pt idx="382">
                  <v>155000</v>
                </pt>
                <pt idx="386">
                  <v>1380000</v>
                </pt>
                <pt idx="387">
                  <v>20000</v>
                </pt>
                <pt idx="388">
                  <v>64000</v>
                </pt>
                <pt idx="389">
                  <v>480000</v>
                </pt>
                <pt idx="396">
                  <v>20000</v>
                </pt>
                <pt idx="397">
                  <v>68000</v>
                </pt>
                <pt idx="403">
                  <v>750000</v>
                </pt>
                <pt idx="404">
                  <v>100000</v>
                </pt>
                <pt idx="408">
                  <v>90000</v>
                </pt>
                <pt idx="409">
                  <v>42000</v>
                </pt>
                <pt idx="410">
                  <v>100000</v>
                </pt>
                <pt idx="411">
                  <v>78000</v>
                </pt>
                <pt idx="412">
                  <v>18000</v>
                </pt>
                <pt idx="414">
                  <v>60000</v>
                </pt>
                <pt idx="415">
                  <v>99000</v>
                </pt>
                <pt idx="417">
                  <v>85000</v>
                </pt>
                <pt idx="422">
                  <v>719400</v>
                </pt>
                <pt idx="426">
                  <v>20000</v>
                </pt>
                <pt idx="428">
                  <v>100000</v>
                </pt>
                <pt idx="429">
                  <v>65000</v>
                </pt>
                <pt idx="433">
                  <v>15000</v>
                </pt>
                <pt idx="435">
                  <v>167000</v>
                </pt>
                <pt idx="436">
                  <v>160000</v>
                </pt>
                <pt idx="438">
                  <v>80000</v>
                </pt>
                <pt idx="444">
                  <v>48000</v>
                </pt>
                <pt idx="445">
                  <v>650000</v>
                </pt>
                <pt idx="446">
                  <v>35000</v>
                </pt>
                <pt idx="448">
                  <v>75000</v>
                </pt>
                <pt idx="451">
                  <v>80800</v>
                </pt>
                <pt idx="456">
                  <v>35000</v>
                </pt>
                <pt idx="459">
                  <v>90000</v>
                </pt>
                <pt idx="460">
                  <v>47000</v>
                </pt>
                <pt idx="461">
                  <v>250000</v>
                </pt>
                <pt idx="465">
                  <v>15000</v>
                </pt>
                <pt idx="469">
                  <v>240000</v>
                </pt>
                <pt idx="470">
                  <v>90000</v>
                </pt>
                <pt idx="471">
                  <v>300000</v>
                </pt>
                <pt idx="473">
                  <v>12000</v>
                </pt>
                <pt idx="476">
                  <v>45000</v>
                </pt>
                <pt idx="477">
                  <v>35000</v>
                </pt>
                <pt idx="480">
                  <v>45000</v>
                </pt>
                <pt idx="484">
                  <v>120000</v>
                </pt>
                <pt idx="489">
                  <v>550000</v>
                </pt>
                <pt idx="491">
                  <v>85000</v>
                </pt>
                <pt idx="496">
                  <v>78000</v>
                </pt>
                <pt idx="498">
                  <v>35000</v>
                </pt>
                <pt idx="500">
                  <v>45000</v>
                </pt>
                <pt idx="501">
                  <v>40000</v>
                </pt>
                <pt idx="503">
                  <v>78000</v>
                </pt>
                <pt idx="505">
                  <v>55000</v>
                </pt>
                <pt idx="507">
                  <v>275000</v>
                </pt>
                <pt idx="508">
                  <v>15000</v>
                </pt>
                <pt idx="511">
                  <v>200000</v>
                </pt>
                <pt idx="513">
                  <v>55000</v>
                </pt>
                <pt idx="519">
                  <v>68000</v>
                </pt>
                <pt idx="520">
                  <v>45000</v>
                </pt>
                <pt idx="521">
                  <v>18000</v>
                </pt>
                <pt idx="529">
                  <v>38000</v>
                </pt>
                <pt idx="530">
                  <v>260000</v>
                </pt>
                <pt idx="534">
                  <v>1340500</v>
                </pt>
                <pt idx="545">
                  <v>70000</v>
                </pt>
                <pt idx="551">
                  <v>111000</v>
                </pt>
                <pt idx="552">
                  <v>73000</v>
                </pt>
                <pt idx="562">
                  <v>70000</v>
                </pt>
                <pt idx="563">
                  <v>55000</v>
                </pt>
                <pt idx="565">
                  <v>45000</v>
                </pt>
                <pt idx="566">
                  <v>60000</v>
                </pt>
                <pt idx="575">
                  <v>90000</v>
                </pt>
                <pt idx="576">
                  <v>15000</v>
                </pt>
                <pt idx="577">
                  <v>70000</v>
                </pt>
                <pt idx="579">
                  <v>26000</v>
                </pt>
                <pt idx="580">
                  <v>26000</v>
                </pt>
                <pt idx="581">
                  <v>70000</v>
                </pt>
                <pt idx="582">
                  <v>48000</v>
                </pt>
                <pt idx="583">
                  <v>45000</v>
                </pt>
                <pt idx="585">
                  <v>65000</v>
                </pt>
                <pt idx="595">
                  <v>111000</v>
                </pt>
                <pt idx="596">
                  <v>12000</v>
                </pt>
                <pt idx="597">
                  <v>78000</v>
                </pt>
                <pt idx="598">
                  <v>78000</v>
                </pt>
                <pt idx="599">
                  <v>65000</v>
                </pt>
                <pt idx="600">
                  <v>453000</v>
                </pt>
                <pt idx="608">
                  <v>75000</v>
                </pt>
                <pt idx="609">
                  <v>48000</v>
                </pt>
                <pt idx="610">
                  <v>35000</v>
                </pt>
                <pt idx="612">
                  <v>65000</v>
                </pt>
                <pt idx="615">
                  <v>40000</v>
                </pt>
                <pt idx="616">
                  <v>40000</v>
                </pt>
                <pt idx="617">
                  <v>80000</v>
                </pt>
                <pt idx="618">
                  <v>80000</v>
                </pt>
                <pt idx="623">
                  <v>15000</v>
                </pt>
                <pt idx="624">
                  <v>80000</v>
                </pt>
                <pt idx="631">
                  <v>66400</v>
                </pt>
                <pt idx="634">
                  <v>12000</v>
                </pt>
                <pt idx="636">
                  <v>50000</v>
                </pt>
                <pt idx="637">
                  <v>80000</v>
                </pt>
                <pt idx="638">
                  <v>1009000</v>
                </pt>
                <pt idx="639">
                  <v>120000</v>
                </pt>
                <pt idx="644">
                  <v>60000</v>
                </pt>
                <pt idx="645">
                  <v>77000</v>
                </pt>
                <pt idx="652">
                  <v>170000</v>
                </pt>
                <pt idx="653">
                  <v>145000</v>
                </pt>
                <pt idx="655">
                  <v>22000</v>
                </pt>
                <pt idx="657">
                  <v>171800</v>
                </pt>
                <pt idx="663">
                  <v>45000</v>
                </pt>
                <pt idx="668">
                  <v>90000</v>
                </pt>
                <pt idx="669">
                  <v>96000</v>
                </pt>
                <pt idx="670">
                  <v>328000</v>
                </pt>
                <pt idx="671">
                  <v>45000</v>
                </pt>
                <pt idx="675">
                  <v>170000</v>
                </pt>
                <pt idx="677">
                  <v>161000</v>
                </pt>
                <pt idx="680">
                  <v>125000</v>
                </pt>
                <pt idx="686">
                  <v>15000</v>
                </pt>
                <pt idx="691">
                  <v>40000</v>
                </pt>
                <pt idx="692">
                  <v>40000</v>
                </pt>
                <pt idx="693">
                  <v>80000</v>
                </pt>
                <pt idx="696">
                  <v>138000</v>
                </pt>
                <pt idx="702">
                  <v>25000</v>
                </pt>
                <pt idx="703">
                  <v>90000</v>
                </pt>
                <pt idx="704">
                  <v>76000</v>
                </pt>
                <pt idx="712">
                  <v>15000</v>
                </pt>
                <pt idx="719">
                  <v>60000</v>
                </pt>
                <pt idx="720">
                  <v>150000</v>
                </pt>
                <pt idx="724">
                  <v>40000</v>
                </pt>
                <pt idx="725">
                  <v>98000</v>
                </pt>
                <pt idx="726">
                  <v>7000</v>
                </pt>
                <pt idx="727">
                  <v>22000</v>
                </pt>
              </numCache>
            </numRef>
          </val>
        </ser>
        <ser>
          <idx val="17"/>
          <order val="17"/>
          <tx>
            <strRef>
              <f>Sheet1!$AB$3</f>
              <strCache>
                <ptCount val="1"/>
                <pt idx="0">
                  <v>霞興業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Sheet1!$AB$4:$AB$1104</f>
              <numCache>
                <formatCode>_(* #,##0_);_(* \(#,##0\);_(* "-"_);_(@_)</formatCode>
                <ptCount val="1101"/>
                <pt idx="15">
                  <v>80000</v>
                </pt>
                <pt idx="18">
                  <v>63000</v>
                </pt>
                <pt idx="26">
                  <v>30000</v>
                </pt>
                <pt idx="35">
                  <v>151500</v>
                </pt>
                <pt idx="41">
                  <v>1292500</v>
                </pt>
                <pt idx="53">
                  <v>420000</v>
                </pt>
                <pt idx="57">
                  <v>430500</v>
                </pt>
                <pt idx="61">
                  <v>65000</v>
                </pt>
                <pt idx="78">
                  <v>18000</v>
                </pt>
                <pt idx="87">
                  <v>60000</v>
                </pt>
                <pt idx="89">
                  <v>65000</v>
                </pt>
                <pt idx="101">
                  <v>580887</v>
                </pt>
                <pt idx="119">
                  <v>70000</v>
                </pt>
                <pt idx="120">
                  <v>360000</v>
                </pt>
                <pt idx="130">
                  <v>78000</v>
                </pt>
                <pt idx="138">
                  <v>18000</v>
                </pt>
                <pt idx="139">
                  <v>57000</v>
                </pt>
                <pt idx="160">
                  <v>90000</v>
                </pt>
                <pt idx="165">
                  <v>70000</v>
                </pt>
                <pt idx="172">
                  <v>204000</v>
                </pt>
                <pt idx="179">
                  <v>82000</v>
                </pt>
                <pt idx="187">
                  <v>137000</v>
                </pt>
                <pt idx="195">
                  <v>130000</v>
                </pt>
                <pt idx="199">
                  <v>18000</v>
                </pt>
                <pt idx="204">
                  <v>65000</v>
                </pt>
                <pt idx="205">
                  <v>65000</v>
                </pt>
                <pt idx="206">
                  <v>86000</v>
                </pt>
                <pt idx="207">
                  <v>360000</v>
                </pt>
                <pt idx="214">
                  <v>20000</v>
                </pt>
                <pt idx="215">
                  <v>295000</v>
                </pt>
                <pt idx="218">
                  <v>150000</v>
                </pt>
                <pt idx="226">
                  <v>15000</v>
                </pt>
                <pt idx="232">
                  <v>70000</v>
                </pt>
                <pt idx="234">
                  <v>405000</v>
                </pt>
                <pt idx="237">
                  <v>235000</v>
                </pt>
                <pt idx="242">
                  <v>135400</v>
                </pt>
                <pt idx="246">
                  <v>37000</v>
                </pt>
                <pt idx="247">
                  <v>85000</v>
                </pt>
                <pt idx="252">
                  <v>79000</v>
                </pt>
                <pt idx="253">
                  <v>235000</v>
                </pt>
                <pt idx="257">
                  <v>19000</v>
                </pt>
                <pt idx="260">
                  <v>10000</v>
                </pt>
                <pt idx="265">
                  <v>65000</v>
                </pt>
                <pt idx="269">
                  <v>230000</v>
                </pt>
                <pt idx="270">
                  <v>70000</v>
                </pt>
                <pt idx="278">
                  <v>240000</v>
                </pt>
                <pt idx="282">
                  <v>135000</v>
                </pt>
                <pt idx="286">
                  <v>360000</v>
                </pt>
                <pt idx="287">
                  <v>55000</v>
                </pt>
                <pt idx="291">
                  <v>115000</v>
                </pt>
                <pt idx="301">
                  <v>304022</v>
                </pt>
                <pt idx="302">
                  <v>615978</v>
                </pt>
                <pt idx="314">
                  <v>98000</v>
                </pt>
                <pt idx="325">
                  <v>44000</v>
                </pt>
                <pt idx="326">
                  <v>18000</v>
                </pt>
                <pt idx="327">
                  <v>65000</v>
                </pt>
                <pt idx="330">
                  <v>133000</v>
                </pt>
                <pt idx="331">
                  <v>65000</v>
                </pt>
                <pt idx="332">
                  <v>200000</v>
                </pt>
                <pt idx="335">
                  <v>65000</v>
                </pt>
                <pt idx="340">
                  <v>15000</v>
                </pt>
                <pt idx="350">
                  <v>30000</v>
                </pt>
                <pt idx="352">
                  <v>47000</v>
                </pt>
                <pt idx="353">
                  <v>77000</v>
                </pt>
                <pt idx="359">
                  <v>170000</v>
                </pt>
                <pt idx="360">
                  <v>118000</v>
                </pt>
                <pt idx="361">
                  <v>116000</v>
                </pt>
                <pt idx="364">
                  <v>91350</v>
                </pt>
                <pt idx="365">
                  <v>70000</v>
                </pt>
                <pt idx="366">
                  <v>91000</v>
                </pt>
                <pt idx="367">
                  <v>77000</v>
                </pt>
                <pt idx="368">
                  <v>240000</v>
                </pt>
                <pt idx="370">
                  <v>226000</v>
                </pt>
                <pt idx="374">
                  <v>65000</v>
                </pt>
                <pt idx="380">
                  <v>160000</v>
                </pt>
                <pt idx="381">
                  <v>250000</v>
                </pt>
                <pt idx="382">
                  <v>242000</v>
                </pt>
                <pt idx="386">
                  <v>592000</v>
                </pt>
                <pt idx="388">
                  <v>10000</v>
                </pt>
                <pt idx="389">
                  <v>397000</v>
                </pt>
                <pt idx="392">
                  <v>694000</v>
                </pt>
                <pt idx="396">
                  <v>876000</v>
                </pt>
                <pt idx="397">
                  <v>44000</v>
                </pt>
                <pt idx="403">
                  <v>380000</v>
                </pt>
                <pt idx="408">
                  <v>440000</v>
                </pt>
                <pt idx="410">
                  <v>195000</v>
                </pt>
                <pt idx="411">
                  <v>47000</v>
                </pt>
                <pt idx="414">
                  <v>65000</v>
                </pt>
                <pt idx="415">
                  <v>120000</v>
                </pt>
                <pt idx="417">
                  <v>135000</v>
                </pt>
                <pt idx="420">
                  <v>170000</v>
                </pt>
                <pt idx="422">
                  <v>350000</v>
                </pt>
                <pt idx="423">
                  <v>80000</v>
                </pt>
                <pt idx="426">
                  <v>25000</v>
                </pt>
                <pt idx="428">
                  <v>85000</v>
                </pt>
                <pt idx="429">
                  <v>13000</v>
                </pt>
                <pt idx="436">
                  <v>334000</v>
                </pt>
                <pt idx="438">
                  <v>302000</v>
                </pt>
                <pt idx="439">
                  <v>20000</v>
                </pt>
                <pt idx="443">
                  <v>35000</v>
                </pt>
                <pt idx="445">
                  <v>544000</v>
                </pt>
                <pt idx="446">
                  <v>85000</v>
                </pt>
                <pt idx="448">
                  <v>235000</v>
                </pt>
                <pt idx="451">
                  <v>43000</v>
                </pt>
                <pt idx="453">
                  <v>22000</v>
                </pt>
                <pt idx="460">
                  <v>135000</v>
                </pt>
                <pt idx="461">
                  <v>942500</v>
                </pt>
                <pt idx="463">
                  <v>96000</v>
                </pt>
                <pt idx="466">
                  <v>22000</v>
                </pt>
                <pt idx="469">
                  <v>328000</v>
                </pt>
                <pt idx="470">
                  <v>433000</v>
                </pt>
                <pt idx="471">
                  <v>87000</v>
                </pt>
                <pt idx="474">
                  <v>110000</v>
                </pt>
                <pt idx="476">
                  <v>110000</v>
                </pt>
                <pt idx="477">
                  <v>0</v>
                </pt>
                <pt idx="478">
                  <v>20000</v>
                </pt>
                <pt idx="480">
                  <v>80000</v>
                </pt>
                <pt idx="484">
                  <v>130000</v>
                </pt>
                <pt idx="485">
                  <v>20000</v>
                </pt>
                <pt idx="489">
                  <v>228000</v>
                </pt>
                <pt idx="494">
                  <v>110000</v>
                </pt>
                <pt idx="496">
                  <v>148000</v>
                </pt>
                <pt idx="497">
                  <v>97000</v>
                </pt>
                <pt idx="500">
                  <v>119000</v>
                </pt>
                <pt idx="501">
                  <v>197000</v>
                </pt>
                <pt idx="502">
                  <v>148000</v>
                </pt>
                <pt idx="503">
                  <v>96000</v>
                </pt>
                <pt idx="505">
                  <v>110000</v>
                </pt>
                <pt idx="507">
                  <v>34000</v>
                </pt>
                <pt idx="508">
                  <v>23000</v>
                </pt>
                <pt idx="509">
                  <v>46000</v>
                </pt>
                <pt idx="510">
                  <v>16000</v>
                </pt>
                <pt idx="511">
                  <v>221000</v>
                </pt>
                <pt idx="513">
                  <v>133000</v>
                </pt>
                <pt idx="515">
                  <v>23000</v>
                </pt>
                <pt idx="516">
                  <v>63000</v>
                </pt>
                <pt idx="519">
                  <v>180000</v>
                </pt>
                <pt idx="520">
                  <v>85000</v>
                </pt>
                <pt idx="521">
                  <v>25000</v>
                </pt>
                <pt idx="523">
                  <v>15000</v>
                </pt>
                <pt idx="530">
                  <v>261000</v>
                </pt>
                <pt idx="531">
                  <v>36000</v>
                </pt>
                <pt idx="534">
                  <v>1036000</v>
                </pt>
                <pt idx="537">
                  <v>7000</v>
                </pt>
                <pt idx="539">
                  <v>85000</v>
                </pt>
                <pt idx="544">
                  <v>40000</v>
                </pt>
                <pt idx="545">
                  <v>255000</v>
                </pt>
                <pt idx="551">
                  <v>137000</v>
                </pt>
                <pt idx="552">
                  <v>139000</v>
                </pt>
                <pt idx="562">
                  <v>140000</v>
                </pt>
                <pt idx="564">
                  <v>12000</v>
                </pt>
                <pt idx="565">
                  <v>110000</v>
                </pt>
                <pt idx="568">
                  <v>153000</v>
                </pt>
                <pt idx="569">
                  <v>161000</v>
                </pt>
                <pt idx="571">
                  <v>12000</v>
                </pt>
                <pt idx="575">
                  <v>108000</v>
                </pt>
                <pt idx="576">
                  <v>59000</v>
                </pt>
                <pt idx="585">
                  <v>70000</v>
                </pt>
                <pt idx="587">
                  <v>55000</v>
                </pt>
                <pt idx="605">
                  <v>23000</v>
                </pt>
                <pt idx="608">
                  <v>414000</v>
                </pt>
                <pt idx="609">
                  <v>180000</v>
                </pt>
                <pt idx="612">
                  <v>70000</v>
                </pt>
                <pt idx="614">
                  <v>26000</v>
                </pt>
                <pt idx="616">
                  <v>50000</v>
                </pt>
                <pt idx="619">
                  <v>266000</v>
                </pt>
                <pt idx="631">
                  <v>120000</v>
                </pt>
                <pt idx="633">
                  <v>45000</v>
                </pt>
                <pt idx="634">
                  <v>20000</v>
                </pt>
                <pt idx="636">
                  <v>63000</v>
                </pt>
                <pt idx="637">
                  <v>173000</v>
                </pt>
                <pt idx="638">
                  <v>488000</v>
                </pt>
                <pt idx="649">
                  <v>156000</v>
                </pt>
                <pt idx="652">
                  <v>250000</v>
                </pt>
                <pt idx="653">
                  <v>37000</v>
                </pt>
                <pt idx="655">
                  <v>40000</v>
                </pt>
                <pt idx="656">
                  <v>90000</v>
                </pt>
                <pt idx="660">
                  <v>45000</v>
                </pt>
                <pt idx="663">
                  <v>150000</v>
                </pt>
                <pt idx="665">
                  <v>27000</v>
                </pt>
                <pt idx="666">
                  <v>24000</v>
                </pt>
                <pt idx="669">
                  <v>200700</v>
                </pt>
                <pt idx="670">
                  <v>645000</v>
                </pt>
                <pt idx="671">
                  <v>144000</v>
                </pt>
                <pt idx="674">
                  <v>18000</v>
                </pt>
                <pt idx="675">
                  <v>110000</v>
                </pt>
                <pt idx="680">
                  <v>200700</v>
                </pt>
                <pt idx="686">
                  <v>30000</v>
                </pt>
                <pt idx="690">
                  <v>10000</v>
                </pt>
                <pt idx="696">
                  <v>50000</v>
                </pt>
                <pt idx="697">
                  <v>110000</v>
                </pt>
                <pt idx="700">
                  <v>30000</v>
                </pt>
                <pt idx="701">
                  <v>5000</v>
                </pt>
                <pt idx="702">
                  <v>40000</v>
                </pt>
                <pt idx="703">
                  <v>312000</v>
                </pt>
                <pt idx="704">
                  <v>104000</v>
                </pt>
                <pt idx="705">
                  <v>27000</v>
                </pt>
                <pt idx="714">
                  <v>35000</v>
                </pt>
                <pt idx="715">
                  <v>46000</v>
                </pt>
                <pt idx="716">
                  <v>50000</v>
                </pt>
                <pt idx="718">
                  <v>20000</v>
                </pt>
                <pt idx="719">
                  <v>221000</v>
                </pt>
                <pt idx="720">
                  <v>250000</v>
                </pt>
                <pt idx="721">
                  <v>200000</v>
                </pt>
                <pt idx="722">
                  <v>46000</v>
                </pt>
                <pt idx="724">
                  <v>120000</v>
                </pt>
                <pt idx="727">
                  <v>15000</v>
                </pt>
              </numCache>
            </numRef>
          </val>
        </ser>
        <ser>
          <idx val="18"/>
          <order val="18"/>
          <tx>
            <strRef>
              <f>Sheet1!$AC$3</f>
              <strCache>
                <ptCount val="1"/>
                <pt idx="0">
                  <v>ヒラヤマ設備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Sheet1!$AC$4:$AC$1104</f>
              <numCache>
                <formatCode>_(* #,##0_);_(* \(#,##0\);_(* "-"_);_(@_)</formatCode>
                <ptCount val="1101"/>
                <pt idx="100">
                  <v>51000</v>
                </pt>
                <pt idx="137">
                  <v>90000</v>
                </pt>
                <pt idx="158">
                  <v>20000</v>
                </pt>
                <pt idx="161">
                  <v>25000</v>
                </pt>
                <pt idx="162">
                  <v>115500</v>
                </pt>
                <pt idx="235">
                  <v>59000</v>
                </pt>
                <pt idx="246">
                  <v>18000</v>
                </pt>
                <pt idx="332">
                  <v>25000</v>
                </pt>
                <pt idx="436">
                  <v>20300</v>
                </pt>
                <pt idx="438">
                  <v>14700</v>
                </pt>
                <pt idx="551">
                  <v>27000</v>
                </pt>
                <pt idx="579">
                  <v>48000</v>
                </pt>
                <pt idx="580">
                  <v>48000</v>
                </pt>
                <pt idx="581">
                  <v>48000</v>
                </pt>
                <pt idx="582">
                  <v>138000</v>
                </pt>
                <pt idx="583">
                  <v>133200</v>
                </pt>
                <pt idx="597">
                  <v>67200</v>
                </pt>
                <pt idx="598">
                  <v>67200</v>
                </pt>
                <pt idx="599">
                  <v>44200</v>
                </pt>
                <pt idx="617">
                  <v>132000</v>
                </pt>
                <pt idx="618">
                  <v>132000</v>
                </pt>
                <pt idx="620">
                  <v>142000</v>
                </pt>
                <pt idx="624">
                  <v>67200</v>
                </pt>
                <pt idx="644">
                  <v>92200</v>
                </pt>
                <pt idx="645">
                  <v>66200</v>
                </pt>
                <pt idx="682">
                  <v>75000</v>
                </pt>
              </numCache>
            </numRef>
          </val>
        </ser>
        <ser>
          <idx val="19"/>
          <order val="19"/>
          <tx>
            <strRef>
              <f>Sheet1!$AE$3</f>
              <strCache>
                <ptCount val="1"/>
                <pt idx="0">
                  <v>千葉住建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Sheet1!$AE$4:$AE$1104</f>
              <numCache>
                <formatCode>_(* #,##0_);_(* \(#,##0\);_(* "-"_);_(@_)</formatCode>
                <ptCount val="1101"/>
                <pt idx="26">
                  <v>63000</v>
                </pt>
                <pt idx="35">
                  <v>256718</v>
                </pt>
                <pt idx="57">
                  <v>1013267</v>
                </pt>
                <pt idx="78">
                  <v>50000</v>
                </pt>
                <pt idx="88">
                  <v>516930</v>
                </pt>
                <pt idx="119">
                  <v>50000</v>
                </pt>
                <pt idx="157">
                  <v>592100</v>
                </pt>
                <pt idx="171">
                  <v>330000</v>
                </pt>
                <pt idx="206">
                  <v>30000</v>
                </pt>
                <pt idx="217">
                  <v>25000</v>
                </pt>
                <pt idx="223">
                  <v>120000</v>
                </pt>
                <pt idx="224">
                  <v>120000</v>
                </pt>
                <pt idx="225">
                  <v>130000</v>
                </pt>
                <pt idx="226">
                  <v>80000</v>
                </pt>
                <pt idx="232">
                  <v>6000</v>
                </pt>
                <pt idx="238">
                  <v>2575000</v>
                </pt>
                <pt idx="239">
                  <v>150000</v>
                </pt>
                <pt idx="241">
                  <v>370000</v>
                </pt>
                <pt idx="242">
                  <v>276490</v>
                </pt>
                <pt idx="252">
                  <v>8800</v>
                </pt>
                <pt idx="261">
                  <v>51400</v>
                </pt>
                <pt idx="282">
                  <v>60000</v>
                </pt>
                <pt idx="286">
                  <v>243000</v>
                </pt>
                <pt idx="292">
                  <v>30000</v>
                </pt>
                <pt idx="301">
                  <v>888200</v>
                </pt>
                <pt idx="310">
                  <v>85000</v>
                </pt>
                <pt idx="315">
                  <v>41600</v>
                </pt>
                <pt idx="330">
                  <v>60000</v>
                </pt>
                <pt idx="347">
                  <v>70000</v>
                </pt>
                <pt idx="364">
                  <v>20000</v>
                </pt>
                <pt idx="365">
                  <v>676370</v>
                </pt>
                <pt idx="371">
                  <v>4405675</v>
                </pt>
                <pt idx="386">
                  <v>134100</v>
                </pt>
                <pt idx="389">
                  <v>100000</v>
                </pt>
                <pt idx="392">
                  <v>1752080</v>
                </pt>
                <pt idx="396">
                  <v>888200</v>
                </pt>
                <pt idx="423">
                  <v>260000</v>
                </pt>
                <pt idx="428">
                  <v>70000</v>
                </pt>
                <pt idx="430">
                  <v>95040</v>
                </pt>
                <pt idx="433">
                  <v>771220</v>
                </pt>
                <pt idx="435">
                  <v>40000</v>
                </pt>
                <pt idx="445">
                  <v>220000</v>
                </pt>
                <pt idx="463">
                  <v>293680</v>
                </pt>
                <pt idx="473">
                  <v>356120</v>
                </pt>
                <pt idx="483">
                  <v>273484</v>
                </pt>
                <pt idx="507">
                  <v>784040</v>
                </pt>
                <pt idx="534">
                  <v>1677500</v>
                </pt>
                <pt idx="535">
                  <v>50000</v>
                </pt>
                <pt idx="537">
                  <v>283680</v>
                </pt>
                <pt idx="538">
                  <v>23000</v>
                </pt>
                <pt idx="549">
                  <v>292500</v>
                </pt>
                <pt idx="554">
                  <v>65000</v>
                </pt>
                <pt idx="603">
                  <v>52860</v>
                </pt>
                <pt idx="606">
                  <v>549840</v>
                </pt>
                <pt idx="619">
                  <v>500000</v>
                </pt>
                <pt idx="653">
                  <formatCode>#,##0_);[Red]\(#,##0\)</formatCode>
                  <v>2453845</v>
                </pt>
                <pt idx="654">
                  <formatCode>#,##0_);[Red]\(#,##0\)</formatCode>
                  <v>2172200</v>
                </pt>
                <pt idx="684">
                  <v>30000</v>
                </pt>
                <pt idx="688">
                  <v>197000</v>
                </pt>
                <pt idx="720">
                  <v>30000</v>
                </pt>
                <pt idx="721">
                  <v>500000</v>
                </pt>
                <pt idx="725">
                  <v>1125380</v>
                </pt>
                <pt idx="729">
                  <v>15000</v>
                </pt>
              </numCache>
            </numRef>
          </val>
        </ser>
        <ser>
          <idx val="20"/>
          <order val="20"/>
          <tx>
            <strRef>
              <f>Sheet1!$AG$3</f>
              <strCache>
                <ptCount val="1"/>
                <pt idx="0">
                  <v>杜風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Sheet1!$AG$4:$AG$1104</f>
              <numCache>
                <formatCode>_(* #,##0_);_(* \(#,##0\);_(* "-"_);_(@_)</formatCode>
                <ptCount val="1101"/>
                <pt idx="167">
                  <v>100000</v>
                </pt>
                <pt idx="207">
                  <v>241836</v>
                </pt>
                <pt idx="234">
                  <v>164760</v>
                </pt>
                <pt idx="280">
                  <v>231100</v>
                </pt>
                <pt idx="286">
                  <v>300000</v>
                </pt>
                <pt idx="308">
                  <v>150000</v>
                </pt>
                <pt idx="309">
                  <v>150000</v>
                </pt>
                <pt idx="310">
                  <v>569310</v>
                </pt>
                <pt idx="330">
                  <v>302920</v>
                </pt>
                <pt idx="365">
                  <v>387460</v>
                </pt>
                <pt idx="366">
                  <v>150000</v>
                </pt>
                <pt idx="368">
                  <v>233680</v>
                </pt>
                <pt idx="389">
                  <v>761680</v>
                </pt>
                <pt idx="397">
                  <v>150640</v>
                </pt>
                <pt idx="403">
                  <v>32800</v>
                </pt>
                <pt idx="484">
                  <v>355550</v>
                </pt>
              </numCache>
            </numRef>
          </val>
        </ser>
        <ser>
          <idx val="21"/>
          <order val="21"/>
          <tx>
            <strRef>
              <f>Sheet1!$AH$3</f>
              <strCache>
                <ptCount val="1"/>
                <pt idx="0">
                  <v>BLUE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Sheet1!$AH$4:$AH$1104</f>
              <numCache>
                <formatCode>_(* #,##0_);_(* \(#,##0\);_(* "-"_);_(@_)</formatCode>
                <ptCount val="1101"/>
                <pt idx="35">
                  <v>454750</v>
                </pt>
                <pt idx="53">
                  <v>235000</v>
                </pt>
                <pt idx="57">
                  <v>915000</v>
                </pt>
                <pt idx="226">
                  <v>248430</v>
                </pt>
                <pt idx="237">
                  <v>683600</v>
                </pt>
                <pt idx="264">
                  <v>50000</v>
                </pt>
                <pt idx="301">
                  <v>1320000</v>
                </pt>
                <pt idx="315">
                  <v>316000</v>
                </pt>
                <pt idx="361">
                  <v>30000</v>
                </pt>
                <pt idx="364">
                  <v>18000</v>
                </pt>
                <pt idx="367">
                  <v>116450</v>
                </pt>
                <pt idx="370">
                  <v>18000</v>
                </pt>
                <pt idx="382">
                  <v>331700</v>
                </pt>
                <pt idx="386">
                  <v>108480</v>
                </pt>
                <pt idx="392">
                  <v>2215940</v>
                </pt>
                <pt idx="396">
                  <v>1320000</v>
                </pt>
                <pt idx="398">
                  <v>343900</v>
                </pt>
                <pt idx="399">
                  <v>100720</v>
                </pt>
                <pt idx="406">
                  <v>35000</v>
                </pt>
                <pt idx="408">
                  <v>45000</v>
                </pt>
                <pt idx="409">
                  <v>321300</v>
                </pt>
                <pt idx="410">
                  <v>40000</v>
                </pt>
                <pt idx="411">
                  <v>135000</v>
                </pt>
                <pt idx="414">
                  <v>23000</v>
                </pt>
                <pt idx="415">
                  <v>250000</v>
                </pt>
                <pt idx="417">
                  <v>378900</v>
                </pt>
                <pt idx="418">
                  <v>143400</v>
                </pt>
                <pt idx="420">
                  <v>180000</v>
                </pt>
                <pt idx="422">
                  <v>165600</v>
                </pt>
                <pt idx="423">
                  <v>40000</v>
                </pt>
                <pt idx="424">
                  <v>238000</v>
                </pt>
                <pt idx="428">
                  <v>91000</v>
                </pt>
                <pt idx="429">
                  <v>183700</v>
                </pt>
                <pt idx="433">
                  <v>270000</v>
                </pt>
                <pt idx="436">
                  <v>80000</v>
                </pt>
                <pt idx="443">
                  <v>30000</v>
                </pt>
                <pt idx="444">
                  <v>67000</v>
                </pt>
                <pt idx="445">
                  <v>60000</v>
                </pt>
                <pt idx="446">
                  <v>35000</v>
                </pt>
                <pt idx="451">
                  <v>311440</v>
                </pt>
                <pt idx="453">
                  <v>25000</v>
                </pt>
                <pt idx="454">
                  <v>90000</v>
                </pt>
                <pt idx="455">
                  <v>18000</v>
                </pt>
                <pt idx="456">
                  <v>20000</v>
                </pt>
                <pt idx="459">
                  <v>317500</v>
                </pt>
                <pt idx="460">
                  <v>18000</v>
                </pt>
                <pt idx="461">
                  <v>197500</v>
                </pt>
                <pt idx="463">
                  <v>363270</v>
                </pt>
                <pt idx="469">
                  <v>271630</v>
                </pt>
                <pt idx="470">
                  <v>20000</v>
                </pt>
                <pt idx="471">
                  <v>80000</v>
                </pt>
                <pt idx="476">
                  <v>18000</v>
                </pt>
                <pt idx="478">
                  <v>18000</v>
                </pt>
                <pt idx="480">
                  <v>20000</v>
                </pt>
                <pt idx="481">
                  <v>20000</v>
                </pt>
                <pt idx="489">
                  <v>358000</v>
                </pt>
                <pt idx="491">
                  <v>428900</v>
                </pt>
                <pt idx="493">
                  <v>329900</v>
                </pt>
                <pt idx="496">
                  <v>55000</v>
                </pt>
                <pt idx="500">
                  <v>25000</v>
                </pt>
                <pt idx="501">
                  <v>25000</v>
                </pt>
                <pt idx="502">
                  <v>255850</v>
                </pt>
                <pt idx="503">
                  <v>35000</v>
                </pt>
                <pt idx="505">
                  <v>30000</v>
                </pt>
                <pt idx="507">
                  <v>340500</v>
                </pt>
                <pt idx="508">
                  <v>25000</v>
                </pt>
                <pt idx="511">
                  <v>405000</v>
                </pt>
                <pt idx="513">
                  <v>30000</v>
                </pt>
                <pt idx="515">
                  <v>15000</v>
                </pt>
                <pt idx="519">
                  <v>45000</v>
                </pt>
                <pt idx="529">
                  <v>10000</v>
                </pt>
                <pt idx="530">
                  <v>253600</v>
                </pt>
                <pt idx="531">
                  <v>8000</v>
                </pt>
                <pt idx="534">
                  <v>368250</v>
                </pt>
                <pt idx="537">
                  <v>425990</v>
                </pt>
                <pt idx="541">
                  <v>157000</v>
                </pt>
                <pt idx="545">
                  <v>52500</v>
                </pt>
                <pt idx="551">
                  <v>236150</v>
                </pt>
                <pt idx="552">
                  <v>50000</v>
                </pt>
                <pt idx="555">
                  <v>255850</v>
                </pt>
                <pt idx="562">
                  <v>45000</v>
                </pt>
                <pt idx="563">
                  <v>20000</v>
                </pt>
                <pt idx="575">
                  <v>55000</v>
                </pt>
                <pt idx="576">
                  <v>35000</v>
                </pt>
                <pt idx="578">
                  <v>20000</v>
                </pt>
                <pt idx="579">
                  <v>103000</v>
                </pt>
                <pt idx="580">
                  <v>183560</v>
                </pt>
                <pt idx="581">
                  <v>81408</v>
                </pt>
                <pt idx="582">
                  <v>118535</v>
                </pt>
                <pt idx="583">
                  <v>149650</v>
                </pt>
                <pt idx="585">
                  <v>20000</v>
                </pt>
                <pt idx="586">
                  <v>56032</v>
                </pt>
                <pt idx="597">
                  <v>186158</v>
                </pt>
                <pt idx="598">
                  <v>186158</v>
                </pt>
                <pt idx="599">
                  <v>146755</v>
                </pt>
                <pt idx="604">
                  <v>37320</v>
                </pt>
                <pt idx="608">
                  <v>77800</v>
                </pt>
                <pt idx="609">
                  <v>65000</v>
                </pt>
                <pt idx="612">
                  <v>283000</v>
                </pt>
                <pt idx="615">
                  <v>50000</v>
                </pt>
                <pt idx="617">
                  <v>183158</v>
                </pt>
                <pt idx="618">
                  <v>148593</v>
                </pt>
                <pt idx="619">
                  <v>467800</v>
                </pt>
                <pt idx="625">
                  <v>66400</v>
                </pt>
                <pt idx="626">
                  <v>55000</v>
                </pt>
                <pt idx="631">
                  <v>44000</v>
                </pt>
                <pt idx="634">
                  <v>40000</v>
                </pt>
                <pt idx="636">
                  <v>87000</v>
                </pt>
                <pt idx="637">
                  <v>75000</v>
                </pt>
                <pt idx="638">
                  <v>273500</v>
                </pt>
                <pt idx="641">
                  <v>120000</v>
                </pt>
                <pt idx="645">
                  <v>353185</v>
                </pt>
                <pt idx="646">
                  <v>215570</v>
                </pt>
                <pt idx="649">
                  <v>70000</v>
                </pt>
                <pt idx="652">
                  <v>766300</v>
                </pt>
                <pt idx="653">
                  <v>35000</v>
                </pt>
                <pt idx="654">
                  <v>45000</v>
                </pt>
                <pt idx="669">
                  <v>228600</v>
                </pt>
                <pt idx="670">
                  <v>82000</v>
                </pt>
                <pt idx="671">
                  <v>35000</v>
                </pt>
                <pt idx="680">
                  <v>196600</v>
                </pt>
                <pt idx="682">
                  <v>69000</v>
                </pt>
                <pt idx="692">
                  <v>40000</v>
                </pt>
                <pt idx="694">
                  <v>109550</v>
                </pt>
                <pt idx="695">
                  <v>40000</v>
                </pt>
                <pt idx="696">
                  <v>28000</v>
                </pt>
                <pt idx="698">
                  <v>1036898</v>
                </pt>
                <pt idx="700">
                  <v>40000</v>
                </pt>
                <pt idx="703">
                  <v>65000</v>
                </pt>
                <pt idx="704">
                  <v>95500</v>
                </pt>
                <pt idx="706">
                  <v>18000</v>
                </pt>
                <pt idx="710">
                  <v>15000</v>
                </pt>
                <pt idx="714">
                  <v>15000</v>
                </pt>
                <pt idx="715">
                  <v>25000</v>
                </pt>
                <pt idx="716">
                  <v>30000</v>
                </pt>
                <pt idx="717">
                  <v>80000</v>
                </pt>
                <pt idx="718">
                  <v>15000</v>
                </pt>
                <pt idx="719">
                  <v>40000</v>
                </pt>
                <pt idx="720">
                  <v>450000</v>
                </pt>
                <pt idx="721">
                  <v>180000</v>
                </pt>
              </numCache>
            </numRef>
          </val>
        </ser>
        <ser>
          <idx val="22"/>
          <order val="22"/>
          <tx>
            <strRef>
              <f>Sheet1!$AI$3</f>
              <strCache>
                <ptCount val="1"/>
                <pt idx="0">
                  <v>HC塩釜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Sheet1!$AI$4:$AI$1104</f>
              <numCache>
                <formatCode>_(* #,##0_);_(* \(#,##0\);_(* "-"_);_(@_)</formatCode>
                <ptCount val="1101"/>
                <pt idx="78">
                  <v>50000</v>
                </pt>
                <pt idx="87">
                  <v>60000</v>
                </pt>
                <pt idx="88">
                  <v>100000</v>
                </pt>
                <pt idx="89">
                  <v>135000</v>
                </pt>
                <pt idx="119">
                  <v>210000</v>
                </pt>
                <pt idx="120">
                  <v>150000</v>
                </pt>
                <pt idx="125">
                  <v>70000</v>
                </pt>
                <pt idx="130">
                  <v>30000</v>
                </pt>
                <pt idx="137">
                  <v>30000</v>
                </pt>
                <pt idx="138">
                  <v>25000</v>
                </pt>
                <pt idx="158">
                  <v>25000</v>
                </pt>
                <pt idx="162">
                  <v>40000</v>
                </pt>
                <pt idx="179">
                  <v>15000</v>
                </pt>
                <pt idx="187">
                  <v>35000</v>
                </pt>
                <pt idx="188">
                  <v>50000</v>
                </pt>
                <pt idx="195">
                  <v>18000</v>
                </pt>
                <pt idx="199">
                  <v>15000</v>
                </pt>
                <pt idx="206">
                  <v>218000</v>
                </pt>
                <pt idx="207">
                  <v>23000</v>
                </pt>
                <pt idx="210">
                  <v>35000</v>
                </pt>
                <pt idx="214">
                  <v>25000</v>
                </pt>
                <pt idx="215">
                  <v>25000</v>
                </pt>
                <pt idx="216">
                  <v>20000</v>
                </pt>
                <pt idx="217">
                  <v>90000</v>
                </pt>
                <pt idx="223">
                  <v>120000</v>
                </pt>
                <pt idx="224">
                  <v>25000</v>
                </pt>
                <pt idx="225">
                  <v>25000</v>
                </pt>
                <pt idx="228">
                  <formatCode>#,##0_);[Red]\(#,##0\)</formatCode>
                  <v>112250</v>
                </pt>
                <pt idx="232">
                  <v>300000</v>
                </pt>
                <pt idx="234">
                  <v>23000</v>
                </pt>
                <pt idx="235">
                  <v>50000</v>
                </pt>
                <pt idx="253">
                  <v>80000</v>
                </pt>
                <pt idx="257">
                  <v>20000</v>
                </pt>
                <pt idx="258">
                  <v>20000</v>
                </pt>
                <pt idx="259">
                  <v>30000</v>
                </pt>
                <pt idx="260">
                  <v>28000</v>
                </pt>
                <pt idx="262">
                  <v>70000</v>
                </pt>
                <pt idx="263">
                  <v>65000</v>
                </pt>
                <pt idx="264">
                  <v>38000</v>
                </pt>
                <pt idx="269">
                  <v>30000</v>
                </pt>
                <pt idx="270">
                  <v>18000</v>
                </pt>
                <pt idx="275">
                  <v>23000</v>
                </pt>
                <pt idx="278">
                  <v>180000</v>
                </pt>
                <pt idx="286">
                  <v>23000</v>
                </pt>
                <pt idx="291">
                  <v>140000</v>
                </pt>
                <pt idx="307">
                  <v>46000</v>
                </pt>
                <pt idx="314">
                  <v>50000</v>
                </pt>
                <pt idx="316">
                  <v>420000</v>
                </pt>
                <pt idx="325">
                  <v>18000</v>
                </pt>
                <pt idx="331">
                  <v>18000</v>
                </pt>
                <pt idx="332">
                  <v>100000</v>
                </pt>
                <pt idx="339">
                  <v>98000</v>
                </pt>
                <pt idx="352">
                  <v>200000</v>
                </pt>
                <pt idx="360">
                  <v>23000</v>
                </pt>
                <pt idx="361">
                  <v>20000</v>
                </pt>
                <pt idx="387">
                  <v>20000</v>
                </pt>
                <pt idx="403">
                  <v>30000</v>
                </pt>
              </numCache>
            </numRef>
          </val>
        </ser>
        <ser>
          <idx val="23"/>
          <order val="23"/>
          <tx>
            <strRef>
              <f>Sheet1!$AK$3</f>
              <strCache>
                <ptCount val="1"/>
                <pt idx="0">
                  <v>戸引製畳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Sheet1!$AK$4:$AK$1104</f>
              <numCache>
                <formatCode>_(* #,##0_);_(* \(#,##0\);_(* "-"_);_(@_)</formatCode>
                <ptCount val="1101"/>
                <pt idx="87">
                  <v>55000</v>
                </pt>
                <pt idx="119">
                  <v>192000</v>
                </pt>
                <pt idx="125">
                  <v>128000</v>
                </pt>
                <pt idx="206">
                  <v>24000</v>
                </pt>
                <pt idx="207">
                  <v>18000</v>
                </pt>
                <pt idx="232">
                  <v>89400</v>
                </pt>
                <pt idx="365">
                  <v>140000</v>
                </pt>
                <pt idx="382">
                  <v>21000</v>
                </pt>
                <pt idx="389">
                  <v>21000</v>
                </pt>
                <pt idx="409">
                  <v>90000</v>
                </pt>
                <pt idx="433">
                  <v>60000</v>
                </pt>
                <pt idx="469">
                  <v>28800</v>
                </pt>
                <pt idx="511">
                  <v>120000</v>
                </pt>
                <pt idx="625">
                  <v>10500</v>
                </pt>
                <pt idx="682">
                  <v>30000</v>
                </pt>
              </numCache>
            </numRef>
          </val>
        </ser>
        <ser>
          <idx val="24"/>
          <order val="24"/>
          <tx>
            <strRef>
              <f>Sheet1!#REF!</f>
              <strCache>
                <ptCount val="1"/>
                <pt idx="0">
                  <v>#REF!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Sheet1!#REF!</f>
              <numCache>
                <formatCode>General</formatCode>
                <ptCount val="1"/>
                <pt idx="0">
                  <v>1</v>
                </pt>
              </numCache>
            </numRef>
          </val>
        </ser>
        <ser>
          <idx val="25"/>
          <order val="25"/>
          <tx>
            <strRef>
              <f>Sheet1!$AL$3</f>
              <strCache>
                <ptCount val="1"/>
                <pt idx="0">
                  <v>創イングK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Sheet1!$AL$4:$AL$1104</f>
              <numCache>
                <formatCode>_(* #,##0_);_(* \(#,##0\);_(* "-"_);_(@_)</formatCode>
                <ptCount val="1101"/>
                <pt idx="26">
                  <v>154740</v>
                </pt>
                <pt idx="57">
                  <v>545000</v>
                </pt>
              </numCache>
            </numRef>
          </val>
        </ser>
        <ser>
          <idx val="26"/>
          <order val="26"/>
          <tx>
            <strRef>
              <f>Sheet1!$AM$3</f>
              <strCache>
                <ptCount val="1"/>
                <pt idx="0">
                  <v>ニュークリーン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Sheet1!$AM$4:$AM$1104</f>
              <numCache>
                <formatCode>_(* #,##0_);_(* \(#,##0\);_(* "-"_);_(@_)</formatCode>
                <ptCount val="1101"/>
                <pt idx="1">
                  <v>15000</v>
                </pt>
                <pt idx="34">
                  <v>15000</v>
                </pt>
                <pt idx="57">
                  <v>15000</v>
                </pt>
                <pt idx="67">
                  <v>15000</v>
                </pt>
                <pt idx="71">
                  <v>15000</v>
                </pt>
                <pt idx="75">
                  <v>15000</v>
                </pt>
                <pt idx="76">
                  <v>15000</v>
                </pt>
                <pt idx="84">
                  <v>15000</v>
                </pt>
                <pt idx="90">
                  <v>15000</v>
                </pt>
                <pt idx="91">
                  <v>15000</v>
                </pt>
                <pt idx="102">
                  <v>15000</v>
                </pt>
                <pt idx="103">
                  <v>15000</v>
                </pt>
                <pt idx="112">
                  <v>15000</v>
                </pt>
                <pt idx="144">
                  <v>15000</v>
                </pt>
                <pt idx="146">
                  <v>7500</v>
                </pt>
                <pt idx="147">
                  <v>7500</v>
                </pt>
                <pt idx="154">
                  <v>15000</v>
                </pt>
                <pt idx="155">
                  <v>15000</v>
                </pt>
                <pt idx="173">
                  <v>15000</v>
                </pt>
                <pt idx="178">
                  <v>15000</v>
                </pt>
                <pt idx="186">
                  <v>15000</v>
                </pt>
                <pt idx="194">
                  <v>10000</v>
                </pt>
                <pt idx="261">
                  <v>15000</v>
                </pt>
                <pt idx="272">
                  <v>15000</v>
                </pt>
                <pt idx="316">
                  <v>15000</v>
                </pt>
                <pt idx="320">
                  <v>15000</v>
                </pt>
                <pt idx="334">
                  <v>15000</v>
                </pt>
                <pt idx="358">
                  <v>15000</v>
                </pt>
                <pt idx="371">
                  <v>15000</v>
                </pt>
                <pt idx="379">
                  <v>15000</v>
                </pt>
                <pt idx="405">
                  <v>15000</v>
                </pt>
              </numCache>
            </numRef>
          </val>
        </ser>
        <ser>
          <idx val="27"/>
          <order val="27"/>
          <tx>
            <strRef>
              <f>Sheet1!$AN$3</f>
              <strCache>
                <ptCount val="1"/>
                <pt idx="0">
                  <v>アドバンス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Sheet1!$AN$4:$AN$1104</f>
              <numCache>
                <formatCode>_(* #,##0_);_(* \(#,##0\);_(* "-"_);_(@_)</formatCode>
                <ptCount val="1101"/>
                <pt idx="35">
                  <v>313000</v>
                </pt>
                <pt idx="78">
                  <v>57000</v>
                </pt>
                <pt idx="110">
                  <v>64000</v>
                </pt>
                <pt idx="254">
                  <v>38000</v>
                </pt>
                <pt idx="308">
                  <v>18000</v>
                </pt>
                <pt idx="309">
                  <v>18000</v>
                </pt>
                <pt idx="310">
                  <v>40000</v>
                </pt>
                <pt idx="311">
                  <v>84840</v>
                </pt>
                <pt idx="330">
                  <v>100000</v>
                </pt>
                <pt idx="364">
                  <v>20000</v>
                </pt>
                <pt idx="422">
                  <v>171600</v>
                </pt>
                <pt idx="445">
                  <v>19500</v>
                </pt>
                <pt idx="459">
                  <v>160900</v>
                </pt>
                <pt idx="468">
                  <v>68500</v>
                </pt>
                <pt idx="470">
                  <v>109200</v>
                </pt>
                <pt idx="489">
                  <v>58000</v>
                </pt>
                <pt idx="517">
                  <v>15000</v>
                </pt>
                <pt idx="553">
                  <v>115000</v>
                </pt>
                <pt idx="619">
                  <v>26000</v>
                </pt>
              </numCache>
            </numRef>
          </val>
        </ser>
        <ser>
          <idx val="28"/>
          <order val="28"/>
          <tx>
            <strRef>
              <f>Sheet1!$AO$3</f>
              <strCache>
                <ptCount val="1"/>
                <pt idx="0">
                  <v>小泉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Sheet1!$AO$4:$AO$1104</f>
              <numCache>
                <formatCode>_(* #,##0_);_(* \(#,##0\);_(* "-"_);_(@_)</formatCode>
                <ptCount val="1101"/>
                <pt idx="3">
                  <v>1192405</v>
                </pt>
                <pt idx="53">
                  <v>40000</v>
                </pt>
                <pt idx="57">
                  <v>2355395</v>
                </pt>
                <pt idx="119">
                  <v>255038</v>
                </pt>
                <pt idx="125">
                  <v>140000</v>
                </pt>
                <pt idx="137">
                  <v>559670</v>
                </pt>
                <pt idx="158">
                  <v>81816</v>
                </pt>
                <pt idx="203">
                  <v>5000</v>
                </pt>
                <pt idx="206">
                  <v>141810</v>
                </pt>
                <pt idx="207">
                  <v>873119</v>
                </pt>
                <pt idx="210">
                  <v>182175</v>
                </pt>
                <pt idx="216">
                  <v>120000</v>
                </pt>
                <pt idx="233">
                  <v>60920</v>
                </pt>
                <pt idx="234">
                  <v>1001740</v>
                </pt>
                <pt idx="251">
                  <v>155300</v>
                </pt>
                <pt idx="286">
                  <v>1650000</v>
                </pt>
                <pt idx="287">
                  <v>232620</v>
                </pt>
                <pt idx="296">
                  <v>125000</v>
                </pt>
                <pt idx="301">
                  <v>1005000</v>
                </pt>
                <pt idx="303">
                  <v>32000</v>
                </pt>
                <pt idx="330">
                  <v>162925</v>
                </pt>
                <pt idx="353">
                  <v>255800</v>
                </pt>
                <pt idx="360">
                  <v>18360</v>
                </pt>
                <pt idx="366">
                  <v>269540</v>
                </pt>
                <pt idx="367">
                  <v>16140</v>
                </pt>
                <pt idx="368">
                  <v>501654</v>
                </pt>
                <pt idx="382">
                  <v>33060</v>
                </pt>
                <pt idx="386">
                  <v>2024975</v>
                </pt>
                <pt idx="396">
                  <v>1005000</v>
                </pt>
                <pt idx="397">
                  <v>1185</v>
                </pt>
                <pt idx="399">
                  <v>332820</v>
                </pt>
                <pt idx="403">
                  <v>803760</v>
                </pt>
                <pt idx="408">
                  <v>132260</v>
                </pt>
                <pt idx="418">
                  <v>136840</v>
                </pt>
                <pt idx="427">
                  <v>17635</v>
                </pt>
                <pt idx="433">
                  <v>155450</v>
                </pt>
                <pt idx="435">
                  <v>11800</v>
                </pt>
                <pt idx="436">
                  <v>12610</v>
                </pt>
                <pt idx="467">
                  <v>28200</v>
                </pt>
                <pt idx="502">
                  <v>3340</v>
                </pt>
                <pt idx="505">
                  <v>17990</v>
                </pt>
                <pt idx="620">
                  <v>74360</v>
                </pt>
                <pt idx="684">
                  <v>20000</v>
                </pt>
                <pt idx="699">
                  <v>8550</v>
                </pt>
              </numCache>
            </numRef>
          </val>
        </ser>
        <ser>
          <idx val="29"/>
          <order val="29"/>
          <tx>
            <strRef>
              <f>Sheet1!$AP$3</f>
              <strCache>
                <ptCount val="1"/>
                <pt idx="0">
                  <v>サステム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  <a:lumOff val="4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Sheet1!$AP$4:$AP$1104</f>
              <numCache>
                <formatCode>_(* #,##0_);_(* \(#,##0\);_(* "-"_);_(@_)</formatCode>
                <ptCount val="1101"/>
                <pt idx="205">
                  <v>444800</v>
                </pt>
                <pt idx="246">
                  <v>226576</v>
                </pt>
                <pt idx="252">
                  <v>43892</v>
                </pt>
                <pt idx="366">
                  <v>26000</v>
                </pt>
                <pt idx="367">
                  <v>81300</v>
                </pt>
                <pt idx="368">
                  <v>1083610</v>
                </pt>
                <pt idx="389">
                  <v>1683469</v>
                </pt>
                <pt idx="392">
                  <v>1826704</v>
                </pt>
                <pt idx="408">
                  <v>693003</v>
                </pt>
                <pt idx="414">
                  <v>1694046</v>
                </pt>
                <pt idx="422">
                  <v>12470</v>
                </pt>
                <pt idx="424">
                  <v>41476</v>
                </pt>
                <pt idx="445">
                  <v>210630</v>
                </pt>
                <pt idx="451">
                  <v>81720</v>
                </pt>
                <pt idx="452">
                  <v>71750</v>
                </pt>
                <pt idx="461">
                  <v>487208</v>
                </pt>
                <pt idx="463">
                  <v>141632</v>
                </pt>
                <pt idx="465">
                  <v>160000</v>
                </pt>
                <pt idx="466">
                  <v>165648</v>
                </pt>
                <pt idx="469">
                  <v>1758116</v>
                </pt>
                <pt idx="470">
                  <v>18445</v>
                </pt>
                <pt idx="484">
                  <v>751565</v>
                </pt>
                <pt idx="485">
                  <v>134590</v>
                </pt>
                <pt idx="486">
                  <v>36750</v>
                </pt>
                <pt idx="487">
                  <v>22892</v>
                </pt>
                <pt idx="494">
                  <v>263931</v>
                </pt>
                <pt idx="502">
                  <v>120314</v>
                </pt>
                <pt idx="506">
                  <v>154990</v>
                </pt>
                <pt idx="507">
                  <v>385862</v>
                </pt>
                <pt idx="508">
                  <v>84384</v>
                </pt>
                <pt idx="527">
                  <v>4580443</v>
                </pt>
                <pt idx="537">
                  <v>229449</v>
                </pt>
                <pt idx="548">
                  <v>13410</v>
                </pt>
                <pt idx="551">
                  <v>185598</v>
                </pt>
                <pt idx="568">
                  <v>106445</v>
                </pt>
                <pt idx="579">
                  <v>23000</v>
                </pt>
                <pt idx="580">
                  <v>23000</v>
                </pt>
                <pt idx="583">
                  <v>315486</v>
                </pt>
                <pt idx="597">
                  <v>315403</v>
                </pt>
                <pt idx="598">
                  <v>315403</v>
                </pt>
                <pt idx="617">
                  <v>251980</v>
                </pt>
                <pt idx="618">
                  <v>251980</v>
                </pt>
                <pt idx="619">
                  <v>154790</v>
                </pt>
                <pt idx="620">
                  <v>67800</v>
                </pt>
                <pt idx="624">
                  <v>251980</v>
                </pt>
                <pt idx="627">
                  <v>25653</v>
                </pt>
                <pt idx="642">
                  <v>340000</v>
                </pt>
                <pt idx="644">
                  <v>315486</v>
                </pt>
                <pt idx="646">
                  <v>94408</v>
                </pt>
                <pt idx="652">
                  <v>1868828</v>
                </pt>
                <pt idx="653">
                  <v>187510</v>
                </pt>
                <pt idx="654">
                  <v>46080</v>
                </pt>
                <pt idx="656">
                  <v>70880</v>
                </pt>
                <pt idx="660">
                  <v>92248</v>
                </pt>
                <pt idx="665">
                  <v>74190</v>
                </pt>
                <pt idx="666">
                  <v>36000</v>
                </pt>
                <pt idx="670">
                  <v>70976</v>
                </pt>
                <pt idx="671">
                  <v>241588</v>
                </pt>
                <pt idx="692">
                  <v>77336</v>
                </pt>
                <pt idx="705">
                  <v>40950</v>
                </pt>
                <pt idx="707">
                  <v>139360</v>
                </pt>
                <pt idx="721">
                  <v>600000</v>
                </pt>
                <pt idx="725">
                  <v>302470</v>
                </pt>
                <pt idx="727">
                  <v>147875</v>
                </pt>
              </numCache>
            </numRef>
          </val>
        </ser>
        <ser>
          <idx val="30"/>
          <order val="30"/>
          <tx>
            <strRef>
              <f>Sheet1!$AU$3</f>
              <strCache>
                <ptCount val="1"/>
                <pt idx="0">
                  <v>ゲットクリ-ンコート</v>
                </pt>
              </strCache>
            </strRef>
          </tx>
          <spPr>
            <a:solidFill xmlns:a="http://schemas.openxmlformats.org/drawingml/2006/main">
              <a:schemeClr val="accent1">
                <a:lumMod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Sheet1!$AU$4:$AU$1104</f>
              <numCache>
                <formatCode>_(* #,##0_);_(* \(#,##0\);_(* "-"_);_(@_)</formatCode>
                <ptCount val="1101"/>
                <pt idx="32">
                  <v>56000</v>
                </pt>
                <pt idx="40">
                  <v>112000</v>
                </pt>
                <pt idx="50">
                  <v>56000</v>
                </pt>
                <pt idx="102">
                  <v>220000</v>
                </pt>
                <pt idx="146">
                  <v>84000</v>
                </pt>
                <pt idx="147">
                  <v>56000</v>
                </pt>
                <pt idx="206">
                  <v>45000</v>
                </pt>
                <pt idx="226">
                  <v>50000</v>
                </pt>
                <pt idx="228">
                  <v>203900</v>
                </pt>
                <pt idx="620">
                  <v>35000</v>
                </pt>
                <pt idx="645">
                  <v>69000</v>
                </pt>
                <pt idx="646">
                  <v>136000</v>
                </pt>
                <pt idx="647">
                  <v>408000</v>
                </pt>
              </numCache>
            </numRef>
          </val>
        </ser>
        <ser>
          <idx val="31"/>
          <order val="31"/>
          <tx>
            <strRef>
              <f>Sheet1!$AZ$3</f>
              <strCache>
                <ptCount val="1"/>
                <pt idx="0">
                  <v>ゴミ　他</v>
                </pt>
              </strCache>
            </strRef>
          </tx>
          <spPr>
            <a:solidFill xmlns:a="http://schemas.openxmlformats.org/drawingml/2006/main">
              <a:schemeClr val="accent2">
                <a:lumMod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Sheet1!$AZ$4:$AZ$1104</f>
              <numCache>
                <formatCode>_(* #,##0_);_(* \(#,##0\);_(* "-"_);_(@_)</formatCode>
                <ptCount val="1101"/>
                <pt idx="26">
                  <v>30000</v>
                </pt>
                <pt idx="27">
                  <v>37000</v>
                </pt>
                <pt idx="35">
                  <v>100000</v>
                </pt>
                <pt idx="40">
                  <v>6000</v>
                </pt>
                <pt idx="49">
                  <v>6000</v>
                </pt>
                <pt idx="50">
                  <v>15000</v>
                </pt>
                <pt idx="53">
                  <v>114000</v>
                </pt>
                <pt idx="57">
                  <v>165000</v>
                </pt>
                <pt idx="65">
                  <v>18000</v>
                </pt>
                <pt idx="78">
                  <v>18000</v>
                </pt>
                <pt idx="84">
                  <v>8000</v>
                </pt>
                <pt idx="89">
                  <v>30000</v>
                </pt>
                <pt idx="101">
                  <v>300000</v>
                </pt>
                <pt idx="110">
                  <v>10000</v>
                </pt>
                <pt idx="151">
                  <v>100000</v>
                </pt>
                <pt idx="157">
                  <v>45000</v>
                </pt>
                <pt idx="162">
                  <v>18000</v>
                </pt>
                <pt idx="171">
                  <v>5000</v>
                </pt>
                <pt idx="195">
                  <v>3000</v>
                </pt>
                <pt idx="207">
                  <v>32500</v>
                </pt>
                <pt idx="210">
                  <v>19500</v>
                </pt>
                <pt idx="223">
                  <v>39000</v>
                </pt>
                <pt idx="233">
                  <v>32500</v>
                </pt>
                <pt idx="234">
                  <v>32500</v>
                </pt>
                <pt idx="239">
                  <v>39000</v>
                </pt>
                <pt idx="241">
                  <v>20000</v>
                </pt>
                <pt idx="252">
                  <v>30000</v>
                </pt>
                <pt idx="264">
                  <v>10000</v>
                </pt>
                <pt idx="278">
                  <v>37900</v>
                </pt>
                <pt idx="286">
                  <v>86100</v>
                </pt>
                <pt idx="296">
                  <v>32500</v>
                </pt>
                <pt idx="307">
                  <v>4000</v>
                </pt>
                <pt idx="317">
                  <v>26000</v>
                </pt>
                <pt idx="335">
                  <v>20000</v>
                </pt>
                <pt idx="339">
                  <v>230000</v>
                </pt>
                <pt idx="347">
                  <v>105000</v>
                </pt>
                <pt idx="348">
                  <v>121640</v>
                </pt>
                <pt idx="350">
                  <v>360000</v>
                </pt>
                <pt idx="353">
                  <v>20000</v>
                </pt>
                <pt idx="354">
                  <v>40000</v>
                </pt>
                <pt idx="355">
                  <v>60000</v>
                </pt>
                <pt idx="366">
                  <v>42000</v>
                </pt>
                <pt idx="371">
                  <v>930710</v>
                </pt>
                <pt idx="378">
                  <v>247500</v>
                </pt>
                <pt idx="382">
                  <v>190000</v>
                </pt>
                <pt idx="383">
                  <v>108000</v>
                </pt>
                <pt idx="386">
                  <v>241200</v>
                </pt>
                <pt idx="389">
                  <v>149600</v>
                </pt>
                <pt idx="403">
                  <v>91000</v>
                </pt>
                <pt idx="409">
                  <v>25000</v>
                </pt>
                <pt idx="414">
                  <v>36000</v>
                </pt>
                <pt idx="444">
                  <v>65000</v>
                </pt>
                <pt idx="530">
                  <v>72000</v>
                </pt>
                <pt idx="540">
                  <v>28000</v>
                </pt>
                <pt idx="638">
                  <v>1715000</v>
                </pt>
                <pt idx="643">
                  <v>33540</v>
                </pt>
                <pt idx="684">
                  <v>30000</v>
                </pt>
                <pt idx="687">
                  <v>30000</v>
                </pt>
              </numCache>
            </numRef>
          </val>
        </ser>
        <ser>
          <idx val="32"/>
          <order val="32"/>
          <tx>
            <strRef>
              <f>Sheet1!$BA$3</f>
              <strCache>
                <ptCount val="1"/>
                <pt idx="0">
                  <v>リビングガーデン</v>
                </pt>
              </strCache>
            </strRef>
          </tx>
          <spPr>
            <a:solidFill xmlns:a="http://schemas.openxmlformats.org/drawingml/2006/main">
              <a:schemeClr val="accent3">
                <a:lumMod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Sheet1!$BA$4:$BA$1104</f>
              <numCache>
                <formatCode>_(* #,##0_);_(* \(#,##0\);_(* "-"_);_(@_)</formatCode>
                <ptCount val="1101"/>
                <pt idx="245">
                  <v>330000</v>
                </pt>
                <pt idx="300">
                  <v>300000</v>
                </pt>
                <pt idx="602">
                  <v>145000</v>
                </pt>
                <pt idx="640">
                  <v>55000</v>
                </pt>
              </numCache>
            </numRef>
          </val>
        </ser>
        <ser>
          <idx val="33"/>
          <order val="33"/>
          <tx>
            <strRef>
              <f>Sheet1!$BG$3</f>
              <strCache>
                <ptCount val="1"/>
                <pt idx="0">
                  <v>工場材</v>
                </pt>
              </strCache>
            </strRef>
          </tx>
          <spPr>
            <a:solidFill xmlns:a="http://schemas.openxmlformats.org/drawingml/2006/main">
              <a:schemeClr val="accent4">
                <a:lumMod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multiLvlStrRef>
              <multiLvlStrCache>
                <lvl>
                  <pt idx="0">
                    <v>41%</v>
                  </pt>
                  <pt idx="1">
                    <v>21%</v>
                  </pt>
                  <pt idx="2">
                    <v>63%</v>
                  </pt>
                  <pt idx="3">
                    <v>12%</v>
                  </pt>
                  <pt idx="4">
                    <v>13%</v>
                  </pt>
                  <pt idx="14">
                    <v>50%</v>
                  </pt>
                  <pt idx="15">
                    <v>29%</v>
                  </pt>
                  <pt idx="17">
                    <v>26%</v>
                  </pt>
                  <pt idx="18">
                    <v>9%</v>
                  </pt>
                  <pt idx="19">
                    <v>31%</v>
                  </pt>
                  <pt idx="20">
                    <v>13%</v>
                  </pt>
                  <pt idx="21">
                    <v>25%</v>
                  </pt>
                  <pt idx="24">
                    <v>28%</v>
                  </pt>
                  <pt idx="25">
                    <v>34%</v>
                  </pt>
                  <pt idx="26">
                    <v>31%</v>
                  </pt>
                  <pt idx="27">
                    <v>18%</v>
                  </pt>
                  <pt idx="28">
                    <v>31%</v>
                  </pt>
                  <pt idx="29">
                    <v>27%</v>
                  </pt>
                  <pt idx="32">
                    <v>25%</v>
                  </pt>
                  <pt idx="33">
                    <v>31%</v>
                  </pt>
                  <pt idx="34">
                    <v>25%</v>
                  </pt>
                  <pt idx="35">
                    <v>14%</v>
                  </pt>
                  <pt idx="36">
                    <v>23%</v>
                  </pt>
                  <pt idx="38">
                    <v>26%</v>
                  </pt>
                  <pt idx="39">
                    <v>25%</v>
                  </pt>
                  <pt idx="40">
                    <v>29%</v>
                  </pt>
                  <pt idx="41">
                    <v>10%</v>
                  </pt>
                  <pt idx="42">
                    <v>23%</v>
                  </pt>
                  <pt idx="45">
                    <v>29%</v>
                  </pt>
                  <pt idx="46">
                    <v>38%</v>
                  </pt>
                  <pt idx="47">
                    <v>15%</v>
                  </pt>
                  <pt idx="48">
                    <v>31%</v>
                  </pt>
                  <pt idx="49">
                    <v>29%</v>
                  </pt>
                  <pt idx="50">
                    <v>35%</v>
                  </pt>
                  <pt idx="51">
                    <v>35%</v>
                  </pt>
                  <pt idx="52">
                    <v>23%</v>
                  </pt>
                  <pt idx="53">
                    <v>20%</v>
                  </pt>
                  <pt idx="54">
                    <v>29%</v>
                  </pt>
                  <pt idx="57">
                    <v>20%</v>
                  </pt>
                  <pt idx="58">
                    <v>45%</v>
                  </pt>
                  <pt idx="59">
                    <v>23%</v>
                  </pt>
                  <pt idx="60">
                    <v>35%</v>
                  </pt>
                  <pt idx="61">
                    <v>58%</v>
                  </pt>
                  <pt idx="62">
                    <v>27%</v>
                  </pt>
                  <pt idx="65">
                    <v>26%</v>
                  </pt>
                  <pt idx="66">
                    <v>36%</v>
                  </pt>
                  <pt idx="67">
                    <v>37%</v>
                  </pt>
                  <pt idx="68">
                    <v>32%</v>
                  </pt>
                  <pt idx="71">
                    <v>32%</v>
                  </pt>
                  <pt idx="72">
                    <v>20%</v>
                  </pt>
                  <pt idx="73">
                    <v>36%</v>
                  </pt>
                  <pt idx="74">
                    <v>34%</v>
                  </pt>
                  <pt idx="75">
                    <v>24%</v>
                  </pt>
                  <pt idx="76">
                    <v>29%</v>
                  </pt>
                  <pt idx="77">
                    <v>23%</v>
                  </pt>
                  <pt idx="78">
                    <v>43%</v>
                  </pt>
                  <pt idx="79">
                    <v>29%</v>
                  </pt>
                  <pt idx="81">
                    <v>70%</v>
                  </pt>
                  <pt idx="82">
                    <v>72%</v>
                  </pt>
                  <pt idx="83">
                    <v>90%</v>
                  </pt>
                  <pt idx="84">
                    <v>31%</v>
                  </pt>
                  <pt idx="85">
                    <v>37%</v>
                  </pt>
                  <pt idx="86">
                    <v>100%</v>
                  </pt>
                  <pt idx="87">
                    <v>23%</v>
                  </pt>
                  <pt idx="88">
                    <v>30%</v>
                  </pt>
                  <pt idx="89">
                    <v>20%</v>
                  </pt>
                  <pt idx="90">
                    <v>21%</v>
                  </pt>
                  <pt idx="91">
                    <v>25%</v>
                  </pt>
                  <pt idx="92">
                    <v>36%</v>
                  </pt>
                  <pt idx="93">
                    <v>36%</v>
                  </pt>
                  <pt idx="96">
                    <v>38%</v>
                  </pt>
                  <pt idx="97">
                    <v>14%</v>
                  </pt>
                  <pt idx="98">
                    <v>27%</v>
                  </pt>
                  <pt idx="99">
                    <v>4%</v>
                  </pt>
                  <pt idx="100">
                    <v>18%</v>
                  </pt>
                  <pt idx="101">
                    <v>10%</v>
                  </pt>
                  <pt idx="102">
                    <v>32%</v>
                  </pt>
                  <pt idx="103">
                    <v>24%</v>
                  </pt>
                  <pt idx="104">
                    <v>30%</v>
                  </pt>
                  <pt idx="105">
                    <v>29%</v>
                  </pt>
                  <pt idx="106">
                    <v>47%</v>
                  </pt>
                  <pt idx="107">
                    <v>26%</v>
                  </pt>
                  <pt idx="110">
                    <v>27%</v>
                  </pt>
                  <pt idx="111">
                    <v>42%</v>
                  </pt>
                  <pt idx="112">
                    <v>34%</v>
                  </pt>
                  <pt idx="113">
                    <v>20%</v>
                  </pt>
                  <pt idx="114">
                    <v>33%</v>
                  </pt>
                  <pt idx="117">
                    <v>44%</v>
                  </pt>
                  <pt idx="118">
                    <v>66%</v>
                  </pt>
                  <pt idx="119">
                    <v>28%</v>
                  </pt>
                  <pt idx="120">
                    <v>19%</v>
                  </pt>
                  <pt idx="121">
                    <v>40%</v>
                  </pt>
                  <pt idx="125">
                    <v>37%</v>
                  </pt>
                  <pt idx="126">
                    <v>40%</v>
                  </pt>
                  <pt idx="127">
                    <v>38%</v>
                  </pt>
                  <pt idx="130">
                    <v>20%</v>
                  </pt>
                  <pt idx="131">
                    <v>30%</v>
                  </pt>
                  <pt idx="132">
                    <v>65%</v>
                  </pt>
                  <pt idx="133">
                    <v>49%</v>
                  </pt>
                  <pt idx="134">
                    <v>38%</v>
                  </pt>
                  <pt idx="137">
                    <v>18%</v>
                  </pt>
                  <pt idx="138">
                    <v>38%</v>
                  </pt>
                  <pt idx="139">
                    <v>44%</v>
                  </pt>
                  <pt idx="140">
                    <v>22%</v>
                  </pt>
                  <pt idx="144">
                    <v>28%</v>
                  </pt>
                  <pt idx="145">
                    <v>20%</v>
                  </pt>
                  <pt idx="146">
                    <v>33%</v>
                  </pt>
                  <pt idx="147">
                    <v>29%</v>
                  </pt>
                  <pt idx="148">
                    <v>7%</v>
                  </pt>
                  <pt idx="149">
                    <v>7%</v>
                  </pt>
                  <pt idx="150">
                    <v>100%</v>
                  </pt>
                  <pt idx="151">
                    <v>5%</v>
                  </pt>
                  <pt idx="152">
                    <v>24%</v>
                  </pt>
                  <pt idx="154">
                    <v>27%</v>
                  </pt>
                  <pt idx="155">
                    <v>34%</v>
                  </pt>
                  <pt idx="156">
                    <v>26%</v>
                  </pt>
                  <pt idx="157">
                    <v>26%</v>
                  </pt>
                  <pt idx="158">
                    <v>27%</v>
                  </pt>
                  <pt idx="159">
                    <v>53%</v>
                  </pt>
                  <pt idx="160">
                    <v>37%</v>
                  </pt>
                  <pt idx="161">
                    <v>56%</v>
                  </pt>
                  <pt idx="162">
                    <v>18%</v>
                  </pt>
                  <pt idx="163">
                    <v>30%</v>
                  </pt>
                  <pt idx="165">
                    <v>32%</v>
                  </pt>
                  <pt idx="166">
                    <v>33%</v>
                  </pt>
                  <pt idx="167">
                    <v>37%</v>
                  </pt>
                  <pt idx="168">
                    <v>34%</v>
                  </pt>
                  <pt idx="171">
                    <v>13%</v>
                  </pt>
                  <pt idx="172">
                    <v>19%</v>
                  </pt>
                  <pt idx="173">
                    <v>19%</v>
                  </pt>
                  <pt idx="174">
                    <v>34%</v>
                  </pt>
                  <pt idx="175">
                    <v>26%</v>
                  </pt>
                  <pt idx="178">
                    <v>37%</v>
                  </pt>
                  <pt idx="179">
                    <v>19%</v>
                  </pt>
                  <pt idx="180">
                    <v>27%</v>
                  </pt>
                  <pt idx="181">
                    <v>33%</v>
                  </pt>
                  <pt idx="185">
                    <v>34%</v>
                  </pt>
                  <pt idx="186">
                    <v>23%</v>
                  </pt>
                  <pt idx="187">
                    <v>39%</v>
                  </pt>
                  <pt idx="188">
                    <v>35%</v>
                  </pt>
                  <pt idx="189">
                    <v>32%</v>
                  </pt>
                  <pt idx="192">
                    <v>19%</v>
                  </pt>
                  <pt idx="193">
                    <v>100%</v>
                  </pt>
                  <pt idx="194">
                    <v>35%</v>
                  </pt>
                  <pt idx="195">
                    <v>19%</v>
                  </pt>
                  <pt idx="196">
                    <v>24%</v>
                  </pt>
                  <pt idx="197">
                    <v>24%</v>
                  </pt>
                  <pt idx="198">
                    <v>21%</v>
                  </pt>
                  <pt idx="199">
                    <v>26%</v>
                  </pt>
                  <pt idx="200">
                    <v>24%</v>
                  </pt>
                  <pt idx="203">
                    <v>15%</v>
                  </pt>
                  <pt idx="204">
                    <v>28%</v>
                  </pt>
                  <pt idx="205">
                    <v>13%</v>
                  </pt>
                  <pt idx="206">
                    <v>42%</v>
                  </pt>
                  <pt idx="207">
                    <v>10%</v>
                  </pt>
                  <pt idx="208">
                    <v>24%</v>
                  </pt>
                  <pt idx="209">
                    <v>24%</v>
                  </pt>
                  <pt idx="210">
                    <v>22%</v>
                  </pt>
                  <pt idx="211">
                    <v>20%</v>
                  </pt>
                  <pt idx="214">
                    <v>12%</v>
                  </pt>
                  <pt idx="215">
                    <v>62%</v>
                  </pt>
                  <pt idx="216">
                    <v>35%</v>
                  </pt>
                  <pt idx="217">
                    <v>25%</v>
                  </pt>
                  <pt idx="218">
                    <v>24%</v>
                  </pt>
                  <pt idx="219">
                    <v>66%</v>
                  </pt>
                  <pt idx="220">
                    <v>44%</v>
                  </pt>
                  <pt idx="223">
                    <v>35%</v>
                  </pt>
                  <pt idx="224">
                    <v>39%</v>
                  </pt>
                  <pt idx="225">
                    <v>40%</v>
                  </pt>
                  <pt idx="226">
                    <v>44%</v>
                  </pt>
                  <pt idx="228">
                    <v>40%</v>
                  </pt>
                  <pt idx="229">
                    <v>39%</v>
                  </pt>
                  <pt idx="232">
                    <v>23%</v>
                  </pt>
                  <pt idx="233">
                    <v>25%</v>
                  </pt>
                  <pt idx="234">
                    <v>8%</v>
                  </pt>
                  <pt idx="235">
                    <v>51%</v>
                  </pt>
                  <pt idx="236">
                    <v>61%</v>
                  </pt>
                  <pt idx="237">
                    <v>36%</v>
                  </pt>
                  <pt idx="238">
                    <v>19%</v>
                  </pt>
                  <pt idx="239">
                    <v>34%</v>
                  </pt>
                  <pt idx="240">
                    <v>33%</v>
                  </pt>
                  <pt idx="241">
                    <v>30%</v>
                  </pt>
                  <pt idx="242">
                    <v>43%</v>
                  </pt>
                  <pt idx="243">
                    <v>36%</v>
                  </pt>
                  <pt idx="244">
                    <v>30%</v>
                  </pt>
                  <pt idx="245">
                    <v>20%</v>
                  </pt>
                  <pt idx="246">
                    <v>18%</v>
                  </pt>
                  <pt idx="247">
                    <v>29%</v>
                  </pt>
                  <pt idx="248">
                    <v>26%</v>
                  </pt>
                  <pt idx="251">
                    <v>55%</v>
                  </pt>
                  <pt idx="252">
                    <v>32%</v>
                  </pt>
                  <pt idx="253">
                    <v>10%</v>
                  </pt>
                  <pt idx="254">
                    <v>91%</v>
                  </pt>
                  <pt idx="255">
                    <v>42%</v>
                  </pt>
                  <pt idx="257">
                    <v>27%</v>
                  </pt>
                  <pt idx="258">
                    <v>53%</v>
                  </pt>
                  <pt idx="259">
                    <v>23%</v>
                  </pt>
                  <pt idx="260">
                    <v>53%</v>
                  </pt>
                  <pt idx="261">
                    <v>41%</v>
                  </pt>
                  <pt idx="262">
                    <v>74%</v>
                  </pt>
                  <pt idx="263">
                    <v>61%</v>
                  </pt>
                  <pt idx="264">
                    <v>38%</v>
                  </pt>
                  <pt idx="265">
                    <v>19%</v>
                  </pt>
                  <pt idx="266">
                    <v>49%</v>
                  </pt>
                  <pt idx="268">
                    <v>57%</v>
                  </pt>
                  <pt idx="269">
                    <v>12%</v>
                  </pt>
                  <pt idx="270">
                    <v>23%</v>
                  </pt>
                  <pt idx="271">
                    <v>20%</v>
                  </pt>
                  <pt idx="272">
                    <v>18%</v>
                  </pt>
                  <pt idx="273">
                    <v>100%</v>
                  </pt>
                  <pt idx="274">
                    <v>38%</v>
                  </pt>
                  <pt idx="275">
                    <v>43%</v>
                  </pt>
                  <pt idx="276">
                    <v>27%</v>
                  </pt>
                  <pt idx="278">
                    <v>35%</v>
                  </pt>
                  <pt idx="279">
                    <v>48%</v>
                  </pt>
                  <pt idx="280">
                    <v>52%</v>
                  </pt>
                  <pt idx="281">
                    <v>55%</v>
                  </pt>
                  <pt idx="282">
                    <v>41%</v>
                  </pt>
                  <pt idx="283">
                    <v>86%</v>
                  </pt>
                  <pt idx="284">
                    <v>43%</v>
                  </pt>
                  <pt idx="286">
                    <v>39%</v>
                  </pt>
                  <pt idx="287">
                    <v>34%</v>
                  </pt>
                  <pt idx="288">
                    <v>39%</v>
                  </pt>
                  <pt idx="291">
                    <v>30%</v>
                  </pt>
                  <pt idx="292">
                    <v>18%</v>
                  </pt>
                  <pt idx="293">
                    <v>23%</v>
                  </pt>
                  <pt idx="296">
                    <v>22%</v>
                  </pt>
                  <pt idx="297">
                    <v>22%</v>
                  </pt>
                  <pt idx="299">
                    <v>32%</v>
                  </pt>
                  <pt idx="300">
                    <v>21%</v>
                  </pt>
                  <pt idx="301">
                    <v>34%</v>
                  </pt>
                  <pt idx="302">
                    <v>30%</v>
                  </pt>
                  <pt idx="303">
                    <v>42%</v>
                  </pt>
                  <pt idx="304">
                    <v>32%</v>
                  </pt>
                  <pt idx="307">
                    <v>36%</v>
                  </pt>
                  <pt idx="308">
                    <v>38%</v>
                  </pt>
                  <pt idx="309">
                    <v>38%</v>
                  </pt>
                  <pt idx="310">
                    <v>32%</v>
                  </pt>
                  <pt idx="311">
                    <v>46%</v>
                  </pt>
                  <pt idx="312">
                    <v>35%</v>
                  </pt>
                  <pt idx="314">
                    <v>19%</v>
                  </pt>
                  <pt idx="315">
                    <v>17%</v>
                  </pt>
                  <pt idx="316">
                    <v>20%</v>
                  </pt>
                  <pt idx="317">
                    <v>13%</v>
                  </pt>
                  <pt idx="318">
                    <v>19%</v>
                  </pt>
                  <pt idx="320">
                    <v>38%</v>
                  </pt>
                  <pt idx="321">
                    <v>26%</v>
                  </pt>
                  <pt idx="324">
                    <v>32%</v>
                  </pt>
                  <pt idx="325">
                    <v>31%</v>
                  </pt>
                  <pt idx="326">
                    <v>59%</v>
                  </pt>
                  <pt idx="327">
                    <v>-7%</v>
                  </pt>
                  <pt idx="330">
                    <v>49%</v>
                  </pt>
                  <pt idx="331">
                    <v>9%</v>
                  </pt>
                  <pt idx="332">
                    <v>45%</v>
                  </pt>
                  <pt idx="333">
                    <v>20%</v>
                  </pt>
                  <pt idx="334">
                    <v>31%</v>
                  </pt>
                  <pt idx="335">
                    <v>42%</v>
                  </pt>
                  <pt idx="336">
                    <v>43%</v>
                  </pt>
                  <pt idx="338">
                    <v>46%</v>
                  </pt>
                  <pt idx="339">
                    <v>35%</v>
                  </pt>
                  <pt idx="340">
                    <v>65%</v>
                  </pt>
                  <pt idx="341">
                    <v>65%</v>
                  </pt>
                  <pt idx="342">
                    <v>66%</v>
                  </pt>
                  <pt idx="343">
                    <v>47%</v>
                  </pt>
                  <pt idx="344">
                    <v>55%</v>
                  </pt>
                  <pt idx="347">
                    <v>32%</v>
                  </pt>
                  <pt idx="348">
                    <v>18%</v>
                  </pt>
                  <pt idx="349">
                    <v>31%</v>
                  </pt>
                  <pt idx="350">
                    <v>9%</v>
                  </pt>
                  <pt idx="352">
                    <v>38%</v>
                  </pt>
                  <pt idx="353">
                    <v>61%</v>
                  </pt>
                  <pt idx="354">
                    <v>34%</v>
                  </pt>
                  <pt idx="355">
                    <v>32%</v>
                  </pt>
                  <pt idx="358">
                    <v>40%</v>
                  </pt>
                  <pt idx="359">
                    <v>-6%</v>
                  </pt>
                  <pt idx="360">
                    <v>33%</v>
                  </pt>
                  <pt idx="361">
                    <v>21%</v>
                  </pt>
                  <pt idx="364">
                    <v>11%</v>
                  </pt>
                  <pt idx="365">
                    <v>41%</v>
                  </pt>
                  <pt idx="366">
                    <v>18%</v>
                  </pt>
                  <pt idx="367">
                    <v>23%</v>
                  </pt>
                  <pt idx="368">
                    <v>23%</v>
                  </pt>
                  <pt idx="369">
                    <v>23%</v>
                  </pt>
                  <pt idx="370">
                    <v>13%</v>
                  </pt>
                  <pt idx="371">
                    <v>25%</v>
                  </pt>
                  <pt idx="372">
                    <v>48%</v>
                  </pt>
                  <pt idx="373">
                    <v>28%</v>
                  </pt>
                  <pt idx="374">
                    <v>57%</v>
                  </pt>
                  <pt idx="377">
                    <v>50%</v>
                  </pt>
                  <pt idx="378">
                    <v>0%</v>
                  </pt>
                  <pt idx="379">
                    <v>24%</v>
                  </pt>
                  <pt idx="380">
                    <v>14%</v>
                  </pt>
                  <pt idx="381">
                    <v>27%</v>
                  </pt>
                  <pt idx="382">
                    <v>35%</v>
                  </pt>
                  <pt idx="383">
                    <v>41%</v>
                  </pt>
                  <pt idx="384">
                    <v>77%</v>
                  </pt>
                  <pt idx="386">
                    <v>16%</v>
                  </pt>
                  <pt idx="387">
                    <v>38%</v>
                  </pt>
                  <pt idx="388">
                    <v>31%</v>
                  </pt>
                  <pt idx="389">
                    <v>18%</v>
                  </pt>
                  <pt idx="392">
                    <v>32%</v>
                  </pt>
                  <pt idx="393">
                    <v>65%</v>
                  </pt>
                  <pt idx="394">
                    <v>100%</v>
                  </pt>
                  <pt idx="395">
                    <v>25%</v>
                  </pt>
                  <pt idx="396">
                    <v>25%</v>
                  </pt>
                  <pt idx="397">
                    <v>25%</v>
                  </pt>
                  <pt idx="398">
                    <v>9%</v>
                  </pt>
                  <pt idx="399">
                    <v>18%</v>
                  </pt>
                  <pt idx="400">
                    <v>39%</v>
                  </pt>
                  <pt idx="403">
                    <v>21%</v>
                  </pt>
                  <pt idx="404">
                    <v>69%</v>
                  </pt>
                  <pt idx="405">
                    <v>5%</v>
                  </pt>
                  <pt idx="406">
                    <v>36%</v>
                  </pt>
                  <pt idx="408">
                    <v>-9%</v>
                  </pt>
                  <pt idx="409">
                    <v>33%</v>
                  </pt>
                  <pt idx="410">
                    <v>22%</v>
                  </pt>
                  <pt idx="411">
                    <v>18%</v>
                  </pt>
                  <pt idx="412">
                    <v>0%</v>
                  </pt>
                  <pt idx="414">
                    <v>24%</v>
                  </pt>
                  <pt idx="415">
                    <v>30%</v>
                  </pt>
                  <pt idx="416">
                    <v>5%</v>
                  </pt>
                  <pt idx="417">
                    <v>27%</v>
                  </pt>
                  <pt idx="418">
                    <v>26%</v>
                  </pt>
                  <pt idx="420">
                    <v>60%</v>
                  </pt>
                  <pt idx="422">
                    <v>-15%</v>
                  </pt>
                  <pt idx="423">
                    <v>30%</v>
                  </pt>
                  <pt idx="424">
                    <v>35%</v>
                  </pt>
                  <pt idx="426">
                    <v>25%</v>
                  </pt>
                  <pt idx="427">
                    <v>22%</v>
                  </pt>
                  <pt idx="428">
                    <v>23%</v>
                  </pt>
                  <pt idx="429">
                    <v>45%</v>
                  </pt>
                  <pt idx="430">
                    <v>23%</v>
                  </pt>
                  <pt idx="431">
                    <v>27%</v>
                  </pt>
                  <pt idx="432">
                    <v>49%</v>
                  </pt>
                  <pt idx="433">
                    <v>22%</v>
                  </pt>
                  <pt idx="434">
                    <v>17%</v>
                  </pt>
                  <pt idx="435">
                    <v>25%</v>
                  </pt>
                  <pt idx="436">
                    <v>5%</v>
                  </pt>
                  <pt idx="437">
                    <v>58%</v>
                  </pt>
                  <pt idx="438">
                    <v>-13%</v>
                  </pt>
                  <pt idx="439">
                    <v>51%</v>
                  </pt>
                  <pt idx="440">
                    <v>18%</v>
                  </pt>
                  <pt idx="441">
                    <v>21%</v>
                  </pt>
                  <pt idx="442">
                    <v>33%</v>
                  </pt>
                  <pt idx="443">
                    <v>11%</v>
                  </pt>
                  <pt idx="444">
                    <v>49%</v>
                  </pt>
                  <pt idx="445">
                    <v>10%</v>
                  </pt>
                  <pt idx="446">
                    <v>19%</v>
                  </pt>
                  <pt idx="448">
                    <v>11%</v>
                  </pt>
                  <pt idx="450">
                    <v>32%</v>
                  </pt>
                  <pt idx="451">
                    <v>41%</v>
                  </pt>
                  <pt idx="452">
                    <v>25%</v>
                  </pt>
                  <pt idx="453">
                    <v>31%</v>
                  </pt>
                  <pt idx="454">
                    <v>58%</v>
                  </pt>
                  <pt idx="456">
                    <v>38%</v>
                  </pt>
                  <pt idx="457">
                    <v>26%</v>
                  </pt>
                  <pt idx="459">
                    <v>9%</v>
                  </pt>
                  <pt idx="460">
                    <v>39%</v>
                  </pt>
                  <pt idx="461">
                    <v>20%</v>
                  </pt>
                  <pt idx="463">
                    <v>32%</v>
                  </pt>
                  <pt idx="464">
                    <v>100%</v>
                  </pt>
                  <pt idx="465">
                    <v>52%</v>
                  </pt>
                  <pt idx="466">
                    <v>29%</v>
                  </pt>
                  <pt idx="467">
                    <v>20%</v>
                  </pt>
                  <pt idx="468">
                    <v>28%</v>
                  </pt>
                  <pt idx="469">
                    <v>31%</v>
                  </pt>
                  <pt idx="470">
                    <v>35%</v>
                  </pt>
                  <pt idx="471">
                    <v>-4%</v>
                  </pt>
                  <pt idx="472">
                    <v>65%</v>
                  </pt>
                  <pt idx="473">
                    <v>24%</v>
                  </pt>
                  <pt idx="474">
                    <v>43%</v>
                  </pt>
                  <pt idx="476">
                    <v>-2%</v>
                  </pt>
                  <pt idx="477">
                    <v>54%</v>
                  </pt>
                  <pt idx="478">
                    <v>24%</v>
                  </pt>
                  <pt idx="479">
                    <v>100%</v>
                  </pt>
                  <pt idx="480">
                    <v>32%</v>
                  </pt>
                  <pt idx="481">
                    <v>29%</v>
                  </pt>
                  <pt idx="482">
                    <v>13%</v>
                  </pt>
                  <pt idx="483">
                    <v>24%</v>
                  </pt>
                  <pt idx="484">
                    <v>28%</v>
                  </pt>
                  <pt idx="485">
                    <v>45%</v>
                  </pt>
                  <pt idx="486">
                    <v>54%</v>
                  </pt>
                  <pt idx="487">
                    <v>38%</v>
                  </pt>
                  <pt idx="488">
                    <v>36%</v>
                  </pt>
                  <pt idx="489">
                    <v>13%</v>
                  </pt>
                  <pt idx="491">
                    <v>15%</v>
                  </pt>
                  <pt idx="492">
                    <v>37%</v>
                  </pt>
                  <pt idx="493">
                    <v>42%</v>
                  </pt>
                  <pt idx="494">
                    <v>57%</v>
                  </pt>
                  <pt idx="496">
                    <v>34%</v>
                  </pt>
                  <pt idx="497">
                    <v>59%</v>
                  </pt>
                  <pt idx="498">
                    <v>42%</v>
                  </pt>
                  <pt idx="500">
                    <v>25%</v>
                  </pt>
                  <pt idx="501">
                    <v>23%</v>
                  </pt>
                  <pt idx="502">
                    <v>24%</v>
                  </pt>
                  <pt idx="503">
                    <v>14%</v>
                  </pt>
                  <pt idx="505">
                    <v>24%</v>
                  </pt>
                  <pt idx="506">
                    <v>42%</v>
                  </pt>
                  <pt idx="507">
                    <v>11%</v>
                  </pt>
                  <pt idx="508">
                    <v>36%</v>
                  </pt>
                  <pt idx="509">
                    <v>31%</v>
                  </pt>
                  <pt idx="510">
                    <v>36%</v>
                  </pt>
                  <pt idx="511">
                    <v>36%</v>
                  </pt>
                  <pt idx="513">
                    <v>38%</v>
                  </pt>
                  <pt idx="514">
                    <v>100%</v>
                  </pt>
                  <pt idx="515">
                    <v>37%</v>
                  </pt>
                  <pt idx="516">
                    <v>16%</v>
                  </pt>
                  <pt idx="517">
                    <v>81%</v>
                  </pt>
                  <pt idx="518">
                    <v>66%</v>
                  </pt>
                  <pt idx="519">
                    <v>19%</v>
                  </pt>
                  <pt idx="520">
                    <v>24%</v>
                  </pt>
                  <pt idx="521">
                    <v>0%</v>
                  </pt>
                  <pt idx="522">
                    <v>100%</v>
                  </pt>
                  <pt idx="524">
                    <v>55%</v>
                  </pt>
                  <pt idx="525">
                    <v>40%</v>
                  </pt>
                  <pt idx="529">
                    <v>34%</v>
                  </pt>
                  <pt idx="530">
                    <v>34%</v>
                  </pt>
                  <pt idx="531">
                    <v>62%</v>
                  </pt>
                  <pt idx="532">
                    <v>75%</v>
                  </pt>
                  <pt idx="535">
                    <v>22%</v>
                  </pt>
                  <pt idx="536">
                    <v>100%</v>
                  </pt>
                  <pt idx="537">
                    <v>51%</v>
                  </pt>
                  <pt idx="538">
                    <v>82%</v>
                  </pt>
                  <pt idx="539">
                    <v>82%</v>
                  </pt>
                  <pt idx="541">
                    <v>28%</v>
                  </pt>
                  <pt idx="542">
                    <v>22%</v>
                  </pt>
                  <pt idx="543">
                    <v>49%</v>
                  </pt>
                  <pt idx="544">
                    <v>9%</v>
                  </pt>
                  <pt idx="545">
                    <v>17%</v>
                  </pt>
                  <pt idx="547">
                    <v>52%</v>
                  </pt>
                  <pt idx="548">
                    <v>35%</v>
                  </pt>
                  <pt idx="549">
                    <v>50%</v>
                  </pt>
                  <pt idx="550">
                    <v>48%</v>
                  </pt>
                  <pt idx="551">
                    <v>34%</v>
                  </pt>
                  <pt idx="552">
                    <v>19%</v>
                  </pt>
                  <pt idx="553">
                    <v>23%</v>
                  </pt>
                  <pt idx="554">
                    <v>39%</v>
                  </pt>
                  <pt idx="555">
                    <v>9%</v>
                  </pt>
                  <pt idx="556">
                    <v>100%</v>
                  </pt>
                  <pt idx="557">
                    <v>16%</v>
                  </pt>
                  <pt idx="558">
                    <v>100%</v>
                  </pt>
                  <pt idx="559">
                    <v>55%</v>
                  </pt>
                  <pt idx="561">
                    <v>13%</v>
                  </pt>
                  <pt idx="562">
                    <v>-4%</v>
                  </pt>
                  <pt idx="563">
                    <v>-5%</v>
                  </pt>
                  <pt idx="564">
                    <v>82%</v>
                  </pt>
                  <pt idx="565">
                    <v>17%</v>
                  </pt>
                  <pt idx="567">
                    <v>21%</v>
                  </pt>
                  <pt idx="568">
                    <v>21%</v>
                  </pt>
                  <pt idx="569">
                    <v>37%</v>
                  </pt>
                  <pt idx="570">
                    <v>68%</v>
                  </pt>
                  <pt idx="571">
                    <v>82%</v>
                  </pt>
                  <pt idx="572">
                    <v>32%</v>
                  </pt>
                  <pt idx="574">
                    <v>23%</v>
                  </pt>
                  <pt idx="575">
                    <v>13%</v>
                  </pt>
                  <pt idx="576">
                    <v>-16%</v>
                  </pt>
                  <pt idx="577">
                    <v>6%</v>
                  </pt>
                  <pt idx="578">
                    <v>32%</v>
                  </pt>
                  <pt idx="579">
                    <v>50%</v>
                  </pt>
                  <pt idx="580">
                    <v>47%</v>
                  </pt>
                  <pt idx="581">
                    <v>35%</v>
                  </pt>
                  <pt idx="582">
                    <v>39%</v>
                  </pt>
                  <pt idx="583">
                    <v>30%</v>
                  </pt>
                  <pt idx="584">
                    <v>21%</v>
                  </pt>
                  <pt idx="585">
                    <v>98%</v>
                  </pt>
                  <pt idx="586">
                    <v>58%</v>
                  </pt>
                  <pt idx="587">
                    <v>14%</v>
                  </pt>
                  <pt idx="588">
                    <v>19%</v>
                  </pt>
                  <pt idx="589">
                    <v>100%</v>
                  </pt>
                  <pt idx="590">
                    <v>53%</v>
                  </pt>
                  <pt idx="591">
                    <v>41%</v>
                  </pt>
                  <pt idx="592">
                    <v>13%</v>
                  </pt>
                  <pt idx="594">
                    <v>94%</v>
                  </pt>
                  <pt idx="595">
                    <v>13%</v>
                  </pt>
                  <pt idx="596">
                    <v>25%</v>
                  </pt>
                  <pt idx="597">
                    <v>28%</v>
                  </pt>
                  <pt idx="598">
                    <v>29%</v>
                  </pt>
                  <pt idx="599">
                    <v>38%</v>
                  </pt>
                  <pt idx="600">
                    <v>21%</v>
                  </pt>
                  <pt idx="601">
                    <v>4%</v>
                  </pt>
                  <pt idx="602">
                    <v>15%</v>
                  </pt>
                  <pt idx="603">
                    <v>22%</v>
                  </pt>
                  <pt idx="604">
                    <v>52%</v>
                  </pt>
                  <pt idx="605">
                    <v>17%</v>
                  </pt>
                  <pt idx="606">
                    <v>-4%</v>
                  </pt>
                  <pt idx="608">
                    <v>31%</v>
                  </pt>
                  <pt idx="609">
                    <v>-8%</v>
                  </pt>
                  <pt idx="610">
                    <v>-34%</v>
                  </pt>
                  <pt idx="612">
                    <v>30%</v>
                  </pt>
                  <pt idx="613">
                    <v>100%</v>
                  </pt>
                  <pt idx="614">
                    <v>14%</v>
                  </pt>
                  <pt idx="615">
                    <v>51%</v>
                  </pt>
                  <pt idx="616">
                    <v>44%</v>
                  </pt>
                  <pt idx="617">
                    <v>31%</v>
                  </pt>
                  <pt idx="618">
                    <v>29%</v>
                  </pt>
                  <pt idx="619">
                    <v>40%</v>
                  </pt>
                  <pt idx="620">
                    <v>62%</v>
                  </pt>
                  <pt idx="623">
                    <v>0%</v>
                  </pt>
                  <pt idx="624">
                    <v>61%</v>
                  </pt>
                  <pt idx="625">
                    <v>32%</v>
                  </pt>
                  <pt idx="626">
                    <v>-10%</v>
                  </pt>
                  <pt idx="627">
                    <v>59%</v>
                  </pt>
                  <pt idx="628">
                    <v>100%</v>
                  </pt>
                  <pt idx="630">
                    <v>26%</v>
                  </pt>
                  <pt idx="631">
                    <v>25%</v>
                  </pt>
                  <pt idx="632">
                    <v>28%</v>
                  </pt>
                  <pt idx="633">
                    <v>19%</v>
                  </pt>
                  <pt idx="634">
                    <v>26%</v>
                  </pt>
                  <pt idx="636">
                    <v>0%</v>
                  </pt>
                  <pt idx="637">
                    <v>4%</v>
                  </pt>
                  <pt idx="642">
                    <v>35%</v>
                  </pt>
                  <pt idx="643">
                    <v>28%</v>
                  </pt>
                  <pt idx="644">
                    <v>47%</v>
                  </pt>
                  <pt idx="645">
                    <v>45%</v>
                  </pt>
                  <pt idx="646">
                    <v>51%</v>
                  </pt>
                  <pt idx="647">
                    <v>44%</v>
                  </pt>
                  <pt idx="649">
                    <v>-27%</v>
                  </pt>
                  <pt idx="652">
                    <v>22%</v>
                  </pt>
                  <pt idx="653">
                    <v>13%</v>
                  </pt>
                  <pt idx="654">
                    <v>20%</v>
                  </pt>
                  <pt idx="655">
                    <v>28%</v>
                  </pt>
                  <pt idx="656">
                    <v>20%</v>
                  </pt>
                  <pt idx="657">
                    <v>19%</v>
                  </pt>
                  <pt idx="658">
                    <v>34%</v>
                  </pt>
                  <pt idx="660">
                    <v>58%</v>
                  </pt>
                  <pt idx="661">
                    <v>-19%</v>
                  </pt>
                  <pt idx="662">
                    <v>39%</v>
                  </pt>
                  <pt idx="663">
                    <v>41%</v>
                  </pt>
                  <pt idx="664">
                    <v>100%</v>
                  </pt>
                  <pt idx="665">
                    <v>45%</v>
                  </pt>
                  <pt idx="666">
                    <v>18%</v>
                  </pt>
                  <pt idx="667">
                    <v>81%</v>
                  </pt>
                  <pt idx="668">
                    <v>22%</v>
                  </pt>
                  <pt idx="669">
                    <v>28%</v>
                  </pt>
                  <pt idx="670">
                    <v>36%</v>
                  </pt>
                  <pt idx="671">
                    <v>33%</v>
                  </pt>
                  <pt idx="673">
                    <v>100%</v>
                  </pt>
                  <pt idx="674">
                    <v>27%</v>
                  </pt>
                  <pt idx="675">
                    <v>13%</v>
                  </pt>
                  <pt idx="676">
                    <v>24%</v>
                  </pt>
                  <pt idx="677">
                    <v>26%</v>
                  </pt>
                  <pt idx="678">
                    <v>15%</v>
                  </pt>
                  <pt idx="680">
                    <v>28%</v>
                  </pt>
                  <pt idx="681">
                    <v>100%</v>
                  </pt>
                  <pt idx="682">
                    <v>42%</v>
                  </pt>
                  <pt idx="683">
                    <v>66%</v>
                  </pt>
                  <pt idx="684">
                    <v>32%</v>
                  </pt>
                  <pt idx="686">
                    <v>39%</v>
                  </pt>
                  <pt idx="687">
                    <v>49%</v>
                  </pt>
                  <pt idx="688">
                    <v>68%</v>
                  </pt>
                  <pt idx="689">
                    <v>36%</v>
                  </pt>
                  <pt idx="690">
                    <v>60%</v>
                  </pt>
                  <pt idx="691">
                    <v>20%</v>
                  </pt>
                  <pt idx="692">
                    <v>35%</v>
                  </pt>
                  <pt idx="693">
                    <v>18%</v>
                  </pt>
                  <pt idx="694">
                    <v>54%</v>
                  </pt>
                  <pt idx="695">
                    <v>49%</v>
                  </pt>
                  <pt idx="696">
                    <v>35%</v>
                  </pt>
                  <pt idx="697">
                    <v>24%</v>
                  </pt>
                  <pt idx="698">
                    <v>31%</v>
                  </pt>
                  <pt idx="699">
                    <v>40%</v>
                  </pt>
                  <pt idx="700">
                    <v>52%</v>
                  </pt>
                  <pt idx="701">
                    <v>#DIV/0!</v>
                  </pt>
                  <pt idx="702">
                    <v>16%</v>
                  </pt>
                  <pt idx="703">
                    <v>23%</v>
                  </pt>
                  <pt idx="704">
                    <v>31%</v>
                  </pt>
                  <pt idx="705">
                    <v>45%</v>
                  </pt>
                  <pt idx="706">
                    <v>56%</v>
                  </pt>
                  <pt idx="707">
                    <v>75%</v>
                  </pt>
                  <pt idx="708">
                    <v>#DIV/0!</v>
                  </pt>
                  <pt idx="709">
                    <v>27%</v>
                  </pt>
                  <pt idx="710">
                    <v>41%</v>
                  </pt>
                  <pt idx="711">
                    <v>33%</v>
                  </pt>
                  <pt idx="712">
                    <v>63%</v>
                  </pt>
                  <pt idx="713">
                    <v>63%</v>
                  </pt>
                  <pt idx="714">
                    <v>22%</v>
                  </pt>
                  <pt idx="715">
                    <v>30%</v>
                  </pt>
                  <pt idx="716">
                    <v>51%</v>
                  </pt>
                  <pt idx="717">
                    <v>18%</v>
                  </pt>
                  <pt idx="718">
                    <v>56%</v>
                  </pt>
                  <pt idx="719">
                    <v>24%</v>
                  </pt>
                  <pt idx="720">
                    <v>23%</v>
                  </pt>
                  <pt idx="721">
                    <v>67%</v>
                  </pt>
                  <pt idx="722">
                    <v>69%</v>
                  </pt>
                  <pt idx="723">
                    <v>100%</v>
                  </pt>
                  <pt idx="724">
                    <v>#DIV/0!</v>
                  </pt>
                  <pt idx="725">
                    <v>#DIV/0!</v>
                  </pt>
                  <pt idx="726">
                    <v>13%</v>
                  </pt>
                  <pt idx="727">
                    <v>#DIV/0!</v>
                  </pt>
                  <pt idx="728">
                    <v>100%</v>
                  </pt>
                  <pt idx="729">
                    <v>32%</v>
                  </pt>
                  <pt idx="730">
                    <v>#DIV/0!</v>
                  </pt>
                </lvl>
                <lvl>
                  <pt idx="0">
                    <v xml:space="preserve"> ¥958,700 </v>
                  </pt>
                  <pt idx="1">
                    <v xml:space="preserve"> ¥256,800 </v>
                  </pt>
                  <pt idx="2">
                    <v xml:space="preserve"> ¥206,902 </v>
                  </pt>
                  <pt idx="3">
                    <v xml:space="preserve"> ¥284,044 </v>
                  </pt>
                  <pt idx="4">
                    <v xml:space="preserve"> ¥10,000 </v>
                  </pt>
                  <pt idx="5">
                    <v xml:space="preserve"> ¥-10,000 </v>
                  </pt>
                  <pt idx="6">
                    <v xml:space="preserve"> ¥-17,000 </v>
                  </pt>
                  <pt idx="7">
                    <v xml:space="preserve"> ¥-10,000 </v>
                  </pt>
                  <pt idx="8">
                    <v xml:space="preserve"> ¥-15,000 </v>
                  </pt>
                  <pt idx="9">
                    <v xml:space="preserve"> ¥-7,000 </v>
                  </pt>
                  <pt idx="10">
                    <v xml:space="preserve"> ¥-12,000 </v>
                  </pt>
                  <pt idx="11">
                    <v xml:space="preserve"> ¥-9,000 </v>
                  </pt>
                  <pt idx="12">
                    <v xml:space="preserve"> ¥-5,000 </v>
                  </pt>
                  <pt idx="13">
                    <v xml:space="preserve"> ¥-8,000 </v>
                  </pt>
                  <pt idx="14">
                    <v xml:space="preserve"> ¥5,000 </v>
                  </pt>
                  <pt idx="15">
                    <v xml:space="preserve"> ¥70,000 </v>
                  </pt>
                  <pt idx="16">
                    <v xml:space="preserve"> ¥-30,000 </v>
                  </pt>
                  <pt idx="17">
                    <v xml:space="preserve"> ¥42,000 </v>
                  </pt>
                  <pt idx="18">
                    <v xml:space="preserve"> ¥15,000 </v>
                  </pt>
                  <pt idx="19">
                    <v xml:space="preserve"> ¥486,300 </v>
                  </pt>
                  <pt idx="20">
                    <v xml:space="preserve"> ¥24,000 </v>
                  </pt>
                  <pt idx="21">
                    <v xml:space="preserve"> ¥2,235,746 </v>
                  </pt>
                  <pt idx="22">
                    <v>  </v>
                  </pt>
                  <pt idx="23">
                    <v>  </v>
                  </pt>
                  <pt idx="24">
                    <v xml:space="preserve"> ¥319,200 </v>
                  </pt>
                  <pt idx="25">
                    <v xml:space="preserve"> ¥696,890 </v>
                  </pt>
                  <pt idx="26">
                    <v xml:space="preserve"> ¥195,260 </v>
                  </pt>
                  <pt idx="27">
                    <v xml:space="preserve"> ¥583,820 </v>
                  </pt>
                  <pt idx="28">
                    <v xml:space="preserve"> ¥475,000 </v>
                  </pt>
                  <pt idx="29">
                    <v xml:space="preserve"> ¥2,270,170 </v>
                  </pt>
                  <pt idx="30">
                    <v>  </v>
                  </pt>
                  <pt idx="31">
                    <v>  </v>
                  </pt>
                  <pt idx="32">
                    <v xml:space="preserve"> ¥417,300 </v>
                  </pt>
                  <pt idx="33">
                    <v xml:space="preserve"> ¥954,300 </v>
                  </pt>
                  <pt idx="34">
                    <v xml:space="preserve"> ¥734,000 </v>
                  </pt>
                  <pt idx="35">
                    <v xml:space="preserve"> ¥508,483 </v>
                  </pt>
                  <pt idx="36">
                    <v xml:space="preserve"> ¥2,614,083 </v>
                  </pt>
                  <pt idx="37">
                    <v>  </v>
                  </pt>
                  <pt idx="38">
                    <v xml:space="preserve"> ¥465,900 </v>
                  </pt>
                  <pt idx="39">
                    <v xml:space="preserve"> ¥461,200 </v>
                  </pt>
                  <pt idx="40">
                    <v xml:space="preserve"> ¥644,500 </v>
                  </pt>
                  <pt idx="41">
                    <v xml:space="preserve"> ¥167,300 </v>
                  </pt>
                  <pt idx="42">
                    <v xml:space="preserve"> ¥1,738,900 </v>
                  </pt>
                  <pt idx="43">
                    <v>  </v>
                  </pt>
                  <pt idx="44">
                    <v>  </v>
                  </pt>
                  <pt idx="45">
                    <v xml:space="preserve"> ¥433,300 </v>
                  </pt>
                  <pt idx="46">
                    <v xml:space="preserve"> ¥906,762 </v>
                  </pt>
                  <pt idx="47">
                    <v xml:space="preserve"> ¥181,800 </v>
                  </pt>
                  <pt idx="48">
                    <v xml:space="preserve"> ¥442,640 </v>
                  </pt>
                  <pt idx="49">
                    <v xml:space="preserve"> ¥520,100 </v>
                  </pt>
                  <pt idx="50">
                    <v xml:space="preserve"> ¥604,290 </v>
                  </pt>
                  <pt idx="51">
                    <v xml:space="preserve"> ¥624,250 </v>
                  </pt>
                  <pt idx="52">
                    <v xml:space="preserve"> ¥440,500 </v>
                  </pt>
                  <pt idx="53">
                    <v xml:space="preserve"> ¥476,000 </v>
                  </pt>
                  <pt idx="54">
                    <v xml:space="preserve"> ¥4,629,642 </v>
                  </pt>
                  <pt idx="55">
                    <v>  </v>
                  </pt>
                  <pt idx="56">
                    <v>  </v>
                  </pt>
                  <pt idx="57">
                    <v xml:space="preserve"> ¥2,338,638 </v>
                  </pt>
                  <pt idx="58">
                    <v xml:space="preserve"> ¥1,088,800 </v>
                  </pt>
                  <pt idx="59">
                    <v xml:space="preserve"> ¥281,520 </v>
                  </pt>
                  <pt idx="60">
                    <v xml:space="preserve"> ¥690,300 </v>
                  </pt>
                  <pt idx="61">
                    <v xml:space="preserve"> ¥317,000 </v>
                  </pt>
                  <pt idx="62">
                    <v xml:space="preserve"> ¥4,716,258 </v>
                  </pt>
                  <pt idx="63">
                    <v>  </v>
                  </pt>
                  <pt idx="64">
                    <v>  </v>
                  </pt>
                  <pt idx="65">
                    <v xml:space="preserve"> ¥785,500 </v>
                  </pt>
                  <pt idx="66">
                    <v xml:space="preserve"> ¥529,200 </v>
                  </pt>
                  <pt idx="67">
                    <v xml:space="preserve"> ¥777,380 </v>
                  </pt>
                  <pt idx="68">
                    <v xml:space="preserve"> ¥2,092,080 </v>
                  </pt>
                  <pt idx="69">
                    <v>  </v>
                  </pt>
                  <pt idx="70">
                    <v>  </v>
                  </pt>
                  <pt idx="71">
                    <v xml:space="preserve"> ¥468,200 </v>
                  </pt>
                  <pt idx="72">
                    <v xml:space="preserve"> ¥468,700 </v>
                  </pt>
                  <pt idx="73">
                    <v xml:space="preserve"> ¥664,208 </v>
                  </pt>
                  <pt idx="74">
                    <v xml:space="preserve"> ¥578,484 </v>
                  </pt>
                  <pt idx="75">
                    <v xml:space="preserve"> ¥420,100 </v>
                  </pt>
                  <pt idx="76">
                    <v xml:space="preserve"> ¥481,900 </v>
                  </pt>
                  <pt idx="77">
                    <v xml:space="preserve"> ¥67,000 </v>
                  </pt>
                  <pt idx="78">
                    <v xml:space="preserve"> ¥163,000 </v>
                  </pt>
                  <pt idx="79">
                    <v xml:space="preserve"> ¥3,311,592 </v>
                  </pt>
                  <pt idx="80">
                    <v>  </v>
                  </pt>
                  <pt idx="81">
                    <v xml:space="preserve"> ¥359,000 </v>
                  </pt>
                  <pt idx="82">
                    <v xml:space="preserve"> ¥391,000 </v>
                  </pt>
                  <pt idx="83">
                    <v xml:space="preserve"> ¥285,000 </v>
                  </pt>
                  <pt idx="84">
                    <v xml:space="preserve"> ¥545,000 </v>
                  </pt>
                  <pt idx="85">
                    <v xml:space="preserve"> ¥670,049 </v>
                  </pt>
                  <pt idx="86">
                    <v xml:space="preserve"> ¥199,000 </v>
                  </pt>
                  <pt idx="87">
                    <v xml:space="preserve"> ¥125,000 </v>
                  </pt>
                  <pt idx="88">
                    <v xml:space="preserve"> ¥291,070 </v>
                  </pt>
                  <pt idx="89">
                    <v xml:space="preserve"> ¥112,040 </v>
                  </pt>
                  <pt idx="90">
                    <v xml:space="preserve"> ¥367,300 </v>
                  </pt>
                  <pt idx="91">
                    <v xml:space="preserve"> ¥401,900 </v>
                  </pt>
                  <pt idx="92">
                    <v xml:space="preserve"> ¥185,000 </v>
                  </pt>
                  <pt idx="93">
                    <v xml:space="preserve"> ¥3,931,359 </v>
                  </pt>
                  <pt idx="94">
                    <v>  </v>
                  </pt>
                  <pt idx="95">
                    <v>  </v>
                  </pt>
                  <pt idx="96">
                    <v xml:space="preserve"> ¥757,800 </v>
                  </pt>
                  <pt idx="97">
                    <v xml:space="preserve"> ¥207,400 </v>
                  </pt>
                  <pt idx="98">
                    <v xml:space="preserve"> ¥455,400 </v>
                  </pt>
                  <pt idx="99">
                    <v xml:space="preserve"> ¥19,000 </v>
                  </pt>
                  <pt idx="100">
                    <v xml:space="preserve"> ¥66,000 </v>
                  </pt>
                  <pt idx="101">
                    <v xml:space="preserve"> ¥119,179 </v>
                  </pt>
                  <pt idx="102">
                    <v xml:space="preserve"> ¥649,340 </v>
                  </pt>
                  <pt idx="103">
                    <v xml:space="preserve"> ¥396,800 </v>
                  </pt>
                  <pt idx="104">
                    <v xml:space="preserve"> ¥487,200 </v>
                  </pt>
                  <pt idx="105">
                    <v xml:space="preserve"> ¥482,700 </v>
                  </pt>
                  <pt idx="106">
                    <v xml:space="preserve"> ¥27,000 </v>
                  </pt>
                  <pt idx="107">
                    <v xml:space="preserve"> ¥3,667,819 </v>
                  </pt>
                  <pt idx="108">
                    <v>  </v>
                  </pt>
                  <pt idx="109">
                    <v>  </v>
                  </pt>
                  <pt idx="110">
                    <v xml:space="preserve"> ¥465,800 </v>
                  </pt>
                  <pt idx="111">
                    <v xml:space="preserve"> ¥810,650 </v>
                  </pt>
                  <pt idx="112">
                    <v xml:space="preserve"> ¥252,850 </v>
                  </pt>
                  <pt idx="113">
                    <v xml:space="preserve"> ¥132,550 </v>
                  </pt>
                  <pt idx="114">
                    <v xml:space="preserve"> ¥1,661,850 </v>
                  </pt>
                  <pt idx="115">
                    <v>  </v>
                  </pt>
                  <pt idx="116">
                    <v>  </v>
                  </pt>
                  <pt idx="117">
                    <v xml:space="preserve"> ¥843,700 </v>
                  </pt>
                  <pt idx="118">
                    <v xml:space="preserve"> ¥1,589,350 </v>
                  </pt>
                  <pt idx="119">
                    <v xml:space="preserve"> ¥602,554 </v>
                  </pt>
                  <pt idx="120">
                    <v xml:space="preserve"> ¥358,294 </v>
                  </pt>
                  <pt idx="121">
                    <v xml:space="preserve"> ¥3,393,898 </v>
                  </pt>
                  <pt idx="123">
                    <v>  </v>
                  </pt>
                  <pt idx="124">
                    <v>  </v>
                  </pt>
                  <pt idx="125">
                    <v xml:space="preserve"> ¥379,832 </v>
                  </pt>
                  <pt idx="126">
                    <v xml:space="preserve"> ¥234,408 </v>
                  </pt>
                  <pt idx="127">
                    <v xml:space="preserve"> ¥614,240 </v>
                  </pt>
                  <pt idx="128">
                    <v>  </v>
                  </pt>
                  <pt idx="129">
                    <v>  </v>
                  </pt>
                  <pt idx="130">
                    <v xml:space="preserve"> ¥90,000 </v>
                  </pt>
                  <pt idx="131">
                    <v xml:space="preserve"> ¥508,500 </v>
                  </pt>
                  <pt idx="132">
                    <v xml:space="preserve"> ¥408,000 </v>
                  </pt>
                  <pt idx="133">
                    <v xml:space="preserve"> ¥214,840 </v>
                  </pt>
                  <pt idx="134">
                    <v xml:space="preserve"> ¥1,221,340 </v>
                  </pt>
                  <pt idx="135">
                    <v>  </v>
                  </pt>
                  <pt idx="136">
                    <v>  </v>
                  </pt>
                  <pt idx="137">
                    <v xml:space="preserve"> ¥330,778 </v>
                  </pt>
                  <pt idx="138">
                    <v xml:space="preserve"> ¥59,000 </v>
                  </pt>
                  <pt idx="139">
                    <v xml:space="preserve"> ¥83,004 </v>
                  </pt>
                  <pt idx="140">
                    <v xml:space="preserve"> ¥472,782 </v>
                  </pt>
                  <pt idx="141">
                    <v>  </v>
                  </pt>
                  <pt idx="142">
                    <v>  </v>
                  </pt>
                  <pt idx="143">
                    <v>  </v>
                  </pt>
                  <pt idx="144">
                    <v xml:space="preserve"> ¥443,400 </v>
                  </pt>
                  <pt idx="145">
                    <v xml:space="preserve"> ¥280,900 </v>
                  </pt>
                  <pt idx="146">
                    <v xml:space="preserve"> ¥446,000 </v>
                  </pt>
                  <pt idx="147">
                    <v xml:space="preserve"> ¥374,600 </v>
                  </pt>
                  <pt idx="148">
                    <v xml:space="preserve"> ¥42,725 </v>
                  </pt>
                  <pt idx="149">
                    <v xml:space="preserve"> ¥46,225 </v>
                  </pt>
                  <pt idx="150">
                    <v xml:space="preserve"> ¥66,000 </v>
                  </pt>
                  <pt idx="151">
                    <v xml:space="preserve"> ¥9,140 </v>
                  </pt>
                  <pt idx="152">
                    <v xml:space="preserve"> ¥1,708,990 </v>
                  </pt>
                  <pt idx="153">
                    <v>  </v>
                  </pt>
                  <pt idx="154">
                    <v xml:space="preserve"> ¥507,580 </v>
                  </pt>
                  <pt idx="155">
                    <v xml:space="preserve"> ¥616,300 </v>
                  </pt>
                  <pt idx="156">
                    <v xml:space="preserve"> ¥55,000 </v>
                  </pt>
                  <pt idx="157">
                    <v xml:space="preserve"> ¥272,900 </v>
                  </pt>
                  <pt idx="158">
                    <v xml:space="preserve"> ¥105,911 </v>
                  </pt>
                  <pt idx="159">
                    <v xml:space="preserve"> ¥239,000 </v>
                  </pt>
                  <pt idx="160">
                    <v xml:space="preserve"> ¥81,404 </v>
                  </pt>
                  <pt idx="161">
                    <v xml:space="preserve"> ¥54,000 </v>
                  </pt>
                  <pt idx="162">
                    <v xml:space="preserve"> ¥81,100 </v>
                  </pt>
                  <pt idx="163">
                    <v xml:space="preserve"> ¥2,013,195 </v>
                  </pt>
                  <pt idx="165">
                    <v xml:space="preserve"> ¥100,000 </v>
                  </pt>
                  <pt idx="166">
                    <v xml:space="preserve"> ¥1,001,700 </v>
                  </pt>
                  <pt idx="167">
                    <v xml:space="preserve"> ¥196,240 </v>
                  </pt>
                  <pt idx="168">
                    <v xml:space="preserve"> ¥1,297,940 </v>
                  </pt>
                  <pt idx="169">
                    <v>  </v>
                  </pt>
                  <pt idx="170">
                    <v>  </v>
                  </pt>
                  <pt idx="171">
                    <v xml:space="preserve"> ¥55,000 </v>
                  </pt>
                  <pt idx="172">
                    <v xml:space="preserve"> ¥133,663 </v>
                  </pt>
                  <pt idx="173">
                    <v xml:space="preserve"> ¥269,600 </v>
                  </pt>
                  <pt idx="174">
                    <v xml:space="preserve"> ¥959,600 </v>
                  </pt>
                  <pt idx="175">
                    <v xml:space="preserve"> ¥1,417,863 </v>
                  </pt>
                  <pt idx="176">
                    <v>  </v>
                  </pt>
                  <pt idx="177">
                    <v>  </v>
                  </pt>
                  <pt idx="178">
                    <v xml:space="preserve"> ¥871,400 </v>
                  </pt>
                  <pt idx="179">
                    <v xml:space="preserve"> ¥41,034 </v>
                  </pt>
                  <pt idx="180">
                    <v xml:space="preserve"> ¥198,100 </v>
                  </pt>
                  <pt idx="181">
                    <v xml:space="preserve"> ¥1,110,534 </v>
                  </pt>
                  <pt idx="182">
                    <v>  </v>
                  </pt>
                  <pt idx="183">
                    <v>  </v>
                  </pt>
                  <pt idx="184">
                    <v>  </v>
                  </pt>
                  <pt idx="185">
                    <v xml:space="preserve"> ¥642,800 </v>
                  </pt>
                  <pt idx="186">
                    <v xml:space="preserve"> ¥341,000 </v>
                  </pt>
                  <pt idx="187">
                    <v xml:space="preserve"> ¥276,493 </v>
                  </pt>
                  <pt idx="188">
                    <v xml:space="preserve"> ¥212,445 </v>
                  </pt>
                  <pt idx="189">
                    <v xml:space="preserve"> ¥1,472,738 </v>
                  </pt>
                  <pt idx="190">
                    <v>  </v>
                  </pt>
                  <pt idx="191">
                    <v>  </v>
                  </pt>
                  <pt idx="192">
                    <v xml:space="preserve"> ¥205,900 </v>
                  </pt>
                  <pt idx="193">
                    <v xml:space="preserve"> ¥153,000 </v>
                  </pt>
                  <pt idx="194">
                    <v xml:space="preserve"> ¥539,600 </v>
                  </pt>
                  <pt idx="195">
                    <v xml:space="preserve"> ¥91,225 </v>
                  </pt>
                  <pt idx="196">
                    <v xml:space="preserve"> ¥363,600 </v>
                  </pt>
                  <pt idx="197">
                    <v xml:space="preserve"> ¥480,050 </v>
                  </pt>
                  <pt idx="198">
                    <v xml:space="preserve"> ¥16,000 </v>
                  </pt>
                  <pt idx="199">
                    <v xml:space="preserve"> ¥44,000 </v>
                  </pt>
                  <pt idx="200">
                    <v xml:space="preserve"> ¥903,650 </v>
                  </pt>
                  <pt idx="201">
                    <v>  </v>
                  </pt>
                  <pt idx="202">
                    <v>  </v>
                  </pt>
                  <pt idx="203">
                    <v xml:space="preserve"> ¥49,830 </v>
                  </pt>
                  <pt idx="204">
                    <v xml:space="preserve"> ¥59,672 </v>
                  </pt>
                  <pt idx="205">
                    <v xml:space="preserve"> ¥97,981 </v>
                  </pt>
                  <pt idx="206">
                    <v xml:space="preserve"> ¥638,190 </v>
                  </pt>
                  <pt idx="207">
                    <v xml:space="preserve"> ¥397,702 </v>
                  </pt>
                  <pt idx="208">
                    <v xml:space="preserve"> ¥233,800 </v>
                  </pt>
                  <pt idx="209">
                    <v xml:space="preserve"> ¥120,000 </v>
                  </pt>
                  <pt idx="210">
                    <v xml:space="preserve"> ¥122,619 </v>
                  </pt>
                  <pt idx="211">
                    <v xml:space="preserve"> ¥1,719,794 </v>
                  </pt>
                  <pt idx="212">
                    <v>  </v>
                  </pt>
                  <pt idx="213">
                    <v>  </v>
                  </pt>
                  <pt idx="214">
                    <v xml:space="preserve"> ¥38,000 </v>
                  </pt>
                  <pt idx="215">
                    <v xml:space="preserve"> ¥526,000 </v>
                  </pt>
                  <pt idx="216">
                    <v xml:space="preserve"> ¥330,100 </v>
                  </pt>
                  <pt idx="217">
                    <v xml:space="preserve"> ¥121,884 </v>
                  </pt>
                  <pt idx="218">
                    <v xml:space="preserve"> ¥57,000 </v>
                  </pt>
                  <pt idx="219">
                    <v xml:space="preserve"> ¥479,797 </v>
                  </pt>
                  <pt idx="220">
                    <v xml:space="preserve"> ¥1,552,781 </v>
                  </pt>
                  <pt idx="221">
                    <v>  </v>
                  </pt>
                  <pt idx="222">
                    <v>  </v>
                  </pt>
                  <pt idx="223">
                    <v xml:space="preserve"> ¥250,844 </v>
                  </pt>
                  <pt idx="224">
                    <v xml:space="preserve"> ¥153,080 </v>
                  </pt>
                  <pt idx="225">
                    <v xml:space="preserve"> ¥167,000 </v>
                  </pt>
                  <pt idx="226">
                    <v xml:space="preserve"> ¥475,858 </v>
                  </pt>
                  <pt idx="227">
                    <v xml:space="preserve"> ¥-50,000 </v>
                  </pt>
                  <pt idx="228">
                    <v xml:space="preserve"> ¥318,850 </v>
                  </pt>
                  <pt idx="229">
                    <v xml:space="preserve"> ¥1,315,632 </v>
                  </pt>
                  <pt idx="230">
                    <v>  </v>
                  </pt>
                  <pt idx="231">
                    <v>  </v>
                  </pt>
                  <pt idx="232">
                    <v xml:space="preserve"> ¥261,229 </v>
                  </pt>
                  <pt idx="233">
                    <v xml:space="preserve"> ¥633,196 </v>
                  </pt>
                  <pt idx="234">
                    <v xml:space="preserve"> ¥292,103 </v>
                  </pt>
                  <pt idx="235">
                    <v xml:space="preserve"> ¥172,759 </v>
                  </pt>
                  <pt idx="236">
                    <v xml:space="preserve"> ¥275,935 </v>
                  </pt>
                  <pt idx="237">
                    <v xml:space="preserve"> ¥1,054,088 </v>
                  </pt>
                  <pt idx="238">
                    <v xml:space="preserve"> ¥606,630 </v>
                  </pt>
                  <pt idx="239">
                    <v xml:space="preserve"> ¥99,000 </v>
                  </pt>
                  <pt idx="240">
                    <v xml:space="preserve"> ¥811,600 </v>
                  </pt>
                  <pt idx="241">
                    <v xml:space="preserve"> ¥180,000 </v>
                  </pt>
                  <pt idx="242">
                    <v xml:space="preserve"> ¥581,376 </v>
                  </pt>
                  <pt idx="243">
                    <v xml:space="preserve"> ¥63,000 </v>
                  </pt>
                  <pt idx="244">
                    <v xml:space="preserve"> ¥51,000 </v>
                  </pt>
                  <pt idx="245">
                    <v xml:space="preserve"> ¥80,000 </v>
                  </pt>
                  <pt idx="246">
                    <v xml:space="preserve"> ¥70,424 </v>
                  </pt>
                  <pt idx="247">
                    <v xml:space="preserve"> ¥56,011 </v>
                  </pt>
                  <pt idx="248">
                    <v xml:space="preserve"> ¥5,288,351 </v>
                  </pt>
                  <pt idx="249">
                    <v>  </v>
                  </pt>
                  <pt idx="250">
                    <v>  </v>
                  </pt>
                  <pt idx="251">
                    <v xml:space="preserve"> ¥439,700 </v>
                  </pt>
                  <pt idx="252">
                    <v xml:space="preserve"> ¥189,804 </v>
                  </pt>
                  <pt idx="253">
                    <v xml:space="preserve"> ¥81,307 </v>
                  </pt>
                  <pt idx="254">
                    <v xml:space="preserve"> ¥365,000 </v>
                  </pt>
                  <pt idx="255">
                    <v xml:space="preserve"> ¥1,075,811 </v>
                  </pt>
                  <pt idx="256">
                    <v>  </v>
                  </pt>
                  <pt idx="257">
                    <v xml:space="preserve"> ¥46,851 </v>
                  </pt>
                  <pt idx="258">
                    <v xml:space="preserve"> ¥89,501 </v>
                  </pt>
                  <pt idx="259">
                    <v xml:space="preserve"> ¥35,000 </v>
                  </pt>
                  <pt idx="260">
                    <v xml:space="preserve"> ¥86,128 </v>
                  </pt>
                  <pt idx="261">
                    <v xml:space="preserve"> ¥974,300 </v>
                  </pt>
                  <pt idx="262">
                    <v xml:space="preserve"> ¥880,000 </v>
                  </pt>
                  <pt idx="263">
                    <v xml:space="preserve"> ¥550,000 </v>
                  </pt>
                  <pt idx="264">
                    <v xml:space="preserve"> ¥151,500 </v>
                  </pt>
                  <pt idx="265">
                    <v xml:space="preserve"> ¥78,500 </v>
                  </pt>
                  <pt idx="266">
                    <v xml:space="preserve"> ¥2,891,780 </v>
                  </pt>
                  <pt idx="267">
                    <v>  </v>
                  </pt>
                  <pt idx="268">
                    <v xml:space="preserve"> ¥510,000 </v>
                  </pt>
                  <pt idx="269">
                    <v xml:space="preserve"> ¥174,438 </v>
                  </pt>
                  <pt idx="270">
                    <v xml:space="preserve"> ¥85,670 </v>
                  </pt>
                  <pt idx="271">
                    <v xml:space="preserve"> ¥409,820 </v>
                  </pt>
                  <pt idx="272">
                    <v xml:space="preserve"> ¥264,412 </v>
                  </pt>
                  <pt idx="273">
                    <v xml:space="preserve"> ¥262,900 </v>
                  </pt>
                  <pt idx="274">
                    <v xml:space="preserve"> ¥31,000 </v>
                  </pt>
                  <pt idx="275">
                    <v xml:space="preserve"> ¥52,000 </v>
                  </pt>
                  <pt idx="276">
                    <v xml:space="preserve"> ¥1,790,240 </v>
                  </pt>
                  <pt idx="277">
                    <v>  </v>
                  </pt>
                  <pt idx="278">
                    <v xml:space="preserve"> ¥944,969 </v>
                  </pt>
                  <pt idx="279">
                    <v xml:space="preserve"> ¥178,000 </v>
                  </pt>
                  <pt idx="280">
                    <v xml:space="preserve"> ¥283,900 </v>
                  </pt>
                  <pt idx="281">
                    <v xml:space="preserve"> ¥55,000 </v>
                  </pt>
                  <pt idx="282">
                    <v xml:space="preserve"> ¥154,000 </v>
                  </pt>
                  <pt idx="283">
                    <v xml:space="preserve"> ¥230,000 </v>
                  </pt>
                  <pt idx="284">
                    <v xml:space="preserve"> ¥1,845,869 </v>
                  </pt>
                  <pt idx="285">
                    <v>  </v>
                  </pt>
                  <pt idx="286">
                    <v xml:space="preserve"> ¥3,025,900 </v>
                  </pt>
                  <pt idx="287">
                    <v xml:space="preserve"> ¥218,484 </v>
                  </pt>
                  <pt idx="288">
                    <v xml:space="preserve"> ¥3,244,384 </v>
                  </pt>
                  <pt idx="291">
                    <v xml:space="preserve"> ¥234,000 </v>
                  </pt>
                  <pt idx="292">
                    <v xml:space="preserve"> ¥241,400 </v>
                  </pt>
                  <pt idx="293">
                    <v xml:space="preserve"> ¥475,400 </v>
                  </pt>
                  <pt idx="294">
                    <v>  </v>
                  </pt>
                  <pt idx="295">
                    <v>  </v>
                  </pt>
                  <pt idx="296">
                    <v xml:space="preserve"> ¥105,870 </v>
                  </pt>
                  <pt idx="297">
                    <v xml:space="preserve"> ¥105,870 </v>
                  </pt>
                  <pt idx="298">
                    <v>  </v>
                  </pt>
                  <pt idx="299">
                    <v xml:space="preserve"> ¥3,002,500 </v>
                  </pt>
                  <pt idx="300">
                    <v xml:space="preserve"> ¥80,000 </v>
                  </pt>
                  <pt idx="301">
                    <v xml:space="preserve"> ¥2,252,742 </v>
                  </pt>
                  <pt idx="302">
                    <v xml:space="preserve"> ¥264,022 </v>
                  </pt>
                  <pt idx="303">
                    <v xml:space="preserve"> ¥161,441 </v>
                  </pt>
                  <pt idx="304">
                    <v xml:space="preserve"> ¥5,760,705 </v>
                  </pt>
                  <pt idx="305">
                    <v>  </v>
                  </pt>
                  <pt idx="306">
                    <v>  </v>
                  </pt>
                  <pt idx="307">
                    <v xml:space="preserve"> ¥109,220 </v>
                  </pt>
                  <pt idx="308">
                    <v xml:space="preserve"> ¥311,073 </v>
                  </pt>
                  <pt idx="309">
                    <v xml:space="preserve"> ¥311,073 </v>
                  </pt>
                  <pt idx="310">
                    <v xml:space="preserve"> ¥744,924 </v>
                  </pt>
                  <pt idx="311">
                    <v xml:space="preserve"> ¥137,150 </v>
                  </pt>
                  <pt idx="312">
                    <v xml:space="preserve"> ¥1,613,440 </v>
                  </pt>
                  <pt idx="313">
                    <v>  </v>
                  </pt>
                  <pt idx="314">
                    <v xml:space="preserve"> ¥60,664 </v>
                  </pt>
                  <pt idx="315">
                    <v xml:space="preserve"> ¥163,675 </v>
                  </pt>
                  <pt idx="316">
                    <v xml:space="preserve"> ¥468,120 </v>
                  </pt>
                  <pt idx="317">
                    <v xml:space="preserve"> ¥9,000 </v>
                  </pt>
                  <pt idx="318">
                    <v xml:space="preserve"> ¥701,459 </v>
                  </pt>
                  <pt idx="319">
                    <v>  </v>
                  </pt>
                  <pt idx="320">
                    <v xml:space="preserve"> ¥730,300 </v>
                  </pt>
                  <pt idx="321">
                    <v xml:space="preserve"> ¥465,300 </v>
                  </pt>
                  <pt idx="322">
                    <v>  </v>
                  </pt>
                  <pt idx="323">
                    <v>  </v>
                  </pt>
                  <pt idx="324">
                    <v xml:space="preserve"> ¥879,827 </v>
                  </pt>
                  <pt idx="325">
                    <v xml:space="preserve"> ¥45,290 </v>
                  </pt>
                  <pt idx="326">
                    <v xml:space="preserve"> ¥26,400 </v>
                  </pt>
                  <pt idx="327">
                    <v xml:space="preserve"> ¥-12,638 </v>
                  </pt>
                  <pt idx="328">
                    <v>  </v>
                  </pt>
                  <pt idx="329">
                    <v>  </v>
                  </pt>
                  <pt idx="330">
                    <v xml:space="preserve"> ¥1,201,794 </v>
                  </pt>
                  <pt idx="331">
                    <v xml:space="preserve"> ¥21,284 </v>
                  </pt>
                  <pt idx="332">
                    <v xml:space="preserve"> ¥598,313 </v>
                  </pt>
                  <pt idx="333">
                    <v xml:space="preserve"> ¥353,080 </v>
                  </pt>
                  <pt idx="334">
                    <v xml:space="preserve"> ¥348,900 </v>
                  </pt>
                  <pt idx="335">
                    <v xml:space="preserve"> ¥111,392 </v>
                  </pt>
                  <pt idx="336">
                    <v xml:space="preserve"> ¥65,986 </v>
                  </pt>
                  <pt idx="337">
                    <v>  </v>
                  </pt>
                  <pt idx="338">
                    <v xml:space="preserve"> ¥764,820 </v>
                  </pt>
                  <pt idx="339">
                    <v xml:space="preserve"> ¥251,273 </v>
                  </pt>
                  <pt idx="340">
                    <v xml:space="preserve"> ¥92,364 </v>
                  </pt>
                  <pt idx="341">
                    <v xml:space="preserve"> ¥65,000 </v>
                  </pt>
                  <pt idx="342">
                    <v xml:space="preserve"> ¥99,238 </v>
                  </pt>
                  <pt idx="343">
                    <v xml:space="preserve"> ¥125,159 </v>
                  </pt>
                  <pt idx="344">
                    <v xml:space="preserve"> ¥163,000 </v>
                  </pt>
                  <pt idx="345">
                    <v>  </v>
                  </pt>
                  <pt idx="346">
                    <v>  </v>
                  </pt>
                  <pt idx="347">
                    <v xml:space="preserve"> ¥535,471 </v>
                  </pt>
                  <pt idx="348">
                    <v xml:space="preserve"> ¥94,360 </v>
                  </pt>
                  <pt idx="349">
                    <v xml:space="preserve"> ¥354,455 </v>
                  </pt>
                  <pt idx="350">
                    <v xml:space="preserve"> ¥38,000 </v>
                  </pt>
                  <pt idx="351">
                    <v xml:space="preserve"> ¥- </v>
                  </pt>
                  <pt idx="352">
                    <v xml:space="preserve"> ¥209,900 </v>
                  </pt>
                  <pt idx="353">
                    <v xml:space="preserve"> ¥839,398 </v>
                  </pt>
                  <pt idx="354">
                    <v xml:space="preserve"> ¥92,000 </v>
                  </pt>
                  <pt idx="355">
                    <v xml:space="preserve"> ¥89,000 </v>
                  </pt>
                  <pt idx="356">
                    <v>  </v>
                  </pt>
                  <pt idx="357">
                    <v>  </v>
                  </pt>
                  <pt idx="358">
                    <v xml:space="preserve"> ¥1,666,700 </v>
                  </pt>
                  <pt idx="359">
                    <v xml:space="preserve"> ¥-9,500 </v>
                  </pt>
                  <pt idx="360">
                    <v xml:space="preserve"> ¥184,204 </v>
                  </pt>
                  <pt idx="361">
                    <v xml:space="preserve"> ¥117,998 </v>
                  </pt>
                  <pt idx="362">
                    <v>  </v>
                  </pt>
                  <pt idx="363">
                    <v>  </v>
                  </pt>
                  <pt idx="364">
                    <v xml:space="preserve"> ¥130,228 </v>
                  </pt>
                  <pt idx="365">
                    <v xml:space="preserve"> ¥1,975,153 </v>
                  </pt>
                  <pt idx="366">
                    <v xml:space="preserve"> ¥199,431 </v>
                  </pt>
                  <pt idx="367">
                    <v xml:space="preserve"> ¥174,742 </v>
                  </pt>
                  <pt idx="368">
                    <v xml:space="preserve"> ¥903,896 </v>
                  </pt>
                  <pt idx="369">
                    <v xml:space="preserve"> ¥302,550 </v>
                  </pt>
                  <pt idx="370">
                    <v xml:space="preserve"> ¥95,101 </v>
                  </pt>
                  <pt idx="371">
                    <v xml:space="preserve"> ¥2,016,615 </v>
                  </pt>
                  <pt idx="372">
                    <v xml:space="preserve"> ¥153,900 </v>
                  </pt>
                  <pt idx="373">
                    <v xml:space="preserve"> ¥383,800 </v>
                  </pt>
                  <pt idx="374">
                    <v xml:space="preserve"> ¥404,770 </v>
                  </pt>
                  <pt idx="375">
                    <v>  </v>
                  </pt>
                  <pt idx="376">
                    <v>  </v>
                  </pt>
                  <pt idx="377">
                    <v xml:space="preserve"> ¥80,000 </v>
                  </pt>
                  <pt idx="378">
                    <v xml:space="preserve"> ¥-328 </v>
                  </pt>
                  <pt idx="379">
                    <v xml:space="preserve"> ¥445,230 </v>
                  </pt>
                  <pt idx="380">
                    <v xml:space="preserve"> ¥43,477 </v>
                  </pt>
                  <pt idx="381">
                    <v xml:space="preserve"> ¥163,000 </v>
                  </pt>
                  <pt idx="382">
                    <v xml:space="preserve"> ¥680,800 </v>
                  </pt>
                  <pt idx="383">
                    <v xml:space="preserve"> ¥221,444 </v>
                  </pt>
                  <pt idx="384">
                    <v xml:space="preserve"> ¥616,010 </v>
                  </pt>
                  <pt idx="385">
                    <v>  </v>
                  </pt>
                  <pt idx="386">
                    <v xml:space="preserve"> ¥2,222,235 </v>
                  </pt>
                  <pt idx="387">
                    <v xml:space="preserve"> ¥70,558 </v>
                  </pt>
                  <pt idx="388">
                    <v xml:space="preserve"> ¥33,000 </v>
                  </pt>
                  <pt idx="389">
                    <v xml:space="preserve"> ¥1,101,483 </v>
                  </pt>
                  <pt idx="390">
                    <v>  </v>
                  </pt>
                  <pt idx="391">
                    <v>  </v>
                  </pt>
                  <pt idx="392">
                    <v xml:space="preserve"> ¥3,600,786 </v>
                  </pt>
                  <pt idx="393">
                    <v xml:space="preserve"> ¥260,000 </v>
                  </pt>
                  <pt idx="394">
                    <v xml:space="preserve"> ¥179,000 </v>
                  </pt>
                  <pt idx="395">
                    <v xml:space="preserve"> ¥57,100 </v>
                  </pt>
                  <pt idx="396">
                    <v xml:space="preserve"> ¥1,680,764 </v>
                  </pt>
                  <pt idx="397">
                    <v xml:space="preserve"> ¥175,448 </v>
                  </pt>
                  <pt idx="398">
                    <v xml:space="preserve"> ¥95,505 </v>
                  </pt>
                  <pt idx="399">
                    <v xml:space="preserve"> ¥172,210 </v>
                  </pt>
                  <pt idx="400">
                    <v xml:space="preserve"> ¥87,216 </v>
                  </pt>
                  <pt idx="401">
                    <v>  </v>
                  </pt>
                  <pt idx="402">
                    <v>  </v>
                  </pt>
                  <pt idx="403">
                    <v xml:space="preserve"> ¥1,149,776 </v>
                  </pt>
                  <pt idx="404">
                    <v xml:space="preserve"> ¥310,000 </v>
                  </pt>
                  <pt idx="405">
                    <v xml:space="preserve"> ¥230,740 </v>
                  </pt>
                  <pt idx="406">
                    <v xml:space="preserve"> ¥103,378 </v>
                  </pt>
                  <pt idx="407">
                    <v>  </v>
                  </pt>
                  <pt idx="408">
                    <v xml:space="preserve"> ¥-207,152 </v>
                  </pt>
                  <pt idx="409">
                    <v xml:space="preserve"> ¥265,200 </v>
                  </pt>
                  <pt idx="410">
                    <v xml:space="preserve"> ¥146,237 </v>
                  </pt>
                  <pt idx="411">
                    <v xml:space="preserve"> ¥55,645 </v>
                  </pt>
                  <pt idx="412">
                    <v xml:space="preserve"> ¥- </v>
                  </pt>
                  <pt idx="413">
                    <v>  </v>
                  </pt>
                  <pt idx="414">
                    <v xml:space="preserve"> ¥660,394 </v>
                  </pt>
                  <pt idx="415">
                    <v xml:space="preserve"> ¥285,715 </v>
                  </pt>
                  <pt idx="416">
                    <v xml:space="preserve"> ¥147,908 </v>
                  </pt>
                  <pt idx="417">
                    <v xml:space="preserve"> ¥550,661 </v>
                  </pt>
                  <pt idx="418">
                    <v xml:space="preserve"> ¥471,100 </v>
                  </pt>
                  <pt idx="419">
                    <v>  </v>
                  </pt>
                  <pt idx="420">
                    <v xml:space="preserve"> ¥1,128,194 </v>
                  </pt>
                  <pt idx="421">
                    <v>  </v>
                  </pt>
                  <pt idx="422">
                    <v xml:space="preserve"> ¥-1,777,278 </v>
                  </pt>
                  <pt idx="423">
                    <v xml:space="preserve"> ¥301,682 </v>
                  </pt>
                  <pt idx="424">
                    <v xml:space="preserve"> ¥195,524 </v>
                  </pt>
                  <pt idx="426">
                    <v xml:space="preserve"> ¥15,000 </v>
                  </pt>
                  <pt idx="427">
                    <v xml:space="preserve"> ¥59,749 </v>
                  </pt>
                  <pt idx="428">
                    <v xml:space="preserve"> ¥160,930 </v>
                  </pt>
                  <pt idx="429">
                    <v xml:space="preserve"> ¥289,112 </v>
                  </pt>
                  <pt idx="430">
                    <v xml:space="preserve"> ¥27,960 </v>
                  </pt>
                  <pt idx="431">
                    <v xml:space="preserve"> ¥676,400 </v>
                  </pt>
                  <pt idx="432">
                    <v xml:space="preserve"> ¥111,000 </v>
                  </pt>
                  <pt idx="433">
                    <v xml:space="preserve"> ¥474,465 </v>
                  </pt>
                  <pt idx="434">
                    <v xml:space="preserve"> ¥230,800 </v>
                  </pt>
                  <pt idx="435">
                    <v xml:space="preserve"> ¥405,800 </v>
                  </pt>
                  <pt idx="436">
                    <v xml:space="preserve"> ¥49,313 </v>
                  </pt>
                  <pt idx="437">
                    <v xml:space="preserve"> ¥1,783,200 </v>
                  </pt>
                  <pt idx="438">
                    <v xml:space="preserve"> ¥-69,837 </v>
                  </pt>
                  <pt idx="439">
                    <v xml:space="preserve"> ¥73,000 </v>
                  </pt>
                  <pt idx="440">
                    <v xml:space="preserve"> ¥350,000 </v>
                  </pt>
                  <pt idx="441">
                    <v xml:space="preserve"> ¥40,000 </v>
                  </pt>
                  <pt idx="442">
                    <v xml:space="preserve"> ¥113,000 </v>
                  </pt>
                  <pt idx="443">
                    <v xml:space="preserve"> ¥14,000 </v>
                  </pt>
                  <pt idx="444">
                    <v xml:space="preserve"> ¥510,840 </v>
                  </pt>
                  <pt idx="445">
                    <v xml:space="preserve"> ¥387,597 </v>
                  </pt>
                  <pt idx="446">
                    <v xml:space="preserve"> ¥59,704 </v>
                  </pt>
                  <pt idx="447">
                    <v>  </v>
                  </pt>
                  <pt idx="448">
                    <v xml:space="preserve"> ¥40,000 </v>
                  </pt>
                  <pt idx="449">
                    <v>  </v>
                  </pt>
                  <pt idx="450">
                    <v xml:space="preserve"> ¥105,544 </v>
                  </pt>
                  <pt idx="451">
                    <v xml:space="preserve"> ¥704,157 </v>
                  </pt>
                  <pt idx="452">
                    <v xml:space="preserve"> ¥79,287 </v>
                  </pt>
                  <pt idx="453">
                    <v xml:space="preserve"> ¥32,340 </v>
                  </pt>
                  <pt idx="454">
                    <v xml:space="preserve"> ¥125,000 </v>
                  </pt>
                  <pt idx="455">
                    <v xml:space="preserve"> ¥-43,000 </v>
                  </pt>
                  <pt idx="456">
                    <v xml:space="preserve"> ¥55,000 </v>
                  </pt>
                  <pt idx="457">
                    <v xml:space="preserve"> ¥374,700 </v>
                  </pt>
                  <pt idx="458">
                    <v>  </v>
                  </pt>
                  <pt idx="459">
                    <v xml:space="preserve"> ¥76,600 </v>
                  </pt>
                  <pt idx="460">
                    <v xml:space="preserve"> ¥191,536 </v>
                  </pt>
                  <pt idx="461">
                    <v xml:space="preserve"> ¥740,521 </v>
                  </pt>
                  <pt idx="462">
                    <v>  </v>
                  </pt>
                  <pt idx="463">
                    <v xml:space="preserve"> ¥612,501 </v>
                  </pt>
                  <pt idx="464">
                    <v xml:space="preserve"> ¥226,000 </v>
                  </pt>
                  <pt idx="465">
                    <v xml:space="preserve"> ¥188,000 </v>
                  </pt>
                  <pt idx="466">
                    <v xml:space="preserve"> ¥84,052 </v>
                  </pt>
                  <pt idx="467">
                    <v xml:space="preserve"> ¥28,800 </v>
                  </pt>
                  <pt idx="468">
                    <v xml:space="preserve"> ¥2,734,150 </v>
                  </pt>
                  <pt idx="469">
                    <v xml:space="preserve"> ¥1,392,350 </v>
                  </pt>
                  <pt idx="470">
                    <v xml:space="preserve"> ¥651,767 </v>
                  </pt>
                  <pt idx="471">
                    <v xml:space="preserve"> ¥-27,638 </v>
                  </pt>
                  <pt idx="472">
                    <v xml:space="preserve"> ¥1,024,800 </v>
                  </pt>
                  <pt idx="473">
                    <v xml:space="preserve"> ¥124,255 </v>
                  </pt>
                  <pt idx="474">
                    <v xml:space="preserve"> ¥157,175 </v>
                  </pt>
                  <pt idx="475">
                    <v>  </v>
                  </pt>
                  <pt idx="476">
                    <v xml:space="preserve"> ¥-4,982 </v>
                  </pt>
                  <pt idx="477">
                    <v xml:space="preserve"> ¥40,900 </v>
                  </pt>
                  <pt idx="478">
                    <v xml:space="preserve"> ¥20,250 </v>
                  </pt>
                  <pt idx="479">
                    <v xml:space="preserve"> ¥78,000 </v>
                  </pt>
                  <pt idx="480">
                    <v xml:space="preserve"> ¥109,175 </v>
                  </pt>
                  <pt idx="481">
                    <v xml:space="preserve"> ¥25,368 </v>
                  </pt>
                  <pt idx="482">
                    <v xml:space="preserve"> ¥34,000 </v>
                  </pt>
                  <pt idx="483">
                    <v xml:space="preserve"> ¥86,516 </v>
                  </pt>
                  <pt idx="484">
                    <v xml:space="preserve"> ¥767,686 </v>
                  </pt>
                  <pt idx="485">
                    <v xml:space="preserve"> ¥125,410 </v>
                  </pt>
                  <pt idx="486">
                    <v xml:space="preserve"> ¥43,250 </v>
                  </pt>
                  <pt idx="487">
                    <v xml:space="preserve"> ¥62,498 </v>
                  </pt>
                  <pt idx="488">
                    <v xml:space="preserve"> ¥33,398 </v>
                  </pt>
                  <pt idx="489">
                    <v xml:space="preserve"> ¥313,206 </v>
                  </pt>
                  <pt idx="490">
                    <v>  </v>
                  </pt>
                  <pt idx="491">
                    <v xml:space="preserve"> ¥321,038 </v>
                  </pt>
                  <pt idx="492">
                    <v xml:space="preserve"> ¥79,051 </v>
                  </pt>
                  <pt idx="493">
                    <v xml:space="preserve"> ¥425,864 </v>
                  </pt>
                  <pt idx="494">
                    <v xml:space="preserve"> ¥559,069 </v>
                  </pt>
                  <pt idx="495">
                    <v>  </v>
                  </pt>
                  <pt idx="496">
                    <v xml:space="preserve"> ¥419,542 </v>
                  </pt>
                  <pt idx="497">
                    <v xml:space="preserve"> ¥212,000 </v>
                  </pt>
                  <pt idx="498">
                    <v xml:space="preserve"> ¥25,000 </v>
                  </pt>
                  <pt idx="499">
                    <v>  </v>
                  </pt>
                  <pt idx="500">
                    <v xml:space="preserve"> ¥139,507 </v>
                  </pt>
                  <pt idx="501">
                    <v xml:space="preserve"> ¥106,103 </v>
                  </pt>
                  <pt idx="502">
                    <v xml:space="preserve"> ¥454,442 </v>
                  </pt>
                  <pt idx="503">
                    <v xml:space="preserve"> ¥72,866 </v>
                  </pt>
                  <pt idx="504">
                    <v>  </v>
                  </pt>
                  <pt idx="505">
                    <v xml:space="preserve"> ¥231,975 </v>
                  </pt>
                  <pt idx="506">
                    <v xml:space="preserve"> ¥263,246 </v>
                  </pt>
                  <pt idx="507">
                    <v xml:space="preserve"> ¥422,339 </v>
                  </pt>
                  <pt idx="508">
                    <v xml:space="preserve"> ¥92,616 </v>
                  </pt>
                  <pt idx="509">
                    <v xml:space="preserve"> ¥52,000 </v>
                  </pt>
                  <pt idx="510">
                    <v xml:space="preserve"> ¥9,000 </v>
                  </pt>
                  <pt idx="511">
                    <v xml:space="preserve"> ¥786,284 </v>
                  </pt>
                  <pt idx="512">
                    <v>  </v>
                  </pt>
                  <pt idx="513">
                    <v xml:space="preserve"> ¥187,922 </v>
                  </pt>
                  <pt idx="514">
                    <v xml:space="preserve"> ¥65,710 </v>
                  </pt>
                  <pt idx="515">
                    <v xml:space="preserve"> ¥22,000 </v>
                  </pt>
                  <pt idx="516">
                    <v xml:space="preserve"> ¥12,000 </v>
                  </pt>
                  <pt idx="517">
                    <v xml:space="preserve"> ¥64,570 </v>
                  </pt>
                  <pt idx="518">
                    <v xml:space="preserve"> ¥537,018 </v>
                  </pt>
                  <pt idx="519">
                    <v xml:space="preserve"> ¥93,196 </v>
                  </pt>
                  <pt idx="520">
                    <v xml:space="preserve"> ¥80,928 </v>
                  </pt>
                  <pt idx="521">
                    <v xml:space="preserve"> ¥- </v>
                  </pt>
                  <pt idx="522">
                    <v xml:space="preserve"> ¥60,000 </v>
                  </pt>
                  <pt idx="523">
                    <v xml:space="preserve"> ¥-15,000 </v>
                  </pt>
                  <pt idx="524">
                    <v xml:space="preserve"> ¥51,477 </v>
                  </pt>
                  <pt idx="525">
                    <v xml:space="preserve"> ¥40,828 </v>
                  </pt>
                  <pt idx="526">
                    <v>  </v>
                  </pt>
                  <pt idx="527">
                    <v xml:space="preserve"> ¥-5,236,075 </v>
                  </pt>
                  <pt idx="528">
                    <v>  </v>
                  </pt>
                  <pt idx="529">
                    <v xml:space="preserve"> ¥269,228 </v>
                  </pt>
                  <pt idx="530">
                    <v xml:space="preserve"> ¥1,486,866 </v>
                  </pt>
                  <pt idx="531">
                    <v xml:space="preserve"> ¥170,000 </v>
                  </pt>
                  <pt idx="532">
                    <v xml:space="preserve"> ¥125,500 </v>
                  </pt>
                  <pt idx="533">
                    <v>  </v>
                  </pt>
                  <pt idx="534">
                    <v xml:space="preserve"> ¥-6,604,794 </v>
                  </pt>
                  <pt idx="535">
                    <v xml:space="preserve"> ¥14,000 </v>
                  </pt>
                  <pt idx="536">
                    <v xml:space="preserve"> ¥88,000 </v>
                  </pt>
                  <pt idx="537">
                    <v xml:space="preserve"> ¥1,003,881 </v>
                  </pt>
                  <pt idx="538">
                    <v xml:space="preserve"> ¥102,000 </v>
                  </pt>
                  <pt idx="539">
                    <v xml:space="preserve"> ¥490,000 </v>
                  </pt>
                  <pt idx="540">
                    <v xml:space="preserve"> ¥-28,000 </v>
                  </pt>
                  <pt idx="541">
                    <v xml:space="preserve"> ¥61,000 </v>
                  </pt>
                  <pt idx="542">
                    <v xml:space="preserve"> ¥25,000 </v>
                  </pt>
                  <pt idx="543">
                    <v xml:space="preserve"> ¥75,400 </v>
                  </pt>
                  <pt idx="544">
                    <v xml:space="preserve"> ¥5,170 </v>
                  </pt>
                  <pt idx="545">
                    <v xml:space="preserve"> ¥108,708 </v>
                  </pt>
                  <pt idx="546">
                    <v>  </v>
                  </pt>
                  <pt idx="547">
                    <v xml:space="preserve"> ¥1,275,140 </v>
                  </pt>
                  <pt idx="548">
                    <v xml:space="preserve"> ¥573,360 </v>
                  </pt>
                  <pt idx="549">
                    <v xml:space="preserve"> ¥1,254,574 </v>
                  </pt>
                  <pt idx="550">
                    <v xml:space="preserve"> ¥65,000 </v>
                  </pt>
                  <pt idx="551">
                    <v xml:space="preserve"> ¥587,688 </v>
                  </pt>
                  <pt idx="552">
                    <v xml:space="preserve"> ¥86,974 </v>
                  </pt>
                  <pt idx="553">
                    <v xml:space="preserve"> ¥34,000 </v>
                  </pt>
                  <pt idx="554">
                    <v xml:space="preserve"> ¥222,096 </v>
                  </pt>
                  <pt idx="555">
                    <v xml:space="preserve"> ¥32,450 </v>
                  </pt>
                  <pt idx="556">
                    <v xml:space="preserve"> ¥61,860 </v>
                  </pt>
                  <pt idx="557">
                    <v xml:space="preserve"> ¥42,700 </v>
                  </pt>
                  <pt idx="558">
                    <v xml:space="preserve"> ¥130,000 </v>
                  </pt>
                  <pt idx="559">
                    <v xml:space="preserve"> ¥12,000 </v>
                  </pt>
                  <pt idx="560">
                    <v>  </v>
                  </pt>
                  <pt idx="561">
                    <v xml:space="preserve"> ¥20,129 </v>
                  </pt>
                  <pt idx="562">
                    <v xml:space="preserve"> ¥-13,410 </v>
                  </pt>
                  <pt idx="563">
                    <v xml:space="preserve"> ¥-4,486 </v>
                  </pt>
                  <pt idx="564">
                    <v xml:space="preserve"> ¥52,902 </v>
                  </pt>
                  <pt idx="565">
                    <v xml:space="preserve"> ¥49,114 </v>
                  </pt>
                  <pt idx="566">
                    <v xml:space="preserve"> ¥-60,000 </v>
                  </pt>
                  <pt idx="567">
                    <v xml:space="preserve"> ¥145,000 </v>
                  </pt>
                  <pt idx="568">
                    <v xml:space="preserve"> ¥67,828 </v>
                  </pt>
                  <pt idx="569">
                    <v xml:space="preserve"> ¥107,302 </v>
                  </pt>
                  <pt idx="570">
                    <v xml:space="preserve"> ¥50,000 </v>
                  </pt>
                  <pt idx="571">
                    <v xml:space="preserve"> ¥55,000 </v>
                  </pt>
                  <pt idx="572">
                    <v xml:space="preserve"> ¥31,256 </v>
                  </pt>
                  <pt idx="573">
                    <v>  </v>
                  </pt>
                  <pt idx="574">
                    <v xml:space="preserve"> ¥17,724 </v>
                  </pt>
                  <pt idx="575">
                    <v xml:space="preserve"> ¥57,796 </v>
                  </pt>
                  <pt idx="576">
                    <v xml:space="preserve"> ¥-18,410 </v>
                  </pt>
                  <pt idx="577">
                    <v xml:space="preserve"> ¥4,500 </v>
                  </pt>
                  <pt idx="578">
                    <v xml:space="preserve"> ¥64,317 </v>
                  </pt>
                  <pt idx="579">
                    <v xml:space="preserve"> ¥491,424 </v>
                  </pt>
                  <pt idx="580">
                    <v xml:space="preserve"> ¥519,864 </v>
                  </pt>
                  <pt idx="581">
                    <v xml:space="preserve"> ¥278,941 </v>
                  </pt>
                  <pt idx="582">
                    <v xml:space="preserve"> ¥400,601 </v>
                  </pt>
                  <pt idx="583">
                    <v xml:space="preserve"> ¥380,203 </v>
                  </pt>
                  <pt idx="584">
                    <v xml:space="preserve"> ¥12,374 </v>
                  </pt>
                  <pt idx="585">
                    <v xml:space="preserve"> ¥23,435,578 </v>
                  </pt>
                  <pt idx="586">
                    <v xml:space="preserve"> ¥102,468 </v>
                  </pt>
                  <pt idx="587">
                    <v xml:space="preserve"> ¥9,000 </v>
                  </pt>
                  <pt idx="588">
                    <v xml:space="preserve"> ¥46,700 </v>
                  </pt>
                  <pt idx="589">
                    <v xml:space="preserve"> ¥116,000 </v>
                  </pt>
                  <pt idx="590">
                    <v xml:space="preserve"> ¥45,000 </v>
                  </pt>
                  <pt idx="591">
                    <v xml:space="preserve"> ¥53,000 </v>
                  </pt>
                  <pt idx="592">
                    <v xml:space="preserve"> ¥59,666 </v>
                  </pt>
                  <pt idx="593">
                    <v>  </v>
                  </pt>
                  <pt idx="594">
                    <v xml:space="preserve"> ¥2,373,800 </v>
                  </pt>
                  <pt idx="595">
                    <v xml:space="preserve"> ¥16,000 </v>
                  </pt>
                  <pt idx="596">
                    <v xml:space="preserve"> ¥4,000 </v>
                  </pt>
                  <pt idx="597">
                    <v xml:space="preserve"> ¥400,199 </v>
                  </pt>
                  <pt idx="598">
                    <v xml:space="preserve"> ¥420,199 </v>
                  </pt>
                  <pt idx="599">
                    <v xml:space="preserve"> ¥343,523 </v>
                  </pt>
                  <pt idx="600">
                    <v xml:space="preserve"> ¥122,000 </v>
                  </pt>
                  <pt idx="601">
                    <v xml:space="preserve"> ¥5,620 </v>
                  </pt>
                  <pt idx="602">
                    <v xml:space="preserve"> ¥26,000 </v>
                  </pt>
                  <pt idx="603">
                    <v xml:space="preserve"> ¥15,140 </v>
                  </pt>
                  <pt idx="604">
                    <v xml:space="preserve"> ¥60,180 </v>
                  </pt>
                  <pt idx="605">
                    <v xml:space="preserve"> ¥4,640 </v>
                  </pt>
                  <pt idx="606">
                    <v xml:space="preserve"> ¥-19,840 </v>
                  </pt>
                  <pt idx="607">
                    <v>  </v>
                  </pt>
                  <pt idx="608">
                    <v xml:space="preserve"> ¥373,648 </v>
                  </pt>
                  <pt idx="609">
                    <v xml:space="preserve"> ¥-30,621 </v>
                  </pt>
                  <pt idx="610">
                    <v xml:space="preserve"> ¥-8,936 </v>
                  </pt>
                  <pt idx="611">
                    <v>  </v>
                  </pt>
                  <pt idx="612">
                    <v xml:space="preserve"> ¥307,634 </v>
                  </pt>
                  <pt idx="613">
                    <v xml:space="preserve"> ¥38,010 </v>
                  </pt>
                  <pt idx="614">
                    <v xml:space="preserve"> ¥4,236 </v>
                  </pt>
                  <pt idx="615">
                    <v xml:space="preserve"> ¥123,776 </v>
                  </pt>
                  <pt idx="616">
                    <v xml:space="preserve"> ¥140,426 </v>
                  </pt>
                  <pt idx="617">
                    <v xml:space="preserve"> ¥407,862 </v>
                  </pt>
                  <pt idx="618">
                    <v xml:space="preserve"> ¥374,668 </v>
                  </pt>
                  <pt idx="619">
                    <v xml:space="preserve"> ¥1,214,888 </v>
                  </pt>
                  <pt idx="620">
                    <v xml:space="preserve"> ¥598,655 </v>
                  </pt>
                  <pt idx="621">
                    <v>  </v>
                  </pt>
                  <pt idx="622">
                    <v>  </v>
                  </pt>
                  <pt idx="623">
                    <v xml:space="preserve"> ¥- </v>
                  </pt>
                  <pt idx="624">
                    <v xml:space="preserve"> ¥813,620 </v>
                  </pt>
                  <pt idx="625">
                    <v xml:space="preserve"> ¥69,241 </v>
                  </pt>
                  <pt idx="626">
                    <v xml:space="preserve"> ¥-5,050 </v>
                  </pt>
                  <pt idx="627">
                    <v xml:space="preserve"> ¥37,047 </v>
                  </pt>
                  <pt idx="628">
                    <v xml:space="preserve"> ¥42,000 </v>
                  </pt>
                  <pt idx="629">
                    <v>  </v>
                  </pt>
                  <pt idx="630">
                    <v xml:space="preserve"> ¥151,600 </v>
                  </pt>
                  <pt idx="631">
                    <v xml:space="preserve"> ¥108,890 </v>
                  </pt>
                  <pt idx="632">
                    <v xml:space="preserve"> ¥30,070 </v>
                  </pt>
                  <pt idx="633">
                    <v xml:space="preserve"> ¥20,780 </v>
                  </pt>
                  <pt idx="634">
                    <v xml:space="preserve"> ¥32,320 </v>
                  </pt>
                  <pt idx="635">
                    <v>  </v>
                  </pt>
                  <pt idx="636">
                    <v xml:space="preserve"> ¥-1,109 </v>
                  </pt>
                  <pt idx="637">
                    <v xml:space="preserve"> ¥18,251 </v>
                  </pt>
                  <pt idx="638">
                    <v xml:space="preserve"> ¥-5,405,275 </v>
                  </pt>
                  <pt idx="639">
                    <v xml:space="preserve"> ¥-120,000 </v>
                  </pt>
                  <pt idx="640">
                    <v xml:space="preserve"> ¥-55,000 </v>
                  </pt>
                  <pt idx="641">
                    <v xml:space="preserve"> ¥-120,000 </v>
                  </pt>
                  <pt idx="642">
                    <v xml:space="preserve"> ¥181,000 </v>
                  </pt>
                  <pt idx="643">
                    <v xml:space="preserve"> ¥18,725 </v>
                  </pt>
                  <pt idx="644">
                    <v xml:space="preserve"> ¥674,032 </v>
                  </pt>
                  <pt idx="645">
                    <v xml:space="preserve"> ¥744,415 </v>
                  </pt>
                  <pt idx="646">
                    <v xml:space="preserve"> ¥665,220 </v>
                  </pt>
                  <pt idx="647">
                    <v xml:space="preserve"> ¥409,000 </v>
                  </pt>
                  <pt idx="648">
                    <v>  </v>
                  </pt>
                  <pt idx="649">
                    <v xml:space="preserve"> ¥-65,760 </v>
                  </pt>
                  <pt idx="650">
                    <v xml:space="preserve"> ¥- </v>
                  </pt>
                  <pt idx="651">
                    <v>  </v>
                  </pt>
                  <pt idx="652">
                    <v xml:space="preserve"> ¥907,609 </v>
                  </pt>
                  <pt idx="653">
                    <v xml:space="preserve"> ¥441,059 </v>
                  </pt>
                  <pt idx="654">
                    <v xml:space="preserve"> ¥592,587 </v>
                  </pt>
                  <pt idx="655">
                    <v xml:space="preserve"> ¥33,808 </v>
                  </pt>
                  <pt idx="656">
                    <v xml:space="preserve"> ¥39,120 </v>
                  </pt>
                  <pt idx="657">
                    <v xml:space="preserve"> ¥39,200 </v>
                  </pt>
                  <pt idx="658">
                    <v xml:space="preserve"> ¥52,040 </v>
                  </pt>
                  <pt idx="659">
                    <v>  </v>
                  </pt>
                  <pt idx="660">
                    <v xml:space="preserve"> ¥685,704 </v>
                  </pt>
                  <pt idx="661">
                    <v xml:space="preserve"> ¥-20,028 </v>
                  </pt>
                  <pt idx="662">
                    <v xml:space="preserve"> ¥56,282 </v>
                  </pt>
                  <pt idx="663">
                    <v xml:space="preserve"> ¥179,950 </v>
                  </pt>
                  <pt idx="664">
                    <v xml:space="preserve"> ¥80,000 </v>
                  </pt>
                  <pt idx="665">
                    <v xml:space="preserve"> ¥83,810 </v>
                  </pt>
                  <pt idx="666">
                    <v xml:space="preserve"> ¥13,000 </v>
                  </pt>
                  <pt idx="667">
                    <v xml:space="preserve"> ¥112,000 </v>
                  </pt>
                  <pt idx="668">
                    <v xml:space="preserve"> ¥26,000 </v>
                  </pt>
                  <pt idx="669">
                    <v xml:space="preserve"> ¥378,119 </v>
                  </pt>
                  <pt idx="670">
                    <v xml:space="preserve"> ¥624,024 </v>
                  </pt>
                  <pt idx="671">
                    <v xml:space="preserve"> ¥274,758 </v>
                  </pt>
                  <pt idx="672">
                    <v>  </v>
                  </pt>
                  <pt idx="673">
                    <v xml:space="preserve"> ¥35,000 </v>
                  </pt>
                  <pt idx="674">
                    <v xml:space="preserve"> ¥6,820 </v>
                  </pt>
                  <pt idx="675">
                    <v xml:space="preserve"> ¥60,363 </v>
                  </pt>
                  <pt idx="676">
                    <v xml:space="preserve"> ¥43,400 </v>
                  </pt>
                  <pt idx="677">
                    <v xml:space="preserve"> ¥57,900 </v>
                  </pt>
                  <pt idx="678">
                    <v xml:space="preserve"> ¥61,666 </v>
                  </pt>
                  <pt idx="679">
                    <v>  </v>
                  </pt>
                  <pt idx="680">
                    <v xml:space="preserve"> ¥401,200 </v>
                  </pt>
                  <pt idx="681">
                    <v xml:space="preserve"> ¥25,000 </v>
                  </pt>
                  <pt idx="682">
                    <v xml:space="preserve"> ¥126,380 </v>
                  </pt>
                  <pt idx="683">
                    <v xml:space="preserve"> ¥974,787 </v>
                  </pt>
                  <pt idx="684">
                    <v xml:space="preserve"> ¥94,000 </v>
                  </pt>
                  <pt idx="685">
                    <v>  </v>
                  </pt>
                  <pt idx="686">
                    <v xml:space="preserve"> ¥96,614 </v>
                  </pt>
                  <pt idx="687">
                    <v xml:space="preserve"> ¥258,000 </v>
                  </pt>
                  <pt idx="688">
                    <v xml:space="preserve"> ¥1,083,887 </v>
                  </pt>
                  <pt idx="689">
                    <v xml:space="preserve"> ¥14,246 </v>
                  </pt>
                  <pt idx="690">
                    <v xml:space="preserve"> ¥14,820 </v>
                  </pt>
                  <pt idx="691">
                    <v xml:space="preserve"> ¥10,000 </v>
                  </pt>
                  <pt idx="692">
                    <v xml:space="preserve"> ¥220,971 </v>
                  </pt>
                  <pt idx="693">
                    <v xml:space="preserve"> ¥18,000 </v>
                  </pt>
                  <pt idx="694">
                    <v xml:space="preserve"> ¥435,450 </v>
                  </pt>
                  <pt idx="695">
                    <v xml:space="preserve"> ¥39,000 </v>
                  </pt>
                  <pt idx="696">
                    <v xml:space="preserve"> ¥167,224 </v>
                  </pt>
                  <pt idx="697">
                    <v xml:space="preserve"> ¥34,000 </v>
                  </pt>
                  <pt idx="698">
                    <v xml:space="preserve"> ¥463,102 </v>
                  </pt>
                  <pt idx="699">
                    <v xml:space="preserve"> ¥129,315 </v>
                  </pt>
                  <pt idx="700">
                    <v xml:space="preserve"> ¥130,000 </v>
                  </pt>
                  <pt idx="701">
                    <v xml:space="preserve"> ¥-53,496 </v>
                  </pt>
                  <pt idx="702">
                    <v xml:space="preserve"> ¥12,150 </v>
                  </pt>
                  <pt idx="703">
                    <v xml:space="preserve"> ¥200,693 </v>
                  </pt>
                  <pt idx="704">
                    <v xml:space="preserve"> ¥160,400 </v>
                  </pt>
                  <pt idx="705">
                    <v xml:space="preserve"> ¥56,050 </v>
                  </pt>
                  <pt idx="706">
                    <v xml:space="preserve"> ¥49,000 </v>
                  </pt>
                  <pt idx="707">
                    <v xml:space="preserve"> ¥407,640 </v>
                  </pt>
                  <pt idx="708">
                    <v xml:space="preserve"> ¥-111,365 </v>
                  </pt>
                  <pt idx="709">
                    <v xml:space="preserve"> ¥9,332 </v>
                  </pt>
                  <pt idx="710">
                    <v xml:space="preserve"> ¥24,845 </v>
                  </pt>
                  <pt idx="711">
                    <v xml:space="preserve"> ¥11,322 </v>
                  </pt>
                  <pt idx="712">
                    <v xml:space="preserve"> ¥25,000 </v>
                  </pt>
                  <pt idx="713">
                    <v xml:space="preserve"> ¥5,000 </v>
                  </pt>
                  <pt idx="714">
                    <v xml:space="preserve"> ¥13,780 </v>
                  </pt>
                  <pt idx="715">
                    <v xml:space="preserve"> ¥41,831 </v>
                  </pt>
                  <pt idx="716">
                    <v xml:space="preserve"> ¥114,980 </v>
                  </pt>
                  <pt idx="717">
                    <v xml:space="preserve"> ¥18,000 </v>
                  </pt>
                  <pt idx="718">
                    <v xml:space="preserve"> ¥45,000 </v>
                  </pt>
                  <pt idx="719">
                    <v xml:space="preserve"> ¥144,000 </v>
                  </pt>
                  <pt idx="720">
                    <v xml:space="preserve"> ¥450,000 </v>
                  </pt>
                  <pt idx="721">
                    <v xml:space="preserve"> ¥5,658,000 </v>
                  </pt>
                  <pt idx="722">
                    <v xml:space="preserve"> ¥104,000 </v>
                  </pt>
                  <pt idx="723">
                    <v xml:space="preserve"> ¥50,000 </v>
                  </pt>
                  <pt idx="724">
                    <v xml:space="preserve"> ¥-160,000 </v>
                  </pt>
                  <pt idx="725">
                    <v xml:space="preserve"> ¥-1,525,850 </v>
                  </pt>
                  <pt idx="726">
                    <v xml:space="preserve"> ¥1,000 </v>
                  </pt>
                  <pt idx="727">
                    <v xml:space="preserve"> ¥-184,875 </v>
                  </pt>
                  <pt idx="728">
                    <v xml:space="preserve"> ¥94,000 </v>
                  </pt>
                  <pt idx="729">
                    <v xml:space="preserve"> ¥7,000 </v>
                  </pt>
                  <pt idx="730">
                    <v xml:space="preserve"> ¥- </v>
                  </pt>
                  <pt idx="731">
                    <v>  </v>
                  </pt>
                  <pt idx="732">
                    <v>  </v>
                  </pt>
                  <pt idx="733">
                    <v>  </v>
                  </pt>
                  <pt idx="734">
                    <v>  </v>
                  </pt>
                  <pt idx="735">
                    <v>  </v>
                  </pt>
                  <pt idx="736">
                    <v>  </v>
                  </pt>
                  <pt idx="737">
                    <v>  </v>
                  </pt>
                  <pt idx="738">
                    <v>  </v>
                  </pt>
                  <pt idx="739">
                    <v>  </v>
                  </pt>
                  <pt idx="740">
                    <v>  </v>
                  </pt>
                  <pt idx="741">
                    <v>  </v>
                  </pt>
                  <pt idx="742">
                    <v>  </v>
                  </pt>
                  <pt idx="743">
                    <v>  </v>
                  </pt>
                  <pt idx="744">
                    <v>  </v>
                  </pt>
                  <pt idx="745">
                    <v>  </v>
                  </pt>
                  <pt idx="746">
                    <v>  </v>
                  </pt>
                  <pt idx="747">
                    <v>  </v>
                  </pt>
                  <pt idx="748">
                    <v>  </v>
                  </pt>
                  <pt idx="749">
                    <v>  </v>
                  </pt>
                  <pt idx="750">
                    <v>  </v>
                  </pt>
                  <pt idx="751">
                    <v>  </v>
                  </pt>
                  <pt idx="752">
                    <v>  </v>
                  </pt>
                  <pt idx="753">
                    <v>  </v>
                  </pt>
                  <pt idx="754">
                    <v>  </v>
                  </pt>
                  <pt idx="755">
                    <v>  </v>
                  </pt>
                  <pt idx="756">
                    <v>  </v>
                  </pt>
                  <pt idx="757">
                    <v>  </v>
                  </pt>
                  <pt idx="758">
                    <v>  </v>
                  </pt>
                  <pt idx="759">
                    <v>  </v>
                  </pt>
                  <pt idx="760">
                    <v>  </v>
                  </pt>
                  <pt idx="761">
                    <v>  </v>
                  </pt>
                  <pt idx="762">
                    <v>  </v>
                  </pt>
                  <pt idx="763">
                    <v>  </v>
                  </pt>
                  <pt idx="764">
                    <v>  </v>
                  </pt>
                  <pt idx="765">
                    <v>  </v>
                  </pt>
                  <pt idx="766">
                    <v>  </v>
                  </pt>
                  <pt idx="767">
                    <v>  </v>
                  </pt>
                  <pt idx="768">
                    <v>  </v>
                  </pt>
                  <pt idx="769">
                    <v>  </v>
                  </pt>
                  <pt idx="770">
                    <v>  </v>
                  </pt>
                  <pt idx="771">
                    <v>  </v>
                  </pt>
                  <pt idx="772">
                    <v>  </v>
                  </pt>
                  <pt idx="773">
                    <v>  </v>
                  </pt>
                  <pt idx="774">
                    <v>  </v>
                  </pt>
                  <pt idx="775">
                    <v>  </v>
                  </pt>
                  <pt idx="776">
                    <v>  </v>
                  </pt>
                  <pt idx="777">
                    <v>  </v>
                  </pt>
                  <pt idx="778">
                    <v>  </v>
                  </pt>
                  <pt idx="779">
                    <v>  </v>
                  </pt>
                  <pt idx="780">
                    <v>  </v>
                  </pt>
                  <pt idx="781">
                    <v>  </v>
                  </pt>
                  <pt idx="782">
                    <v>  </v>
                  </pt>
                  <pt idx="783">
                    <v>  </v>
                  </pt>
                  <pt idx="784">
                    <v>  </v>
                  </pt>
                  <pt idx="785">
                    <v>  </v>
                  </pt>
                  <pt idx="786">
                    <v>  </v>
                  </pt>
                  <pt idx="787">
                    <v>  </v>
                  </pt>
                  <pt idx="788">
                    <v>  </v>
                  </pt>
                  <pt idx="789">
                    <v>  </v>
                  </pt>
                  <pt idx="790">
                    <v>  </v>
                  </pt>
                  <pt idx="791">
                    <v>  </v>
                  </pt>
                  <pt idx="792">
                    <v>  </v>
                  </pt>
                  <pt idx="793">
                    <v>  </v>
                  </pt>
                  <pt idx="794">
                    <v>  </v>
                  </pt>
                  <pt idx="795">
                    <v>  </v>
                  </pt>
                  <pt idx="796">
                    <v>  </v>
                  </pt>
                  <pt idx="797">
                    <v>  </v>
                  </pt>
                  <pt idx="798">
                    <v>  </v>
                  </pt>
                  <pt idx="799">
                    <v>  </v>
                  </pt>
                  <pt idx="800">
                    <v>  </v>
                  </pt>
                  <pt idx="801">
                    <v>  </v>
                  </pt>
                  <pt idx="802">
                    <v>  </v>
                  </pt>
                  <pt idx="803">
                    <v>  </v>
                  </pt>
                  <pt idx="804">
                    <v>  </v>
                  </pt>
                  <pt idx="805">
                    <v>  </v>
                  </pt>
                  <pt idx="806">
                    <v>  </v>
                  </pt>
                  <pt idx="807">
                    <v>  </v>
                  </pt>
                  <pt idx="808">
                    <v>  </v>
                  </pt>
                  <pt idx="809">
                    <v>  </v>
                  </pt>
                  <pt idx="810">
                    <v>  </v>
                  </pt>
                  <pt idx="811">
                    <v>  </v>
                  </pt>
                  <pt idx="812">
                    <v>  </v>
                  </pt>
                  <pt idx="813">
                    <v>  </v>
                  </pt>
                  <pt idx="814">
                    <v>  </v>
                  </pt>
                  <pt idx="815">
                    <v>  </v>
                  </pt>
                  <pt idx="816">
                    <v>  </v>
                  </pt>
                  <pt idx="817">
                    <v>  </v>
                  </pt>
                  <pt idx="818">
                    <v>  </v>
                  </pt>
                  <pt idx="819">
                    <v>  </v>
                  </pt>
                  <pt idx="820">
                    <v>  </v>
                  </pt>
                  <pt idx="821">
                    <v>  </v>
                  </pt>
                  <pt idx="822">
                    <v>  </v>
                  </pt>
                  <pt idx="823">
                    <v>  </v>
                  </pt>
                  <pt idx="824">
                    <v>  </v>
                  </pt>
                  <pt idx="825">
                    <v>  </v>
                  </pt>
                  <pt idx="826">
                    <v>  </v>
                  </pt>
                  <pt idx="827">
                    <v>  </v>
                  </pt>
                  <pt idx="828">
                    <v>  </v>
                  </pt>
                  <pt idx="829">
                    <v>  </v>
                  </pt>
                  <pt idx="830">
                    <v>  </v>
                  </pt>
                  <pt idx="831">
                    <v>  </v>
                  </pt>
                  <pt idx="832">
                    <v>  </v>
                  </pt>
                  <pt idx="833">
                    <v>  </v>
                  </pt>
                  <pt idx="834">
                    <v>  </v>
                  </pt>
                  <pt idx="835">
                    <v>  </v>
                  </pt>
                  <pt idx="836">
                    <v>  </v>
                  </pt>
                  <pt idx="837">
                    <v>  </v>
                  </pt>
                  <pt idx="838">
                    <v>  </v>
                  </pt>
                  <pt idx="839">
                    <v>  </v>
                  </pt>
                  <pt idx="840">
                    <v>  </v>
                  </pt>
                  <pt idx="841">
                    <v>  </v>
                  </pt>
                  <pt idx="842">
                    <v>  </v>
                  </pt>
                  <pt idx="843">
                    <v>  </v>
                  </pt>
                  <pt idx="844">
                    <v>  </v>
                  </pt>
                  <pt idx="845">
                    <v>  </v>
                  </pt>
                  <pt idx="846">
                    <v>  </v>
                  </pt>
                  <pt idx="847">
                    <v>  </v>
                  </pt>
                  <pt idx="848">
                    <v>  </v>
                  </pt>
                  <pt idx="849">
                    <v>  </v>
                  </pt>
                  <pt idx="850">
                    <v>  </v>
                  </pt>
                  <pt idx="851">
                    <v>  </v>
                  </pt>
                  <pt idx="852">
                    <v>  </v>
                  </pt>
                  <pt idx="853">
                    <v>  </v>
                  </pt>
                  <pt idx="854">
                    <v>  </v>
                  </pt>
                  <pt idx="855">
                    <v>  </v>
                  </pt>
                  <pt idx="856">
                    <v>  </v>
                  </pt>
                  <pt idx="857">
                    <v>  </v>
                  </pt>
                  <pt idx="858">
                    <v>  </v>
                  </pt>
                  <pt idx="859">
                    <v>  </v>
                  </pt>
                  <pt idx="860">
                    <v>  </v>
                  </pt>
                  <pt idx="861">
                    <v>  </v>
                  </pt>
                  <pt idx="862">
                    <v>  </v>
                  </pt>
                  <pt idx="863">
                    <v>  </v>
                  </pt>
                  <pt idx="864">
                    <v>  </v>
                  </pt>
                  <pt idx="865">
                    <v>  </v>
                  </pt>
                  <pt idx="866">
                    <v>  </v>
                  </pt>
                  <pt idx="867">
                    <v>  </v>
                  </pt>
                  <pt idx="868">
                    <v>  </v>
                  </pt>
                  <pt idx="869">
                    <v>  </v>
                  </pt>
                  <pt idx="870">
                    <v>  </v>
                  </pt>
                  <pt idx="871">
                    <v>  </v>
                  </pt>
                  <pt idx="872">
                    <v>  </v>
                  </pt>
                  <pt idx="873">
                    <v>  </v>
                  </pt>
                  <pt idx="874">
                    <v>  </v>
                  </pt>
                  <pt idx="875">
                    <v>  </v>
                  </pt>
                  <pt idx="876">
                    <v>  </v>
                  </pt>
                  <pt idx="877">
                    <v>  </v>
                  </pt>
                  <pt idx="878">
                    <v>  </v>
                  </pt>
                  <pt idx="879">
                    <v>  </v>
                  </pt>
                  <pt idx="880">
                    <v>  </v>
                  </pt>
                  <pt idx="881">
                    <v>  </v>
                  </pt>
                  <pt idx="882">
                    <v>  </v>
                  </pt>
                  <pt idx="883">
                    <v>  </v>
                  </pt>
                  <pt idx="884">
                    <v>  </v>
                  </pt>
                  <pt idx="885">
                    <v>  </v>
                  </pt>
                  <pt idx="886">
                    <v>  </v>
                  </pt>
                  <pt idx="887">
                    <v>  </v>
                  </pt>
                  <pt idx="888">
                    <v>  </v>
                  </pt>
                  <pt idx="889">
                    <v>  </v>
                  </pt>
                  <pt idx="890">
                    <v>  </v>
                  </pt>
                  <pt idx="891">
                    <v>  </v>
                  </pt>
                  <pt idx="892">
                    <v>  </v>
                  </pt>
                  <pt idx="893">
                    <v>  </v>
                  </pt>
                  <pt idx="894">
                    <v>  </v>
                  </pt>
                  <pt idx="895">
                    <v>  </v>
                  </pt>
                  <pt idx="896">
                    <v>  </v>
                  </pt>
                  <pt idx="897">
                    <v>  </v>
                  </pt>
                  <pt idx="898">
                    <v>  </v>
                  </pt>
                  <pt idx="899">
                    <v>  </v>
                  </pt>
                  <pt idx="900">
                    <v>  </v>
                  </pt>
                  <pt idx="901">
                    <v>  </v>
                  </pt>
                  <pt idx="902">
                    <v>  </v>
                  </pt>
                  <pt idx="903">
                    <v>  </v>
                  </pt>
                  <pt idx="904">
                    <v>  </v>
                  </pt>
                  <pt idx="905">
                    <v>  </v>
                  </pt>
                  <pt idx="906">
                    <v>  </v>
                  </pt>
                  <pt idx="907">
                    <v>  </v>
                  </pt>
                  <pt idx="908">
                    <v>  </v>
                  </pt>
                  <pt idx="909">
                    <v>  </v>
                  </pt>
                  <pt idx="910">
                    <v>  </v>
                  </pt>
                  <pt idx="911">
                    <v>  </v>
                  </pt>
                  <pt idx="912">
                    <v>  </v>
                  </pt>
                  <pt idx="913">
                    <v>  </v>
                  </pt>
                  <pt idx="914">
                    <v>  </v>
                  </pt>
                  <pt idx="915">
                    <v>  </v>
                  </pt>
                  <pt idx="916">
                    <v>  </v>
                  </pt>
                  <pt idx="917">
                    <v>  </v>
                  </pt>
                  <pt idx="918">
                    <v>  </v>
                  </pt>
                  <pt idx="919">
                    <v>  </v>
                  </pt>
                  <pt idx="920">
                    <v>  </v>
                  </pt>
                  <pt idx="921">
                    <v>  </v>
                  </pt>
                  <pt idx="922">
                    <v>  </v>
                  </pt>
                  <pt idx="923">
                    <v>  </v>
                  </pt>
                  <pt idx="924">
                    <v>  </v>
                  </pt>
                  <pt idx="925">
                    <v>  </v>
                  </pt>
                  <pt idx="926">
                    <v>  </v>
                  </pt>
                  <pt idx="927">
                    <v>  </v>
                  </pt>
                  <pt idx="928">
                    <v>  </v>
                  </pt>
                  <pt idx="929">
                    <v>  </v>
                  </pt>
                  <pt idx="930">
                    <v>  </v>
                  </pt>
                  <pt idx="931">
                    <v>  </v>
                  </pt>
                  <pt idx="932">
                    <v>  </v>
                  </pt>
                  <pt idx="933">
                    <v>  </v>
                  </pt>
                  <pt idx="934">
                    <v>  </v>
                  </pt>
                  <pt idx="935">
                    <v>  </v>
                  </pt>
                  <pt idx="936">
                    <v>  </v>
                  </pt>
                  <pt idx="937">
                    <v>  </v>
                  </pt>
                  <pt idx="938">
                    <v>  </v>
                  </pt>
                  <pt idx="939">
                    <v>  </v>
                  </pt>
                  <pt idx="940">
                    <v>  </v>
                  </pt>
                  <pt idx="941">
                    <v>  </v>
                  </pt>
                  <pt idx="942">
                    <v>  </v>
                  </pt>
                  <pt idx="943">
                    <v>  </v>
                  </pt>
                  <pt idx="944">
                    <v>  </v>
                  </pt>
                  <pt idx="945">
                    <v>  </v>
                  </pt>
                  <pt idx="946">
                    <v>  </v>
                  </pt>
                  <pt idx="947">
                    <v>  </v>
                  </pt>
                  <pt idx="948">
                    <v>  </v>
                  </pt>
                  <pt idx="949">
                    <v>  </v>
                  </pt>
                  <pt idx="950">
                    <v>  </v>
                  </pt>
                  <pt idx="951">
                    <v>  </v>
                  </pt>
                  <pt idx="952">
                    <v>  </v>
                  </pt>
                  <pt idx="953">
                    <v>  </v>
                  </pt>
                  <pt idx="954">
                    <v>  </v>
                  </pt>
                  <pt idx="955">
                    <v>  </v>
                  </pt>
                  <pt idx="956">
                    <v>  </v>
                  </pt>
                  <pt idx="957">
                    <v>  </v>
                  </pt>
                  <pt idx="958">
                    <v>  </v>
                  </pt>
                  <pt idx="959">
                    <v>  </v>
                  </pt>
                  <pt idx="960">
                    <v>  </v>
                  </pt>
                  <pt idx="961">
                    <v>  </v>
                  </pt>
                  <pt idx="962">
                    <v>  </v>
                  </pt>
                  <pt idx="963">
                    <v>  </v>
                  </pt>
                  <pt idx="964">
                    <v>  </v>
                  </pt>
                  <pt idx="965">
                    <v>  </v>
                  </pt>
                  <pt idx="966">
                    <v>  </v>
                  </pt>
                  <pt idx="967">
                    <v>  </v>
                  </pt>
                  <pt idx="968">
                    <v>  </v>
                  </pt>
                  <pt idx="969">
                    <v>  </v>
                  </pt>
                  <pt idx="970">
                    <v>  </v>
                  </pt>
                  <pt idx="971">
                    <v>  </v>
                  </pt>
                  <pt idx="972">
                    <v>  </v>
                  </pt>
                  <pt idx="973">
                    <v>  </v>
                  </pt>
                  <pt idx="974">
                    <v>  </v>
                  </pt>
                  <pt idx="975">
                    <v>  </v>
                  </pt>
                  <pt idx="976">
                    <v>  </v>
                  </pt>
                  <pt idx="977">
                    <v>  </v>
                  </pt>
                  <pt idx="978">
                    <v>  </v>
                  </pt>
                  <pt idx="979">
                    <v>  </v>
                  </pt>
                  <pt idx="980">
                    <v>  </v>
                  </pt>
                  <pt idx="981">
                    <v>  </v>
                  </pt>
                  <pt idx="982">
                    <v>  </v>
                  </pt>
                  <pt idx="983">
                    <v>  </v>
                  </pt>
                  <pt idx="984">
                    <v>  </v>
                  </pt>
                  <pt idx="985">
                    <v>  </v>
                  </pt>
                  <pt idx="986">
                    <v>  </v>
                  </pt>
                  <pt idx="987">
                    <v>  </v>
                  </pt>
                  <pt idx="988">
                    <v>  </v>
                  </pt>
                  <pt idx="989">
                    <v>  </v>
                  </pt>
                  <pt idx="990">
                    <v>  </v>
                  </pt>
                  <pt idx="991">
                    <v>  </v>
                  </pt>
                  <pt idx="992">
                    <v>  </v>
                  </pt>
                  <pt idx="993">
                    <v>  </v>
                  </pt>
                  <pt idx="994">
                    <v>  </v>
                  </pt>
                  <pt idx="995">
                    <v>  </v>
                  </pt>
                  <pt idx="996">
                    <v>  </v>
                  </pt>
                  <pt idx="997">
                    <v>  </v>
                  </pt>
                  <pt idx="998">
                    <v>  </v>
                  </pt>
                  <pt idx="999">
                    <v>  </v>
                  </pt>
                  <pt idx="1000">
                    <v>  </v>
                  </pt>
                  <pt idx="1001">
                    <v>  </v>
                  </pt>
                  <pt idx="1002">
                    <v>  </v>
                  </pt>
                  <pt idx="1003">
                    <v>  </v>
                  </pt>
                  <pt idx="1004">
                    <v>  </v>
                  </pt>
                  <pt idx="1005">
                    <v>  </v>
                  </pt>
                  <pt idx="1006">
                    <v>  </v>
                  </pt>
                  <pt idx="1007">
                    <v>  </v>
                  </pt>
                  <pt idx="1008">
                    <v>  </v>
                  </pt>
                  <pt idx="1009">
                    <v>  </v>
                  </pt>
                  <pt idx="1010">
                    <v>  </v>
                  </pt>
                  <pt idx="1011">
                    <v>  </v>
                  </pt>
                  <pt idx="1012">
                    <v>  </v>
                  </pt>
                  <pt idx="1013">
                    <v>  </v>
                  </pt>
                  <pt idx="1014">
                    <v>  </v>
                  </pt>
                  <pt idx="1015">
                    <v>  </v>
                  </pt>
                  <pt idx="1016">
                    <v>  </v>
                  </pt>
                  <pt idx="1017">
                    <v>  </v>
                  </pt>
                  <pt idx="1018">
                    <v>  </v>
                  </pt>
                  <pt idx="1019">
                    <v>  </v>
                  </pt>
                  <pt idx="1020">
                    <v>  </v>
                  </pt>
                  <pt idx="1021">
                    <v>  </v>
                  </pt>
                  <pt idx="1022">
                    <v>  </v>
                  </pt>
                  <pt idx="1023">
                    <v>  </v>
                  </pt>
                  <pt idx="1024">
                    <v>  </v>
                  </pt>
                  <pt idx="1025">
                    <v>  </v>
                  </pt>
                  <pt idx="1026">
                    <v>  </v>
                  </pt>
                  <pt idx="1027">
                    <v>  </v>
                  </pt>
                  <pt idx="1028">
                    <v>  </v>
                  </pt>
                  <pt idx="1029">
                    <v>  </v>
                  </pt>
                  <pt idx="1030">
                    <v>  </v>
                  </pt>
                  <pt idx="1031">
                    <v>  </v>
                  </pt>
                  <pt idx="1032">
                    <v>  </v>
                  </pt>
                  <pt idx="1033">
                    <v>  </v>
                  </pt>
                  <pt idx="1034">
                    <v>  </v>
                  </pt>
                  <pt idx="1035">
                    <v>  </v>
                  </pt>
                  <pt idx="1036">
                    <v>  </v>
                  </pt>
                  <pt idx="1037">
                    <v>  </v>
                  </pt>
                  <pt idx="1038">
                    <v>  </v>
                  </pt>
                  <pt idx="1039">
                    <v>  </v>
                  </pt>
                  <pt idx="1040">
                    <v>  </v>
                  </pt>
                  <pt idx="1041">
                    <v>  </v>
                  </pt>
                  <pt idx="1042">
                    <v>  </v>
                  </pt>
                  <pt idx="1043">
                    <v>  </v>
                  </pt>
                  <pt idx="1044">
                    <v>  </v>
                  </pt>
                  <pt idx="1045">
                    <v>  </v>
                  </pt>
                  <pt idx="1046">
                    <v>  </v>
                  </pt>
                  <pt idx="1047">
                    <v>  </v>
                  </pt>
                  <pt idx="1048">
                    <v>  </v>
                  </pt>
                  <pt idx="1049">
                    <v>  </v>
                  </pt>
                  <pt idx="1050">
                    <v>  </v>
                  </pt>
                  <pt idx="1051">
                    <v>  </v>
                  </pt>
                  <pt idx="1052">
                    <v>  </v>
                  </pt>
                  <pt idx="1053">
                    <v>  </v>
                  </pt>
                  <pt idx="1054">
                    <v>  </v>
                  </pt>
                  <pt idx="1055">
                    <v>  </v>
                  </pt>
                  <pt idx="1056">
                    <v>  </v>
                  </pt>
                  <pt idx="1057">
                    <v>  </v>
                  </pt>
                  <pt idx="1058">
                    <v>  </v>
                  </pt>
                  <pt idx="1059">
                    <v>  </v>
                  </pt>
                  <pt idx="1060">
                    <v>  </v>
                  </pt>
                  <pt idx="1061">
                    <v>  </v>
                  </pt>
                  <pt idx="1062">
                    <v>  </v>
                  </pt>
                  <pt idx="1063">
                    <v>  </v>
                  </pt>
                  <pt idx="1064">
                    <v>  </v>
                  </pt>
                  <pt idx="1065">
                    <v>  </v>
                  </pt>
                  <pt idx="1066">
                    <v>  </v>
                  </pt>
                  <pt idx="1067">
                    <v>  </v>
                  </pt>
                  <pt idx="1068">
                    <v>  </v>
                  </pt>
                  <pt idx="1069">
                    <v>  </v>
                  </pt>
                  <pt idx="1070">
                    <v>  </v>
                  </pt>
                  <pt idx="1071">
                    <v>  </v>
                  </pt>
                  <pt idx="1072">
                    <v>  </v>
                  </pt>
                  <pt idx="1073">
                    <v>  </v>
                  </pt>
                  <pt idx="1074">
                    <v>  </v>
                  </pt>
                  <pt idx="1075">
                    <v>  </v>
                  </pt>
                  <pt idx="1076">
                    <v>  </v>
                  </pt>
                  <pt idx="1077">
                    <v>  </v>
                  </pt>
                  <pt idx="1078">
                    <v>  </v>
                  </pt>
                  <pt idx="1079">
                    <v>  </v>
                  </pt>
                  <pt idx="1080">
                    <v>  </v>
                  </pt>
                  <pt idx="1081">
                    <v>  </v>
                  </pt>
                  <pt idx="1082">
                    <v>  </v>
                  </pt>
                  <pt idx="1083">
                    <v>  </v>
                  </pt>
                  <pt idx="1084">
                    <v>  </v>
                  </pt>
                  <pt idx="1085">
                    <v>  </v>
                  </pt>
                  <pt idx="1086">
                    <v>  </v>
                  </pt>
                  <pt idx="1087">
                    <v>  </v>
                  </pt>
                  <pt idx="1088">
                    <v>  </v>
                  </pt>
                  <pt idx="1089">
                    <v>  </v>
                  </pt>
                  <pt idx="1090">
                    <v>  </v>
                  </pt>
                  <pt idx="1091">
                    <v>  </v>
                  </pt>
                  <pt idx="1092">
                    <v>  </v>
                  </pt>
                  <pt idx="1093">
                    <v>  </v>
                  </pt>
                  <pt idx="1094">
                    <v>  </v>
                  </pt>
                  <pt idx="1095">
                    <v>  </v>
                  </pt>
                  <pt idx="1096">
                    <v>  </v>
                  </pt>
                  <pt idx="1097">
                    <v>  </v>
                  </pt>
                  <pt idx="1098">
                    <v>  </v>
                  </pt>
                  <pt idx="1099">
                    <v>  </v>
                  </pt>
                  <pt idx="1100">
                    <v>  </v>
                  </pt>
                </lvl>
                <lvl>
                  <pt idx="0">
                    <v xml:space="preserve"> ¥2,360,000 </v>
                  </pt>
                  <pt idx="1">
                    <v xml:space="preserve"> ¥1,250,000 </v>
                  </pt>
                  <pt idx="2">
                    <v xml:space="preserve"> ¥326,902 </v>
                  </pt>
                  <pt idx="3">
                    <v xml:space="preserve"> ¥2,447,000 </v>
                  </pt>
                  <pt idx="4">
                    <v xml:space="preserve"> ¥76,000 </v>
                  </pt>
                  <pt idx="14">
                    <v xml:space="preserve"> ¥10,000 </v>
                  </pt>
                  <pt idx="15">
                    <v xml:space="preserve"> ¥242,000 </v>
                  </pt>
                  <pt idx="17">
                    <v xml:space="preserve"> ¥162,000 </v>
                  </pt>
                  <pt idx="18">
                    <v xml:space="preserve"> ¥170,000 </v>
                  </pt>
                  <pt idx="19">
                    <v xml:space="preserve"> ¥1,580,000 </v>
                  </pt>
                  <pt idx="20">
                    <v xml:space="preserve"> ¥180,000 </v>
                  </pt>
                  <pt idx="21">
                    <v xml:space="preserve"> ¥8,803,902 </v>
                  </pt>
                  <pt idx="24">
                    <v xml:space="preserve"> ¥1,150,000 </v>
                  </pt>
                  <pt idx="25">
                    <v xml:space="preserve"> ¥2,030,000 </v>
                  </pt>
                  <pt idx="26">
                    <v xml:space="preserve"> ¥634,000 </v>
                  </pt>
                  <pt idx="27">
                    <v xml:space="preserve"> ¥3,190,000 </v>
                  </pt>
                  <pt idx="28">
                    <v xml:space="preserve"> ¥1,520,000 </v>
                  </pt>
                  <pt idx="29">
                    <v xml:space="preserve"> ¥8,524,000 </v>
                  </pt>
                  <pt idx="32">
                    <v xml:space="preserve"> ¥1,700,000 </v>
                  </pt>
                  <pt idx="33">
                    <v xml:space="preserve"> ¥3,088,000 </v>
                  </pt>
                  <pt idx="34">
                    <v xml:space="preserve"> ¥2,964,000 </v>
                  </pt>
                  <pt idx="35">
                    <v xml:space="preserve"> ¥3,700,000 </v>
                  </pt>
                  <pt idx="36">
                    <v xml:space="preserve"> ¥11,452,000 </v>
                  </pt>
                  <pt idx="38">
                    <v xml:space="preserve"> ¥1,820,000 </v>
                  </pt>
                  <pt idx="39">
                    <v xml:space="preserve"> ¥1,816,000 </v>
                  </pt>
                  <pt idx="40">
                    <v xml:space="preserve"> ¥2,250,000 </v>
                  </pt>
                  <pt idx="41">
                    <v xml:space="preserve"> ¥1,710,000 </v>
                  </pt>
                  <pt idx="42">
                    <v xml:space="preserve"> ¥7,596,000 </v>
                  </pt>
                  <pt idx="45">
                    <v xml:space="preserve"> ¥1,500,000 </v>
                  </pt>
                  <pt idx="46">
                    <v xml:space="preserve"> ¥2,374,262 </v>
                  </pt>
                  <pt idx="47">
                    <v xml:space="preserve"> ¥1,207,000 </v>
                  </pt>
                  <pt idx="48">
                    <v xml:space="preserve"> ¥1,442,000 </v>
                  </pt>
                  <pt idx="49">
                    <v xml:space="preserve"> ¥1,820,000 </v>
                  </pt>
                  <pt idx="50">
                    <v xml:space="preserve"> ¥1,750,000 </v>
                  </pt>
                  <pt idx="51">
                    <v xml:space="preserve"> ¥1,800,000 </v>
                  </pt>
                  <pt idx="52">
                    <v xml:space="preserve"> ¥1,930,000 </v>
                  </pt>
                  <pt idx="53">
                    <v xml:space="preserve"> ¥2,035,000 </v>
                  </pt>
                  <pt idx="54">
                    <v xml:space="preserve"> ¥15,858,262 </v>
                  </pt>
                  <pt idx="57">
                    <v xml:space="preserve"> ¥11,500,000 </v>
                  </pt>
                  <pt idx="58">
                    <v xml:space="preserve"> ¥2,440,000 </v>
                  </pt>
                  <pt idx="59">
                    <v xml:space="preserve"> ¥1,220,000 </v>
                  </pt>
                  <pt idx="60">
                    <v xml:space="preserve"> ¥1,980,000 </v>
                  </pt>
                  <pt idx="61">
                    <v xml:space="preserve"> ¥542,000 </v>
                  </pt>
                  <pt idx="62">
                    <v xml:space="preserve"> ¥17,682,000 </v>
                  </pt>
                  <pt idx="65">
                    <v xml:space="preserve"> ¥3,000,000 </v>
                  </pt>
                  <pt idx="66">
                    <v xml:space="preserve"> ¥1,490,000 </v>
                  </pt>
                  <pt idx="67">
                    <v xml:space="preserve"> ¥2,100,000 </v>
                  </pt>
                  <pt idx="68">
                    <v xml:space="preserve"> ¥6,590,000 </v>
                  </pt>
                  <pt idx="71">
                    <v xml:space="preserve"> ¥1,473,200 </v>
                  </pt>
                  <pt idx="72">
                    <v xml:space="preserve"> ¥2,390,000 </v>
                  </pt>
                  <pt idx="73">
                    <v xml:space="preserve"> ¥1,839,668 </v>
                  </pt>
                  <pt idx="74">
                    <v xml:space="preserve"> ¥1,710,784 </v>
                  </pt>
                  <pt idx="75">
                    <v xml:space="preserve"> ¥1,729,000 </v>
                  </pt>
                  <pt idx="76">
                    <v xml:space="preserve"> ¥1,665,200 </v>
                  </pt>
                  <pt idx="77">
                    <v xml:space="preserve"> ¥292,000 </v>
                  </pt>
                  <pt idx="78">
                    <v xml:space="preserve"> ¥376,000 </v>
                  </pt>
                  <pt idx="79">
                    <v xml:space="preserve"> ¥11,475,852 </v>
                  </pt>
                  <pt idx="81">
                    <v xml:space="preserve"> ¥514,000 </v>
                  </pt>
                  <pt idx="82">
                    <v xml:space="preserve"> ¥546,000 </v>
                  </pt>
                  <pt idx="83">
                    <v xml:space="preserve"> ¥315,000 </v>
                  </pt>
                  <pt idx="84">
                    <v xml:space="preserve"> ¥1,757,200 </v>
                  </pt>
                  <pt idx="85">
                    <v xml:space="preserve"> ¥1,791,349 </v>
                  </pt>
                  <pt idx="86">
                    <v xml:space="preserve"> ¥199,000 </v>
                  </pt>
                  <pt idx="87">
                    <v xml:space="preserve"> ¥540,000 </v>
                  </pt>
                  <pt idx="88">
                    <v xml:space="preserve"> ¥968,000 </v>
                  </pt>
                  <pt idx="89">
                    <v xml:space="preserve"> ¥551,000 </v>
                  </pt>
                  <pt idx="90">
                    <v xml:space="preserve"> ¥1,729,000 </v>
                  </pt>
                  <pt idx="91">
                    <v xml:space="preserve"> ¥1,591,600 </v>
                  </pt>
                  <pt idx="92">
                    <v xml:space="preserve"> ¥514,000 </v>
                  </pt>
                  <pt idx="93">
                    <v xml:space="preserve"> ¥11,016,149 </v>
                  </pt>
                  <pt idx="96">
                    <v xml:space="preserve"> ¥1,980,000 </v>
                  </pt>
                  <pt idx="97">
                    <v xml:space="preserve"> ¥1,480,000 </v>
                  </pt>
                  <pt idx="98">
                    <v xml:space="preserve"> ¥1,686,000 </v>
                  </pt>
                  <pt idx="99">
                    <v xml:space="preserve"> ¥514,000 </v>
                  </pt>
                  <pt idx="100">
                    <v xml:space="preserve"> ¥372,000 </v>
                  </pt>
                  <pt idx="101">
                    <v xml:space="preserve"> ¥1,140,066 </v>
                  </pt>
                  <pt idx="102">
                    <v xml:space="preserve"> ¥2,050,000 </v>
                  </pt>
                  <pt idx="103">
                    <v xml:space="preserve"> ¥1,686,000 </v>
                  </pt>
                  <pt idx="104">
                    <v xml:space="preserve"> ¥1,644,000 </v>
                  </pt>
                  <pt idx="105">
                    <v xml:space="preserve"> ¥1,665,200 </v>
                  </pt>
                  <pt idx="106">
                    <v xml:space="preserve"> ¥57,000 </v>
                  </pt>
                  <pt idx="107">
                    <v xml:space="preserve"> ¥14,274,266 </v>
                  </pt>
                  <pt idx="110">
                    <v xml:space="preserve"> ¥1,750,000 </v>
                  </pt>
                  <pt idx="111">
                    <v xml:space="preserve"> ¥1,915,050 </v>
                  </pt>
                  <pt idx="112">
                    <v xml:space="preserve"> ¥733,000 </v>
                  </pt>
                  <pt idx="113">
                    <v xml:space="preserve"> ¥676,000 </v>
                  </pt>
                  <pt idx="114">
                    <v xml:space="preserve"> ¥5,074,050 </v>
                  </pt>
                  <pt idx="117">
                    <v xml:space="preserve"> ¥1,930,000 </v>
                  </pt>
                  <pt idx="118">
                    <v xml:space="preserve"> ¥2,402,000 </v>
                  </pt>
                  <pt idx="119">
                    <v xml:space="preserve"> ¥2,180,000 </v>
                  </pt>
                  <pt idx="120">
                    <v xml:space="preserve"> ¥1,907,500 </v>
                  </pt>
                  <pt idx="121">
                    <v xml:space="preserve"> ¥8,419,500 </v>
                  </pt>
                  <pt idx="125">
                    <v xml:space="preserve"> ¥1,039,000 </v>
                  </pt>
                  <pt idx="126">
                    <v xml:space="preserve"> ¥590,000 </v>
                  </pt>
                  <pt idx="127">
                    <v xml:space="preserve"> ¥1,629,000 </v>
                  </pt>
                  <pt idx="130">
                    <v xml:space="preserve"> ¥450,000 </v>
                  </pt>
                  <pt idx="131">
                    <v xml:space="preserve"> ¥1,700,000 </v>
                  </pt>
                  <pt idx="132">
                    <v xml:space="preserve"> ¥628,000 </v>
                  </pt>
                  <pt idx="133">
                    <v xml:space="preserve"> ¥440,000 </v>
                  </pt>
                  <pt idx="134">
                    <v xml:space="preserve"> ¥3,218,000 </v>
                  </pt>
                  <pt idx="137">
                    <v xml:space="preserve"> ¥1,830,000 </v>
                  </pt>
                  <pt idx="138">
                    <v xml:space="preserve"> ¥155,000 </v>
                  </pt>
                  <pt idx="139">
                    <v xml:space="preserve"> ¥188,000 </v>
                  </pt>
                  <pt idx="140">
                    <v xml:space="preserve"> ¥2,173,000 </v>
                  </pt>
                  <pt idx="144">
                    <v xml:space="preserve"> ¥1,556,000 </v>
                  </pt>
                  <pt idx="145">
                    <v xml:space="preserve"> ¥1,380,000 </v>
                  </pt>
                  <pt idx="146">
                    <v xml:space="preserve"> ¥1,365,450 </v>
                  </pt>
                  <pt idx="147">
                    <v xml:space="preserve"> ¥1,270,950 </v>
                  </pt>
                  <pt idx="148">
                    <v xml:space="preserve"> ¥629,550 </v>
                  </pt>
                  <pt idx="149">
                    <v xml:space="preserve"> ¥633,050 </v>
                  </pt>
                  <pt idx="150">
                    <v xml:space="preserve"> ¥66,000 </v>
                  </pt>
                  <pt idx="151">
                    <v xml:space="preserve"> ¥180,000 </v>
                  </pt>
                  <pt idx="152">
                    <v xml:space="preserve"> ¥7,081,000 </v>
                  </pt>
                  <pt idx="154">
                    <v xml:space="preserve"> ¥1,913,500 </v>
                  </pt>
                  <pt idx="155">
                    <v xml:space="preserve"> ¥1,828,000 </v>
                  </pt>
                  <pt idx="156">
                    <v xml:space="preserve"> ¥208,000 </v>
                  </pt>
                  <pt idx="157">
                    <v xml:space="preserve"> ¥1,070,000 </v>
                  </pt>
                  <pt idx="158">
                    <v xml:space="preserve"> ¥392,727 </v>
                  </pt>
                  <pt idx="159">
                    <v xml:space="preserve"> ¥455,000 </v>
                  </pt>
                  <pt idx="160">
                    <v xml:space="preserve"> ¥220,000 </v>
                  </pt>
                  <pt idx="161">
                    <v xml:space="preserve"> ¥97,000 </v>
                  </pt>
                  <pt idx="162">
                    <v xml:space="preserve"> ¥439,600 </v>
                  </pt>
                  <pt idx="163">
                    <v xml:space="preserve"> ¥6,623,827 </v>
                  </pt>
                  <pt idx="165">
                    <v xml:space="preserve"> ¥310,000 </v>
                  </pt>
                  <pt idx="166">
                    <v xml:space="preserve"> ¥3,000,000 </v>
                  </pt>
                  <pt idx="167">
                    <v xml:space="preserve"> ¥525,240 </v>
                  </pt>
                  <pt idx="168">
                    <v xml:space="preserve"> ¥3,835,240 </v>
                  </pt>
                  <pt idx="171">
                    <v xml:space="preserve"> ¥430,000 </v>
                  </pt>
                  <pt idx="172">
                    <v xml:space="preserve"> ¥690,000 </v>
                  </pt>
                  <pt idx="173">
                    <v xml:space="preserve"> ¥1,457,000 </v>
                  </pt>
                  <pt idx="174">
                    <v xml:space="preserve"> ¥2,840,000 </v>
                  </pt>
                  <pt idx="175">
                    <v xml:space="preserve"> ¥5,417,000 </v>
                  </pt>
                  <pt idx="178">
                    <v xml:space="preserve"> ¥2,370,000 </v>
                  </pt>
                  <pt idx="179">
                    <v xml:space="preserve"> ¥220,000 </v>
                  </pt>
                  <pt idx="180">
                    <v xml:space="preserve"> ¥744,700 </v>
                  </pt>
                  <pt idx="181">
                    <v xml:space="preserve"> ¥3,334,700 </v>
                  </pt>
                  <pt idx="185">
                    <v xml:space="preserve"> ¥1,873,000 </v>
                  </pt>
                  <pt idx="186">
                    <v xml:space="preserve"> ¥1,453,000 </v>
                  </pt>
                  <pt idx="187">
                    <v xml:space="preserve"> ¥711,000 </v>
                  </pt>
                  <pt idx="188">
                    <v xml:space="preserve"> ¥614,000 </v>
                  </pt>
                  <pt idx="189">
                    <v xml:space="preserve"> ¥4,651,000 </v>
                  </pt>
                  <pt idx="192">
                    <v xml:space="preserve"> ¥1,091,000 </v>
                  </pt>
                  <pt idx="193">
                    <v xml:space="preserve"> ¥153,000 </v>
                  </pt>
                  <pt idx="194">
                    <v xml:space="preserve"> ¥1,540,000 </v>
                  </pt>
                  <pt idx="195">
                    <v xml:space="preserve"> ¥474,300 </v>
                  </pt>
                  <pt idx="196">
                    <v xml:space="preserve"> ¥1,520,000 </v>
                  </pt>
                  <pt idx="197">
                    <v xml:space="preserve"> ¥1,980,000 </v>
                  </pt>
                  <pt idx="198">
                    <v xml:space="preserve"> ¥76,000 </v>
                  </pt>
                  <pt idx="199">
                    <v xml:space="preserve"> ¥167,000 </v>
                  </pt>
                  <pt idx="200">
                    <v xml:space="preserve"> ¥3,743,000 </v>
                  </pt>
                  <pt idx="203">
                    <v xml:space="preserve"> ¥340,000 </v>
                  </pt>
                  <pt idx="204">
                    <v xml:space="preserve"> ¥216,350 </v>
                  </pt>
                  <pt idx="205">
                    <v xml:space="preserve"> ¥760,000 </v>
                  </pt>
                  <pt idx="206">
                    <v xml:space="preserve"> ¥1,510,000 </v>
                  </pt>
                  <pt idx="207">
                    <v xml:space="preserve"> ¥3,840,000 </v>
                  </pt>
                  <pt idx="208">
                    <v xml:space="preserve"> ¥965,000 </v>
                  </pt>
                  <pt idx="209">
                    <v xml:space="preserve"> ¥500,000 </v>
                  </pt>
                  <pt idx="210">
                    <v xml:space="preserve"> ¥554,692 </v>
                  </pt>
                  <pt idx="211">
                    <v xml:space="preserve"> ¥8,686,042 </v>
                  </pt>
                  <pt idx="214">
                    <v xml:space="preserve"> ¥323,000 </v>
                  </pt>
                  <pt idx="215">
                    <v xml:space="preserve"> ¥846,000 </v>
                  </pt>
                  <pt idx="216">
                    <v xml:space="preserve"> ¥935,100 </v>
                  </pt>
                  <pt idx="217">
                    <v xml:space="preserve"> ¥488,000 </v>
                  </pt>
                  <pt idx="218">
                    <v xml:space="preserve"> ¥242,000 </v>
                  </pt>
                  <pt idx="219">
                    <v xml:space="preserve"> ¥730,000 </v>
                  </pt>
                  <pt idx="220">
                    <v xml:space="preserve"> ¥3,564,100 </v>
                  </pt>
                  <pt idx="223">
                    <v xml:space="preserve"> ¥717,000 </v>
                  </pt>
                  <pt idx="224">
                    <v xml:space="preserve"> ¥388,000 </v>
                  </pt>
                  <pt idx="225">
                    <v xml:space="preserve"> ¥422,000 </v>
                  </pt>
                  <pt idx="226">
                    <v xml:space="preserve"> ¥1,092,281 </v>
                  </pt>
                  <pt idx="227">
                    <v xml:space="preserve"> ¥- </v>
                  </pt>
                  <pt idx="228">
                    <v xml:space="preserve"> ¥790,000 </v>
                  </pt>
                  <pt idx="229">
                    <v xml:space="preserve"> ¥3,409,281 </v>
                  </pt>
                  <pt idx="232">
                    <v xml:space="preserve"> ¥1,120,000 </v>
                  </pt>
                  <pt idx="233">
                    <v xml:space="preserve"> ¥2,565,000 </v>
                  </pt>
                  <pt idx="234">
                    <v xml:space="preserve"> ¥3,800,000 </v>
                  </pt>
                  <pt idx="235">
                    <v xml:space="preserve"> ¥338,000 </v>
                  </pt>
                  <pt idx="236">
                    <v xml:space="preserve"> ¥453,200 </v>
                  </pt>
                  <pt idx="237">
                    <v xml:space="preserve"> ¥2,893,110 </v>
                  </pt>
                  <pt idx="238">
                    <v xml:space="preserve"> ¥3,266,630 </v>
                  </pt>
                  <pt idx="239">
                    <v xml:space="preserve"> ¥288,000 </v>
                  </pt>
                  <pt idx="240">
                    <v xml:space="preserve"> ¥2,485,000 </v>
                  </pt>
                  <pt idx="241">
                    <v xml:space="preserve"> ¥595,000 </v>
                  </pt>
                  <pt idx="242">
                    <v xml:space="preserve"> ¥1,359,000 </v>
                  </pt>
                  <pt idx="243">
                    <v xml:space="preserve"> ¥173,000 </v>
                  </pt>
                  <pt idx="244">
                    <v xml:space="preserve"> ¥170,000 </v>
                  </pt>
                  <pt idx="245">
                    <v xml:space="preserve"> ¥410,000 </v>
                  </pt>
                  <pt idx="246">
                    <v xml:space="preserve"> ¥390,000 </v>
                  </pt>
                  <pt idx="247">
                    <v xml:space="preserve"> ¥195,600 </v>
                  </pt>
                  <pt idx="248">
                    <v xml:space="preserve"> ¥20,501,540 </v>
                  </pt>
                  <pt idx="251">
                    <v xml:space="preserve"> ¥795,000 </v>
                  </pt>
                  <pt idx="252">
                    <v xml:space="preserve"> ¥599,000 </v>
                  </pt>
                  <pt idx="253">
                    <v xml:space="preserve"> ¥795,000 </v>
                  </pt>
                  <pt idx="254">
                    <v xml:space="preserve"> ¥403,000 </v>
                  </pt>
                  <pt idx="255">
                    <v xml:space="preserve"> ¥2,592,000 </v>
                  </pt>
                  <pt idx="257">
                    <v xml:space="preserve"> ¥176,570 </v>
                  </pt>
                  <pt idx="258">
                    <v xml:space="preserve"> ¥168,000 </v>
                  </pt>
                  <pt idx="259">
                    <v xml:space="preserve"> ¥153,000 </v>
                  </pt>
                  <pt idx="260">
                    <v xml:space="preserve"> ¥163,000 </v>
                  </pt>
                  <pt idx="261">
                    <v xml:space="preserve"> ¥2,400,000 </v>
                  </pt>
                  <pt idx="262">
                    <v xml:space="preserve"> ¥1,190,000 </v>
                  </pt>
                  <pt idx="263">
                    <v xml:space="preserve"> ¥900,000 </v>
                  </pt>
                  <pt idx="264">
                    <v xml:space="preserve"> ¥401,000 </v>
                  </pt>
                  <pt idx="265">
                    <v xml:space="preserve"> ¥403,500 </v>
                  </pt>
                  <pt idx="266">
                    <v xml:space="preserve"> ¥5,955,070 </v>
                  </pt>
                  <pt idx="268">
                    <v xml:space="preserve"> ¥890,000 </v>
                  </pt>
                  <pt idx="269">
                    <v xml:space="preserve"> ¥1,434,550 </v>
                  </pt>
                  <pt idx="270">
                    <v xml:space="preserve"> ¥380,500 </v>
                  </pt>
                  <pt idx="271">
                    <v xml:space="preserve"> ¥2,050,000 </v>
                  </pt>
                  <pt idx="272">
                    <v xml:space="preserve"> ¥1,480,749 </v>
                  </pt>
                  <pt idx="273">
                    <v xml:space="preserve"> ¥262,900 </v>
                  </pt>
                  <pt idx="274">
                    <v xml:space="preserve"> ¥81,000 </v>
                  </pt>
                  <pt idx="275">
                    <v xml:space="preserve"> ¥120,000 </v>
                  </pt>
                  <pt idx="276">
                    <v xml:space="preserve"> ¥6,699,699 </v>
                  </pt>
                  <pt idx="278">
                    <v xml:space="preserve"> ¥2,670,000 </v>
                  </pt>
                  <pt idx="279">
                    <v xml:space="preserve"> ¥368,000 </v>
                  </pt>
                  <pt idx="280">
                    <v xml:space="preserve"> ¥550,000 </v>
                  </pt>
                  <pt idx="281">
                    <v xml:space="preserve"> ¥100,000 </v>
                  </pt>
                  <pt idx="282">
                    <v xml:space="preserve"> ¥376,000 </v>
                  </pt>
                  <pt idx="283">
                    <v xml:space="preserve"> ¥268,000 </v>
                  </pt>
                  <pt idx="284">
                    <v xml:space="preserve"> ¥4,332,000 </v>
                  </pt>
                  <pt idx="286">
                    <v xml:space="preserve"> ¥7,742,000 </v>
                  </pt>
                  <pt idx="287">
                    <v xml:space="preserve"> ¥650,000 </v>
                  </pt>
                  <pt idx="288">
                    <v xml:space="preserve"> ¥8,392,000 </v>
                  </pt>
                  <pt idx="291">
                    <v xml:space="preserve"> ¥784,000 </v>
                  </pt>
                  <pt idx="292">
                    <v xml:space="preserve"> ¥1,306,000 </v>
                  </pt>
                  <pt idx="293">
                    <v xml:space="preserve"> ¥2,090,000 </v>
                  </pt>
                  <pt idx="296">
                    <v xml:space="preserve"> ¥480,000 </v>
                  </pt>
                  <pt idx="297">
                    <v xml:space="preserve"> ¥480,000 </v>
                  </pt>
                  <pt idx="299">
                    <v xml:space="preserve"> ¥9,499,000 </v>
                  </pt>
                  <pt idx="300">
                    <v xml:space="preserve"> ¥380,000 </v>
                  </pt>
                  <pt idx="301">
                    <v xml:space="preserve"> ¥6,600,000 </v>
                  </pt>
                  <pt idx="302">
                    <v xml:space="preserve"> ¥880,000 </v>
                  </pt>
                  <pt idx="303">
                    <v xml:space="preserve"> ¥381,000 </v>
                  </pt>
                  <pt idx="304">
                    <v xml:space="preserve"> ¥17,740,000 </v>
                  </pt>
                  <pt idx="307">
                    <v xml:space="preserve"> ¥302,780 </v>
                  </pt>
                  <pt idx="308">
                    <v xml:space="preserve"> ¥820,138 </v>
                  </pt>
                  <pt idx="309">
                    <v xml:space="preserve"> ¥820,138 </v>
                  </pt>
                  <pt idx="310">
                    <v xml:space="preserve"> ¥2,337,000 </v>
                  </pt>
                  <pt idx="311">
                    <v xml:space="preserve"> ¥294,990 </v>
                  </pt>
                  <pt idx="312">
                    <v xml:space="preserve"> ¥4,575,046 </v>
                  </pt>
                  <pt idx="314">
                    <v xml:space="preserve"> ¥317,034 </v>
                  </pt>
                  <pt idx="315">
                    <v xml:space="preserve"> ¥988,252 </v>
                  </pt>
                  <pt idx="316">
                    <v xml:space="preserve"> ¥2,360,000 </v>
                  </pt>
                  <pt idx="317">
                    <v xml:space="preserve"> ¥70,000 </v>
                  </pt>
                  <pt idx="318">
                    <v xml:space="preserve"> ¥3,735,286 </v>
                  </pt>
                  <pt idx="320">
                    <v xml:space="preserve"> ¥1,910,000 </v>
                  </pt>
                  <pt idx="321">
                    <v xml:space="preserve"> ¥1,779,000 </v>
                  </pt>
                  <pt idx="324">
                    <v xml:space="preserve"> ¥2,727,273 </v>
                  </pt>
                  <pt idx="325">
                    <v xml:space="preserve"> ¥147,290 </v>
                  </pt>
                  <pt idx="326">
                    <v xml:space="preserve"> ¥44,400 </v>
                  </pt>
                  <pt idx="327">
                    <v xml:space="preserve"> ¥172,000 </v>
                  </pt>
                  <pt idx="330">
                    <v xml:space="preserve"> ¥2,434,000 </v>
                  </pt>
                  <pt idx="331">
                    <v xml:space="preserve"> ¥234,000 </v>
                  </pt>
                  <pt idx="332">
                    <v xml:space="preserve"> ¥1,320,000 </v>
                  </pt>
                  <pt idx="333">
                    <v xml:space="preserve"> ¥1,790,000 </v>
                  </pt>
                  <pt idx="334">
                    <v xml:space="preserve"> ¥1,130,000 </v>
                  </pt>
                  <pt idx="335">
                    <v xml:space="preserve"> ¥267,000 </v>
                  </pt>
                  <pt idx="336">
                    <v xml:space="preserve"> ¥155,000 </v>
                  </pt>
                  <pt idx="338">
                    <v xml:space="preserve"> ¥1,650,000 </v>
                  </pt>
                  <pt idx="339">
                    <v xml:space="preserve"> ¥727,273 </v>
                  </pt>
                  <pt idx="340">
                    <v xml:space="preserve"> ¥142,364 </v>
                  </pt>
                  <pt idx="341">
                    <v xml:space="preserve"> ¥100,000 </v>
                  </pt>
                  <pt idx="342">
                    <v xml:space="preserve"> ¥150,000 </v>
                  </pt>
                  <pt idx="343">
                    <v xml:space="preserve"> ¥264,000 </v>
                  </pt>
                  <pt idx="344">
                    <v xml:space="preserve"> ¥298,000 </v>
                  </pt>
                  <pt idx="347">
                    <v xml:space="preserve"> ¥1,686,000 </v>
                  </pt>
                  <pt idx="348">
                    <v xml:space="preserve"> ¥516,000 </v>
                  </pt>
                  <pt idx="349">
                    <v xml:space="preserve"> ¥1,145,455 </v>
                  </pt>
                  <pt idx="350">
                    <v xml:space="preserve"> ¥428,000 </v>
                  </pt>
                  <pt idx="352">
                    <v xml:space="preserve"> ¥556,900 </v>
                  </pt>
                  <pt idx="353">
                    <v xml:space="preserve"> ¥1,380,000 </v>
                  </pt>
                  <pt idx="354">
                    <v xml:space="preserve"> ¥270,000 </v>
                  </pt>
                  <pt idx="355">
                    <v xml:space="preserve"> ¥282,000 </v>
                  </pt>
                  <pt idx="358">
                    <v xml:space="preserve"> ¥4,190,000 </v>
                  </pt>
                  <pt idx="359">
                    <v xml:space="preserve"> ¥160,500 </v>
                  </pt>
                  <pt idx="360">
                    <v xml:space="preserve"> ¥551,000 </v>
                  </pt>
                  <pt idx="361">
                    <v xml:space="preserve"> ¥566,960 </v>
                  </pt>
                  <pt idx="364">
                    <v xml:space="preserve"> ¥1,196,000 </v>
                  </pt>
                  <pt idx="365">
                    <v xml:space="preserve"> ¥4,786,000 </v>
                  </pt>
                  <pt idx="366">
                    <v xml:space="preserve"> ¥1,120,000 </v>
                  </pt>
                  <pt idx="367">
                    <v xml:space="preserve"> ¥755,000 </v>
                  </pt>
                  <pt idx="368">
                    <v xml:space="preserve"> ¥3,848,000 </v>
                  </pt>
                  <pt idx="369">
                    <v xml:space="preserve"> ¥1,335,000 </v>
                  </pt>
                  <pt idx="370">
                    <v xml:space="preserve"> ¥750,000 </v>
                  </pt>
                  <pt idx="371">
                    <v xml:space="preserve"> ¥8,058,000 </v>
                  </pt>
                  <pt idx="372">
                    <v xml:space="preserve"> ¥320,000 </v>
                  </pt>
                  <pt idx="373">
                    <v xml:space="preserve"> ¥1,350,000 </v>
                  </pt>
                  <pt idx="374">
                    <v xml:space="preserve"> ¥704,000 </v>
                  </pt>
                  <pt idx="377">
                    <v xml:space="preserve"> ¥160,000 </v>
                  </pt>
                  <pt idx="378">
                    <v xml:space="preserve"> ¥764,368 </v>
                  </pt>
                  <pt idx="379">
                    <v xml:space="preserve"> ¥1,859,000 </v>
                  </pt>
                  <pt idx="380">
                    <v xml:space="preserve"> ¥320,000 </v>
                  </pt>
                  <pt idx="381">
                    <v xml:space="preserve"> ¥608,000 </v>
                  </pt>
                  <pt idx="382">
                    <v xml:space="preserve"> ¥1,950,000 </v>
                  </pt>
                  <pt idx="383">
                    <v xml:space="preserve"> ¥542,000 </v>
                  </pt>
                  <pt idx="384">
                    <v xml:space="preserve"> ¥802,624 </v>
                  </pt>
                  <pt idx="386">
                    <v xml:space="preserve"> ¥14,000,000 </v>
                  </pt>
                  <pt idx="387">
                    <v xml:space="preserve"> ¥185,000 </v>
                  </pt>
                  <pt idx="388">
                    <v xml:space="preserve"> ¥107,000 </v>
                  </pt>
                  <pt idx="389">
                    <v xml:space="preserve"> ¥6,200,000 </v>
                  </pt>
                  <pt idx="392">
                    <v xml:space="preserve"> ¥11,340,000 </v>
                  </pt>
                  <pt idx="393">
                    <v xml:space="preserve"> ¥400,000 </v>
                  </pt>
                  <pt idx="394">
                    <v xml:space="preserve"> ¥179,000 </v>
                  </pt>
                  <pt idx="395">
                    <v xml:space="preserve"> ¥228,000 </v>
                  </pt>
                  <pt idx="396">
                    <v xml:space="preserve"> ¥6,600,000 </v>
                  </pt>
                  <pt idx="397">
                    <v xml:space="preserve"> ¥710,000 </v>
                  </pt>
                  <pt idx="398">
                    <v xml:space="preserve"> ¥1,068,650 </v>
                  </pt>
                  <pt idx="399">
                    <v xml:space="preserve"> ¥979,000 </v>
                  </pt>
                  <pt idx="400">
                    <v xml:space="preserve"> ¥224,000 </v>
                  </pt>
                  <pt idx="403">
                    <v xml:space="preserve"> ¥5,530,000 </v>
                  </pt>
                  <pt idx="404">
                    <v xml:space="preserve"> ¥450,000 </v>
                  </pt>
                  <pt idx="405">
                    <v xml:space="preserve"> ¥4,214,000 </v>
                  </pt>
                  <pt idx="406">
                    <v xml:space="preserve"> ¥290,400 </v>
                  </pt>
                  <pt idx="408">
                    <v xml:space="preserve"> ¥2,220,000 </v>
                  </pt>
                  <pt idx="409">
                    <v xml:space="preserve"> ¥800,000 </v>
                  </pt>
                  <pt idx="410">
                    <v xml:space="preserve"> ¥664,000 </v>
                  </pt>
                  <pt idx="411">
                    <v xml:space="preserve"> ¥315,645 </v>
                  </pt>
                  <pt idx="412">
                    <v xml:space="preserve"> ¥18,000 </v>
                  </pt>
                  <pt idx="414">
                    <v xml:space="preserve"> ¥2,700,000 </v>
                  </pt>
                  <pt idx="415">
                    <v xml:space="preserve"> ¥968,275 </v>
                  </pt>
                  <pt idx="416">
                    <v xml:space="preserve"> ¥3,050,000 </v>
                  </pt>
                  <pt idx="417">
                    <v xml:space="preserve"> ¥2,052,400 </v>
                  </pt>
                  <pt idx="418">
                    <v xml:space="preserve"> ¥1,790,000 </v>
                  </pt>
                  <pt idx="420">
                    <v xml:space="preserve"> ¥1,890,000 </v>
                  </pt>
                  <pt idx="422">
                    <v xml:space="preserve"> ¥11,767,618 </v>
                  </pt>
                  <pt idx="423">
                    <v xml:space="preserve"> ¥1,010,000 </v>
                  </pt>
                  <pt idx="424">
                    <v xml:space="preserve"> ¥560,000 </v>
                  </pt>
                  <pt idx="426">
                    <v xml:space="preserve"> ¥60,000 </v>
                  </pt>
                  <pt idx="427">
                    <v xml:space="preserve"> ¥275,460 </v>
                  </pt>
                  <pt idx="428">
                    <v xml:space="preserve"> ¥711,098 </v>
                  </pt>
                  <pt idx="429">
                    <v xml:space="preserve"> ¥640,000 </v>
                  </pt>
                  <pt idx="430">
                    <v xml:space="preserve"> ¥123,000 </v>
                  </pt>
                  <pt idx="431">
                    <v xml:space="preserve"> ¥2,540,000 </v>
                  </pt>
                  <pt idx="432">
                    <v xml:space="preserve"> ¥226,000 </v>
                  </pt>
                  <pt idx="433">
                    <v xml:space="preserve"> ¥2,200,000 </v>
                  </pt>
                  <pt idx="434">
                    <v xml:space="preserve"> ¥1,370,000 </v>
                  </pt>
                  <pt idx="435">
                    <v xml:space="preserve"> ¥1,600,000 </v>
                  </pt>
                  <pt idx="436">
                    <v xml:space="preserve"> ¥980,000 </v>
                  </pt>
                  <pt idx="437">
                    <v xml:space="preserve"> ¥3,050,000 </v>
                  </pt>
                  <pt idx="438">
                    <v xml:space="preserve"> ¥532,378 </v>
                  </pt>
                  <pt idx="439">
                    <v xml:space="preserve"> ¥143,000 </v>
                  </pt>
                  <pt idx="440">
                    <v xml:space="preserve"> ¥1,900,000 </v>
                  </pt>
                  <pt idx="441">
                    <v xml:space="preserve"> ¥190,000 </v>
                  </pt>
                  <pt idx="442">
                    <v xml:space="preserve"> ¥338,000 </v>
                  </pt>
                  <pt idx="443">
                    <v xml:space="preserve"> ¥124,000 </v>
                  </pt>
                  <pt idx="444">
                    <v xml:space="preserve"> ¥1,050,000 </v>
                  </pt>
                  <pt idx="445">
                    <v xml:space="preserve"> ¥4,000,000 </v>
                  </pt>
                  <pt idx="446">
                    <v xml:space="preserve"> ¥310,618 </v>
                  </pt>
                  <pt idx="448">
                    <v xml:space="preserve"> ¥350,000 </v>
                  </pt>
                  <pt idx="450">
                    <v xml:space="preserve"> ¥335,000 </v>
                  </pt>
                  <pt idx="451">
                    <v xml:space="preserve"> ¥1,716,000 </v>
                  </pt>
                  <pt idx="452">
                    <v xml:space="preserve"> ¥320,000 </v>
                  </pt>
                  <pt idx="453">
                    <v xml:space="preserve"> ¥104,340 </v>
                  </pt>
                  <pt idx="454">
                    <v xml:space="preserve"> ¥215,000 </v>
                  </pt>
                  <pt idx="456">
                    <v xml:space="preserve"> ¥145,000 </v>
                  </pt>
                  <pt idx="457">
                    <v xml:space="preserve"> ¥1,440,000 </v>
                  </pt>
                  <pt idx="459">
                    <v xml:space="preserve"> ¥820,000 </v>
                  </pt>
                  <pt idx="460">
                    <v xml:space="preserve"> ¥495,000 </v>
                  </pt>
                  <pt idx="461">
                    <v xml:space="preserve"> ¥3,790,000 </v>
                  </pt>
                  <pt idx="463">
                    <v xml:space="preserve"> ¥1,890,000 </v>
                  </pt>
                  <pt idx="464">
                    <v xml:space="preserve"> ¥226,000 </v>
                  </pt>
                  <pt idx="465">
                    <v xml:space="preserve"> ¥363,000 </v>
                  </pt>
                  <pt idx="466">
                    <v xml:space="preserve"> ¥286,000 </v>
                  </pt>
                  <pt idx="467">
                    <v xml:space="preserve"> ¥146,000 </v>
                  </pt>
                  <pt idx="468">
                    <v xml:space="preserve"> ¥9,790,000 </v>
                  </pt>
                  <pt idx="469">
                    <v xml:space="preserve"> ¥4,543,000 </v>
                  </pt>
                  <pt idx="470">
                    <v xml:space="preserve"> ¥1,850,000 </v>
                  </pt>
                  <pt idx="471">
                    <v xml:space="preserve"> ¥668,000 </v>
                  </pt>
                  <pt idx="472">
                    <v xml:space="preserve"> ¥1,580,000 </v>
                  </pt>
                  <pt idx="473">
                    <v xml:space="preserve"> ¥520,000 </v>
                  </pt>
                  <pt idx="474">
                    <v xml:space="preserve"> ¥366,000 </v>
                  </pt>
                  <pt idx="476">
                    <v xml:space="preserve"> ¥273,100 </v>
                  </pt>
                  <pt idx="477">
                    <v xml:space="preserve"> ¥75,900 </v>
                  </pt>
                  <pt idx="478">
                    <v xml:space="preserve"> ¥83,250 </v>
                  </pt>
                  <pt idx="479">
                    <v xml:space="preserve"> ¥78,000 </v>
                  </pt>
                  <pt idx="480">
                    <v xml:space="preserve"> ¥336,100 </v>
                  </pt>
                  <pt idx="481">
                    <v xml:space="preserve"> ¥86,000 </v>
                  </pt>
                  <pt idx="482">
                    <v xml:space="preserve"> ¥270,000 </v>
                  </pt>
                  <pt idx="483">
                    <v xml:space="preserve"> ¥360,000 </v>
                  </pt>
                  <pt idx="484">
                    <v xml:space="preserve"> ¥2,770,000 </v>
                  </pt>
                  <pt idx="485">
                    <v xml:space="preserve"> ¥280,000 </v>
                  </pt>
                  <pt idx="486">
                    <v xml:space="preserve"> ¥80,000 </v>
                  </pt>
                  <pt idx="487">
                    <v xml:space="preserve"> ¥165,000 </v>
                  </pt>
                  <pt idx="488">
                    <v xml:space="preserve"> ¥93,000 </v>
                  </pt>
                  <pt idx="489">
                    <v xml:space="preserve"> ¥2,370,000 </v>
                  </pt>
                  <pt idx="491">
                    <v xml:space="preserve"> ¥2,100,000 </v>
                  </pt>
                  <pt idx="492">
                    <v xml:space="preserve"> ¥212,330 </v>
                  </pt>
                  <pt idx="493">
                    <v xml:space="preserve"> ¥1,021,600 </v>
                  </pt>
                  <pt idx="494">
                    <v xml:space="preserve"> ¥983,000 </v>
                  </pt>
                  <pt idx="496">
                    <v xml:space="preserve"> ¥1,237,700 </v>
                  </pt>
                  <pt idx="497">
                    <v xml:space="preserve"> ¥359,000 </v>
                  </pt>
                  <pt idx="498">
                    <v xml:space="preserve"> ¥60,000 </v>
                  </pt>
                  <pt idx="500">
                    <v xml:space="preserve"> ¥557,375 </v>
                  </pt>
                  <pt idx="501">
                    <v xml:space="preserve"> ¥462,600 </v>
                  </pt>
                  <pt idx="502">
                    <v xml:space="preserve"> ¥1,879,000 </v>
                  </pt>
                  <pt idx="503">
                    <v xml:space="preserve"> ¥533,000 </v>
                  </pt>
                  <pt idx="505">
                    <v xml:space="preserve"> ¥970,000 </v>
                  </pt>
                  <pt idx="506">
                    <v xml:space="preserve"> ¥624,400 </v>
                  </pt>
                  <pt idx="507">
                    <v xml:space="preserve"> ¥3,930,000 </v>
                  </pt>
                  <pt idx="508">
                    <v xml:space="preserve"> ¥260,000 </v>
                  </pt>
                  <pt idx="509">
                    <v xml:space="preserve"> ¥170,000 </v>
                  </pt>
                  <pt idx="510">
                    <v xml:space="preserve"> ¥25,000 </v>
                  </pt>
                  <pt idx="511">
                    <v xml:space="preserve"> ¥2,211,267 </v>
                  </pt>
                  <pt idx="513">
                    <v xml:space="preserve"> ¥494,100 </v>
                  </pt>
                  <pt idx="514">
                    <v xml:space="preserve"> ¥65,710 </v>
                  </pt>
                  <pt idx="515">
                    <v xml:space="preserve"> ¥60,000 </v>
                  </pt>
                  <pt idx="516">
                    <v xml:space="preserve"> ¥75,000 </v>
                  </pt>
                  <pt idx="517">
                    <v xml:space="preserve"> ¥79,570 </v>
                  </pt>
                  <pt idx="518">
                    <v xml:space="preserve"> ¥811,000 </v>
                  </pt>
                  <pt idx="519">
                    <v xml:space="preserve"> ¥490,000 </v>
                  </pt>
                  <pt idx="520">
                    <v xml:space="preserve"> ¥342,625 </v>
                  </pt>
                  <pt idx="521">
                    <v xml:space="preserve"> ¥78,000 </v>
                  </pt>
                  <pt idx="522">
                    <v xml:space="preserve"> ¥60,000 </v>
                  </pt>
                  <pt idx="524">
                    <v xml:space="preserve"> ¥94,000 </v>
                  </pt>
                  <pt idx="525">
                    <v xml:space="preserve"> ¥102,000 </v>
                  </pt>
                  <pt idx="529">
                    <v xml:space="preserve"> ¥797,000 </v>
                  </pt>
                  <pt idx="530">
                    <v xml:space="preserve"> ¥4,348,000 </v>
                  </pt>
                  <pt idx="531">
                    <v xml:space="preserve"> ¥274,000 </v>
                  </pt>
                  <pt idx="532">
                    <v xml:space="preserve"> ¥167,000 </v>
                  </pt>
                  <pt idx="535">
                    <v xml:space="preserve"> ¥64,000 </v>
                  </pt>
                  <pt idx="536">
                    <v xml:space="preserve"> ¥88,000 </v>
                  </pt>
                  <pt idx="537">
                    <v xml:space="preserve"> ¥1,950,000 </v>
                  </pt>
                  <pt idx="538">
                    <v xml:space="preserve"> ¥125,000 </v>
                  </pt>
                  <pt idx="539">
                    <v xml:space="preserve"> ¥595,000 </v>
                  </pt>
                  <pt idx="541">
                    <v xml:space="preserve"> ¥218,000 </v>
                  </pt>
                  <pt idx="542">
                    <v xml:space="preserve"> ¥112,000 </v>
                  </pt>
                  <pt idx="543">
                    <v xml:space="preserve"> ¥155,400 </v>
                  </pt>
                  <pt idx="544">
                    <v xml:space="preserve"> ¥57,170 </v>
                  </pt>
                  <pt idx="545">
                    <v xml:space="preserve"> ¥630,000 </v>
                  </pt>
                  <pt idx="547">
                    <v xml:space="preserve"> ¥2,466,000 </v>
                  </pt>
                  <pt idx="548">
                    <v xml:space="preserve"> ¥1,650,000 </v>
                  </pt>
                  <pt idx="549">
                    <v xml:space="preserve"> ¥2,503,000 </v>
                  </pt>
                  <pt idx="550">
                    <v xml:space="preserve"> ¥135,000 </v>
                  </pt>
                  <pt idx="551">
                    <v xml:space="preserve"> ¥1,733,000 </v>
                  </pt>
                  <pt idx="552">
                    <v xml:space="preserve"> ¥451,050 </v>
                  </pt>
                  <pt idx="553">
                    <v xml:space="preserve"> ¥149,000 </v>
                  </pt>
                  <pt idx="554">
                    <v xml:space="preserve"> ¥565,000 </v>
                  </pt>
                  <pt idx="555">
                    <v xml:space="preserve"> ¥348,300 </v>
                  </pt>
                  <pt idx="556">
                    <v xml:space="preserve"> ¥61,860 </v>
                  </pt>
                  <pt idx="557">
                    <v xml:space="preserve"> ¥260,000 </v>
                  </pt>
                  <pt idx="558">
                    <v xml:space="preserve"> ¥130,000 </v>
                  </pt>
                  <pt idx="559">
                    <v xml:space="preserve"> ¥22,000 </v>
                  </pt>
                  <pt idx="561">
                    <v xml:space="preserve"> ¥150,700 </v>
                  </pt>
                  <pt idx="562">
                    <v xml:space="preserve"> ¥334,058 </v>
                  </pt>
                  <pt idx="563">
                    <v xml:space="preserve"> ¥94,000 </v>
                  </pt>
                  <pt idx="564">
                    <v xml:space="preserve"> ¥64,902 </v>
                  </pt>
                  <pt idx="565">
                    <v xml:space="preserve"> ¥288,809 </v>
                  </pt>
                  <pt idx="567">
                    <v xml:space="preserve"> ¥680,000 </v>
                  </pt>
                  <pt idx="568">
                    <v xml:space="preserve"> ¥327,273 </v>
                  </pt>
                  <pt idx="569">
                    <v xml:space="preserve"> ¥293,000 </v>
                  </pt>
                  <pt idx="570">
                    <v xml:space="preserve"> ¥74,000 </v>
                  </pt>
                  <pt idx="571">
                    <v xml:space="preserve"> ¥67,000 </v>
                  </pt>
                  <pt idx="572">
                    <v xml:space="preserve"> ¥99,000 </v>
                  </pt>
                  <pt idx="574">
                    <v xml:space="preserve"> ¥76,150 </v>
                  </pt>
                  <pt idx="575">
                    <v xml:space="preserve"> ¥436,560 </v>
                  </pt>
                  <pt idx="576">
                    <v xml:space="preserve"> ¥117,902 </v>
                  </pt>
                  <pt idx="577">
                    <v xml:space="preserve"> ¥74,500 </v>
                  </pt>
                  <pt idx="578">
                    <v xml:space="preserve"> ¥203,082 </v>
                  </pt>
                  <pt idx="579">
                    <v xml:space="preserve"> ¥987,000 </v>
                  </pt>
                  <pt idx="580">
                    <v xml:space="preserve"> ¥1,096,000 </v>
                  </pt>
                  <pt idx="581">
                    <v xml:space="preserve"> ¥789,000 </v>
                  </pt>
                  <pt idx="582">
                    <v xml:space="preserve"> ¥1,040,000 </v>
                  </pt>
                  <pt idx="583">
                    <v xml:space="preserve"> ¥1,271,000 </v>
                  </pt>
                  <pt idx="584">
                    <v xml:space="preserve"> ¥58,000 </v>
                  </pt>
                  <pt idx="585">
                    <v xml:space="preserve"> ¥23,870,578 </v>
                  </pt>
                  <pt idx="586">
                    <v xml:space="preserve"> ¥177,000 </v>
                  </pt>
                  <pt idx="587">
                    <v xml:space="preserve"> ¥64,000 </v>
                  </pt>
                  <pt idx="588">
                    <v xml:space="preserve"> ¥250,000 </v>
                  </pt>
                  <pt idx="589">
                    <v xml:space="preserve"> ¥116,000 </v>
                  </pt>
                  <pt idx="590">
                    <v xml:space="preserve"> ¥85,000 </v>
                  </pt>
                  <pt idx="591">
                    <v xml:space="preserve"> ¥128,000 </v>
                  </pt>
                  <pt idx="592">
                    <v xml:space="preserve"> ¥446,000 </v>
                  </pt>
                  <pt idx="594">
                    <v xml:space="preserve"> ¥2,523,800 </v>
                  </pt>
                  <pt idx="595">
                    <v xml:space="preserve"> ¥127,000 </v>
                  </pt>
                  <pt idx="596">
                    <v xml:space="preserve"> ¥16,000 </v>
                  </pt>
                  <pt idx="597">
                    <v xml:space="preserve"> ¥1,437,000 </v>
                  </pt>
                  <pt idx="598">
                    <v xml:space="preserve"> ¥1,437,000 </v>
                  </pt>
                  <pt idx="599">
                    <v xml:space="preserve"> ¥904,000 </v>
                  </pt>
                  <pt idx="600">
                    <v xml:space="preserve"> ¥575,000 </v>
                  </pt>
                  <pt idx="601">
                    <v xml:space="preserve"> ¥131,000 </v>
                  </pt>
                  <pt idx="602">
                    <v xml:space="preserve"> ¥171,000 </v>
                  </pt>
                  <pt idx="603">
                    <v xml:space="preserve"> ¥68,000 </v>
                  </pt>
                  <pt idx="604">
                    <v xml:space="preserve"> ¥116,000 </v>
                  </pt>
                  <pt idx="605">
                    <v xml:space="preserve"> ¥27,640 </v>
                  </pt>
                  <pt idx="606">
                    <v xml:space="preserve"> ¥530,000 </v>
                  </pt>
                  <pt idx="608">
                    <v xml:space="preserve"> ¥1,203,614 </v>
                  </pt>
                  <pt idx="609">
                    <v xml:space="preserve"> ¥385,900 </v>
                  </pt>
                  <pt idx="610">
                    <v xml:space="preserve"> ¥26,064 </v>
                  </pt>
                  <pt idx="612">
                    <v xml:space="preserve"> ¥1,038,800 </v>
                  </pt>
                  <pt idx="613">
                    <v xml:space="preserve"> ¥38,010 </v>
                  </pt>
                  <pt idx="614">
                    <v xml:space="preserve"> ¥30,236 </v>
                  </pt>
                  <pt idx="615">
                    <v xml:space="preserve"> ¥241,000 </v>
                  </pt>
                  <pt idx="616">
                    <v xml:space="preserve"> ¥317,000 </v>
                  </pt>
                  <pt idx="617">
                    <v xml:space="preserve"> ¥1,337,000 </v>
                  </pt>
                  <pt idx="618">
                    <v xml:space="preserve"> ¥1,278,020 </v>
                  </pt>
                  <pt idx="619">
                    <v xml:space="preserve"> ¥3,000,000 </v>
                  </pt>
                  <pt idx="620">
                    <v xml:space="preserve"> ¥969,815 </v>
                  </pt>
                  <pt idx="623">
                    <v xml:space="preserve"> ¥15,000 </v>
                  </pt>
                  <pt idx="624">
                    <v xml:space="preserve"> ¥1,336,800 </v>
                  </pt>
                  <pt idx="625">
                    <v xml:space="preserve"> ¥216,000 </v>
                  </pt>
                  <pt idx="626">
                    <v xml:space="preserve"> ¥49,950 </v>
                  </pt>
                  <pt idx="627">
                    <v xml:space="preserve"> ¥62,700 </v>
                  </pt>
                  <pt idx="628">
                    <v xml:space="preserve"> ¥42,000 </v>
                  </pt>
                  <pt idx="630">
                    <v xml:space="preserve"> ¥580,000 </v>
                  </pt>
                  <pt idx="631">
                    <v xml:space="preserve"> ¥432,090 </v>
                  </pt>
                  <pt idx="632">
                    <v xml:space="preserve"> ¥107,670 </v>
                  </pt>
                  <pt idx="633">
                    <v xml:space="preserve"> ¥108,780 </v>
                  </pt>
                  <pt idx="634">
                    <v xml:space="preserve"> ¥124,320 </v>
                  </pt>
                  <pt idx="636">
                    <v xml:space="preserve"> ¥250,833 </v>
                  </pt>
                  <pt idx="637">
                    <v xml:space="preserve"> ¥463,290 </v>
                  </pt>
                  <pt idx="642">
                    <v xml:space="preserve"> ¥521,000 </v>
                  </pt>
                  <pt idx="643">
                    <v xml:space="preserve"> ¥67,265 </v>
                  </pt>
                  <pt idx="644">
                    <v xml:space="preserve"> ¥1,425,400 </v>
                  </pt>
                  <pt idx="645">
                    <v xml:space="preserve"> ¥1,646,200 </v>
                  </pt>
                  <pt idx="646">
                    <v xml:space="preserve"> ¥1,303,000 </v>
                  </pt>
                  <pt idx="647">
                    <v xml:space="preserve"> ¥925,000 </v>
                  </pt>
                  <pt idx="649">
                    <v xml:space="preserve"> ¥239,939 </v>
                  </pt>
                  <pt idx="652">
                    <v xml:space="preserve"> ¥4,150,000 </v>
                  </pt>
                  <pt idx="653">
                    <v xml:space="preserve"> ¥3,500,000 </v>
                  </pt>
                  <pt idx="654">
                    <v xml:space="preserve"> ¥2,900,000 </v>
                  </pt>
                  <pt idx="655">
                    <v xml:space="preserve"> ¥121,560 </v>
                  </pt>
                  <pt idx="656">
                    <v xml:space="preserve"> ¥200,000 </v>
                  </pt>
                  <pt idx="657">
                    <v xml:space="preserve"> ¥211,000 </v>
                  </pt>
                  <pt idx="658">
                    <v xml:space="preserve"> ¥153,000 </v>
                  </pt>
                  <pt idx="660">
                    <v xml:space="preserve"> ¥1,176,189 </v>
                  </pt>
                  <pt idx="661">
                    <v xml:space="preserve"> ¥105,000 </v>
                  </pt>
                  <pt idx="662">
                    <v xml:space="preserve"> ¥145,450 </v>
                  </pt>
                  <pt idx="663">
                    <v xml:space="preserve"> ¥434,950 </v>
                  </pt>
                  <pt idx="664">
                    <v xml:space="preserve"> ¥80,000 </v>
                  </pt>
                  <pt idx="665">
                    <v xml:space="preserve"> ¥185,000 </v>
                  </pt>
                  <pt idx="666">
                    <v xml:space="preserve"> ¥73,000 </v>
                  </pt>
                  <pt idx="667">
                    <v xml:space="preserve"> ¥139,000 </v>
                  </pt>
                  <pt idx="668">
                    <v xml:space="preserve"> ¥116,000 </v>
                  </pt>
                  <pt idx="669">
                    <v xml:space="preserve"> ¥1,333,499 </v>
                  </pt>
                  <pt idx="670">
                    <v xml:space="preserve"> ¥1,750,000 </v>
                  </pt>
                  <pt idx="671">
                    <v xml:space="preserve"> ¥830,000 </v>
                  </pt>
                  <pt idx="673">
                    <v xml:space="preserve"> ¥35,000 </v>
                  </pt>
                  <pt idx="674">
                    <v xml:space="preserve"> ¥24,820 </v>
                  </pt>
                  <pt idx="675">
                    <v xml:space="preserve"> ¥470,000 </v>
                  </pt>
                  <pt idx="676">
                    <v xml:space="preserve"> ¥180,000 </v>
                  </pt>
                  <pt idx="677">
                    <v xml:space="preserve"> ¥218,900 </v>
                  </pt>
                  <pt idx="678">
                    <v xml:space="preserve"> ¥420,000 </v>
                  </pt>
                  <pt idx="680">
                    <v xml:space="preserve"> ¥1,418,860 </v>
                  </pt>
                  <pt idx="681">
                    <v xml:space="preserve"> ¥25,000 </v>
                  </pt>
                  <pt idx="682">
                    <v xml:space="preserve"> ¥300,380 </v>
                  </pt>
                  <pt idx="683">
                    <v xml:space="preserve"> ¥1,474,787 </v>
                  </pt>
                  <pt idx="684">
                    <v xml:space="preserve"> ¥296,000 </v>
                  </pt>
                  <pt idx="686">
                    <v xml:space="preserve"> ¥250,000 </v>
                  </pt>
                  <pt idx="687">
                    <v xml:space="preserve"> ¥528,000 </v>
                  </pt>
                  <pt idx="688">
                    <v xml:space="preserve"> ¥1,593,787 </v>
                  </pt>
                  <pt idx="689">
                    <v xml:space="preserve"> ¥40,000 </v>
                  </pt>
                  <pt idx="690">
                    <v xml:space="preserve"> ¥24,820 </v>
                  </pt>
                  <pt idx="691">
                    <v xml:space="preserve"> ¥50,000 </v>
                  </pt>
                  <pt idx="692">
                    <v xml:space="preserve"> ¥626,000 </v>
                  </pt>
                  <pt idx="693">
                    <v xml:space="preserve"> ¥98,000 </v>
                  </pt>
                  <pt idx="694">
                    <v xml:space="preserve"> ¥800,000 </v>
                  </pt>
                  <pt idx="695">
                    <v xml:space="preserve"> ¥79,000 </v>
                  </pt>
                  <pt idx="696">
                    <v xml:space="preserve"> ¥476,000 </v>
                  </pt>
                  <pt idx="697">
                    <v xml:space="preserve"> ¥144,000 </v>
                  </pt>
                  <pt idx="698">
                    <v xml:space="preserve"> ¥1,500,000 </v>
                  </pt>
                  <pt idx="699">
                    <v xml:space="preserve"> ¥325,600 </v>
                  </pt>
                  <pt idx="700">
                    <v xml:space="preserve"> ¥250,000 </v>
                  </pt>
                  <pt idx="702">
                    <v xml:space="preserve"> ¥77,150 </v>
                  </pt>
                  <pt idx="703">
                    <v xml:space="preserve"> ¥863,217 </v>
                  </pt>
                  <pt idx="704">
                    <v xml:space="preserve"> ¥510,600 </v>
                  </pt>
                  <pt idx="705">
                    <v xml:space="preserve"> ¥124,000 </v>
                  </pt>
                  <pt idx="706">
                    <v xml:space="preserve"> ¥87,000 </v>
                  </pt>
                  <pt idx="707">
                    <v xml:space="preserve"> ¥547,000 </v>
                  </pt>
                  <pt idx="709">
                    <v xml:space="preserve"> ¥35,000 </v>
                  </pt>
                  <pt idx="710">
                    <v xml:space="preserve"> ¥60,000 </v>
                  </pt>
                  <pt idx="711">
                    <v xml:space="preserve"> ¥34,000 </v>
                  </pt>
                  <pt idx="712">
                    <v xml:space="preserve"> ¥40,000 </v>
                  </pt>
                  <pt idx="713">
                    <v xml:space="preserve"> ¥8,000 </v>
                  </pt>
                  <pt idx="714">
                    <v xml:space="preserve"> ¥63,780 </v>
                  </pt>
                  <pt idx="715">
                    <v xml:space="preserve"> ¥139,000 </v>
                  </pt>
                  <pt idx="716">
                    <v xml:space="preserve"> ¥224,980 </v>
                  </pt>
                  <pt idx="717">
                    <v xml:space="preserve"> ¥98,000 </v>
                  </pt>
                  <pt idx="718">
                    <v xml:space="preserve"> ¥80,000 </v>
                  </pt>
                  <pt idx="719">
                    <v xml:space="preserve"> ¥600,000 </v>
                  </pt>
                  <pt idx="720">
                    <v xml:space="preserve"> ¥1,950,000 </v>
                  </pt>
                  <pt idx="721">
                    <v xml:space="preserve"> ¥8,500,000 </v>
                  </pt>
                  <pt idx="722">
                    <v xml:space="preserve"> ¥150,000 </v>
                  </pt>
                  <pt idx="723">
                    <v xml:space="preserve"> ¥50,000 </v>
                  </pt>
                  <pt idx="726">
                    <v xml:space="preserve"> ¥8,000 </v>
                  </pt>
                  <pt idx="728">
                    <v xml:space="preserve"> ¥94,000 </v>
                  </pt>
                  <pt idx="729">
                    <v xml:space="preserve"> ¥22,000 </v>
                  </pt>
                </lvl>
                <lvl>
                  <pt idx="0">
                    <v>12月</v>
                  </pt>
                  <pt idx="1">
                    <v>12月</v>
                  </pt>
                  <pt idx="2">
                    <v>12月</v>
                  </pt>
                  <pt idx="3">
                    <v>12月</v>
                  </pt>
                  <pt idx="4">
                    <v>12月</v>
                  </pt>
                  <pt idx="5">
                    <v>12月5日</v>
                  </pt>
                  <pt idx="6">
                    <v>12月17日</v>
                  </pt>
                  <pt idx="7">
                    <v>12月17日</v>
                  </pt>
                  <pt idx="8">
                    <v>12月21日</v>
                  </pt>
                  <pt idx="9">
                    <v>1月8日</v>
                  </pt>
                  <pt idx="10">
                    <v>1月17日</v>
                  </pt>
                  <pt idx="11">
                    <v>1月16日</v>
                  </pt>
                  <pt idx="12">
                    <v>1月16日</v>
                  </pt>
                  <pt idx="13">
                    <v>1月11日</v>
                  </pt>
                  <pt idx="14">
                    <v>1月11日</v>
                  </pt>
                  <pt idx="15">
                    <v>1月23日</v>
                  </pt>
                  <pt idx="16">
                    <v>1月24日</v>
                  </pt>
                  <pt idx="17">
                    <v>12月7日</v>
                  </pt>
                  <pt idx="18">
                    <v>12月13日</v>
                  </pt>
                  <pt idx="20">
                    <v>12月</v>
                  </pt>
                  <pt idx="24">
                    <v>1月</v>
                  </pt>
                  <pt idx="25">
                    <v>1月</v>
                  </pt>
                  <pt idx="26">
                    <v>1月</v>
                  </pt>
                  <pt idx="27">
                    <v>1月</v>
                  </pt>
                  <pt idx="28">
                    <v>1月</v>
                  </pt>
                  <pt idx="32">
                    <v>2月</v>
                  </pt>
                  <pt idx="33">
                    <v>2月</v>
                  </pt>
                  <pt idx="34">
                    <v>2月</v>
                  </pt>
                  <pt idx="35">
                    <v>2月</v>
                  </pt>
                  <pt idx="38">
                    <v>3月</v>
                  </pt>
                  <pt idx="39">
                    <v>3月</v>
                  </pt>
                  <pt idx="40">
                    <v>3月</v>
                  </pt>
                  <pt idx="41">
                    <v>3月</v>
                  </pt>
                  <pt idx="45">
                    <v>4月</v>
                  </pt>
                  <pt idx="46">
                    <v>3月</v>
                  </pt>
                  <pt idx="47">
                    <v>4月</v>
                  </pt>
                  <pt idx="48">
                    <v>4月</v>
                  </pt>
                  <pt idx="49">
                    <v>4月</v>
                  </pt>
                  <pt idx="50">
                    <v>4月</v>
                  </pt>
                  <pt idx="51">
                    <v>3月</v>
                  </pt>
                  <pt idx="52">
                    <v>4月</v>
                  </pt>
                  <pt idx="53">
                    <v>4月</v>
                  </pt>
                  <pt idx="57">
                    <v>5月</v>
                  </pt>
                  <pt idx="58">
                    <v>5月</v>
                  </pt>
                  <pt idx="59">
                    <v>5月</v>
                  </pt>
                  <pt idx="60">
                    <v>5月</v>
                  </pt>
                  <pt idx="61">
                    <v>5月</v>
                  </pt>
                  <pt idx="65">
                    <v>6月</v>
                  </pt>
                  <pt idx="66">
                    <v>6月</v>
                  </pt>
                  <pt idx="67">
                    <v>6月</v>
                  </pt>
                  <pt idx="71">
                    <v>7月</v>
                  </pt>
                  <pt idx="72">
                    <v>6月</v>
                  </pt>
                  <pt idx="73">
                    <v>7月</v>
                  </pt>
                  <pt idx="74">
                    <v>7月</v>
                  </pt>
                  <pt idx="75">
                    <v>7月</v>
                  </pt>
                  <pt idx="76">
                    <v>7月</v>
                  </pt>
                  <pt idx="77">
                    <v>7月</v>
                  </pt>
                  <pt idx="78">
                    <v>7月</v>
                  </pt>
                  <pt idx="81">
                    <v>7月</v>
                  </pt>
                  <pt idx="82">
                    <v>7月</v>
                  </pt>
                  <pt idx="83">
                    <v>7月</v>
                  </pt>
                  <pt idx="84">
                    <v>7月</v>
                  </pt>
                  <pt idx="85">
                    <v>7月</v>
                  </pt>
                  <pt idx="86">
                    <v>7月</v>
                  </pt>
                  <pt idx="87">
                    <v>8月</v>
                  </pt>
                  <pt idx="88">
                    <v>8月</v>
                  </pt>
                  <pt idx="89">
                    <v>8月</v>
                  </pt>
                  <pt idx="90">
                    <v>8月</v>
                  </pt>
                  <pt idx="91">
                    <v>8月</v>
                  </pt>
                  <pt idx="92">
                    <v>8月</v>
                  </pt>
                  <pt idx="96">
                    <v>9月</v>
                  </pt>
                  <pt idx="97">
                    <v>9月</v>
                  </pt>
                  <pt idx="98">
                    <v>9月</v>
                  </pt>
                  <pt idx="99">
                    <v>9月</v>
                  </pt>
                  <pt idx="100">
                    <v>9月</v>
                  </pt>
                  <pt idx="101">
                    <v>9月</v>
                  </pt>
                  <pt idx="102">
                    <v>9月</v>
                  </pt>
                  <pt idx="103">
                    <v>9月</v>
                  </pt>
                  <pt idx="104">
                    <v>9月</v>
                  </pt>
                  <pt idx="105">
                    <v>9月</v>
                  </pt>
                  <pt idx="106">
                    <v>9月</v>
                  </pt>
                  <pt idx="110">
                    <v>10月</v>
                  </pt>
                  <pt idx="111">
                    <v>10月</v>
                  </pt>
                  <pt idx="112">
                    <v>10月</v>
                  </pt>
                  <pt idx="113">
                    <v>10月</v>
                  </pt>
                  <pt idx="117">
                    <v>11月</v>
                  </pt>
                  <pt idx="118">
                    <v>11月</v>
                  </pt>
                  <pt idx="119">
                    <v>11月</v>
                  </pt>
                  <pt idx="120">
                    <v>11月</v>
                  </pt>
                  <pt idx="125">
                    <v>12月</v>
                  </pt>
                  <pt idx="126">
                    <v>12月</v>
                  </pt>
                  <pt idx="130">
                    <v>1月</v>
                  </pt>
                  <pt idx="131">
                    <v>1月</v>
                  </pt>
                  <pt idx="132">
                    <v>1月</v>
                  </pt>
                  <pt idx="133">
                    <v>1月</v>
                  </pt>
                  <pt idx="137">
                    <v>2月</v>
                  </pt>
                  <pt idx="138">
                    <v>2月</v>
                  </pt>
                  <pt idx="139">
                    <v>2月</v>
                  </pt>
                  <pt idx="144">
                    <v>4月</v>
                  </pt>
                  <pt idx="145">
                    <v>4月</v>
                  </pt>
                  <pt idx="146">
                    <v>4月</v>
                  </pt>
                  <pt idx="147">
                    <v>4月</v>
                  </pt>
                  <pt idx="148">
                    <v>4月</v>
                  </pt>
                  <pt idx="149">
                    <v>4月</v>
                  </pt>
                  <pt idx="150">
                    <v>4月</v>
                  </pt>
                  <pt idx="151">
                    <v>4月</v>
                  </pt>
                  <pt idx="154">
                    <v>5月</v>
                  </pt>
                  <pt idx="155">
                    <v>5月</v>
                  </pt>
                  <pt idx="156">
                    <v>5月</v>
                  </pt>
                  <pt idx="157">
                    <v>5月</v>
                  </pt>
                  <pt idx="158">
                    <v>5月</v>
                  </pt>
                  <pt idx="159">
                    <v>5月</v>
                  </pt>
                  <pt idx="160">
                    <v>5月</v>
                  </pt>
                  <pt idx="161">
                    <v>5月</v>
                  </pt>
                  <pt idx="162">
                    <v>5月</v>
                  </pt>
                  <pt idx="165">
                    <v>6月</v>
                  </pt>
                  <pt idx="166">
                    <v>6月</v>
                  </pt>
                  <pt idx="167">
                    <v>6月</v>
                  </pt>
                  <pt idx="171">
                    <v>7月</v>
                  </pt>
                  <pt idx="172">
                    <v>7月</v>
                  </pt>
                  <pt idx="173">
                    <v>7月</v>
                  </pt>
                  <pt idx="174">
                    <v>7月</v>
                  </pt>
                  <pt idx="178">
                    <v>8月</v>
                  </pt>
                  <pt idx="179">
                    <v>8月</v>
                  </pt>
                  <pt idx="180">
                    <v>8月</v>
                  </pt>
                  <pt idx="185">
                    <v>9月</v>
                  </pt>
                  <pt idx="186">
                    <v>9月</v>
                  </pt>
                  <pt idx="188">
                    <v>10月</v>
                  </pt>
                  <pt idx="192">
                    <v>10月</v>
                  </pt>
                  <pt idx="193">
                    <v>11月</v>
                  </pt>
                  <pt idx="194">
                    <v>10月</v>
                  </pt>
                  <pt idx="195">
                    <v>10月</v>
                  </pt>
                  <pt idx="196">
                    <v>10月</v>
                  </pt>
                  <pt idx="197">
                    <v>10月</v>
                  </pt>
                  <pt idx="198">
                    <v>10月</v>
                  </pt>
                  <pt idx="199">
                    <v>10月</v>
                  </pt>
                  <pt idx="203">
                    <v>11月</v>
                  </pt>
                  <pt idx="204">
                    <v>11月</v>
                  </pt>
                  <pt idx="205">
                    <v>11月</v>
                  </pt>
                  <pt idx="206">
                    <v>11月</v>
                  </pt>
                  <pt idx="207">
                    <v>11月</v>
                  </pt>
                  <pt idx="208">
                    <v>11月</v>
                  </pt>
                  <pt idx="209">
                    <v>11月</v>
                  </pt>
                  <pt idx="210">
                    <v>11月</v>
                  </pt>
                  <pt idx="214">
                    <v>12月</v>
                  </pt>
                  <pt idx="215">
                    <v>12月</v>
                  </pt>
                  <pt idx="216">
                    <v>12月</v>
                  </pt>
                  <pt idx="217">
                    <v>12月</v>
                  </pt>
                  <pt idx="218">
                    <v>12月</v>
                  </pt>
                  <pt idx="219">
                    <v>12月</v>
                  </pt>
                  <pt idx="223">
                    <v>1月</v>
                  </pt>
                  <pt idx="224">
                    <v>1月</v>
                  </pt>
                  <pt idx="225">
                    <v>2月</v>
                  </pt>
                  <pt idx="226">
                    <v>1月</v>
                  </pt>
                  <pt idx="227">
                    <v>1月</v>
                  </pt>
                  <pt idx="232">
                    <v>2月</v>
                  </pt>
                  <pt idx="233">
                    <v>3月</v>
                  </pt>
                  <pt idx="234">
                    <v>3月</v>
                  </pt>
                  <pt idx="235">
                    <v>3月</v>
                  </pt>
                  <pt idx="236">
                    <v>3月</v>
                  </pt>
                  <pt idx="237">
                    <v>3月</v>
                  </pt>
                  <pt idx="238">
                    <v>3月</v>
                  </pt>
                  <pt idx="239">
                    <v>3月</v>
                  </pt>
                  <pt idx="240">
                    <v>3月</v>
                  </pt>
                  <pt idx="241">
                    <v>3月</v>
                  </pt>
                  <pt idx="242">
                    <v>3月</v>
                  </pt>
                  <pt idx="243">
                    <v>3月</v>
                  </pt>
                  <pt idx="244">
                    <v>3月</v>
                  </pt>
                  <pt idx="245">
                    <v>3月</v>
                  </pt>
                  <pt idx="246">
                    <v>3月</v>
                  </pt>
                  <pt idx="247">
                    <v>3月</v>
                  </pt>
                  <pt idx="251">
                    <v>4月</v>
                  </pt>
                  <pt idx="252">
                    <v>4月</v>
                  </pt>
                  <pt idx="253">
                    <v>4月</v>
                  </pt>
                  <pt idx="254">
                    <v>4月</v>
                  </pt>
                  <pt idx="257">
                    <v>5月</v>
                  </pt>
                  <pt idx="258">
                    <v>5月</v>
                  </pt>
                  <pt idx="259">
                    <v>6月</v>
                  </pt>
                  <pt idx="260">
                    <v>5月</v>
                  </pt>
                  <pt idx="261">
                    <v>5月</v>
                  </pt>
                  <pt idx="262">
                    <v>5月</v>
                  </pt>
                  <pt idx="263">
                    <v>5月</v>
                  </pt>
                  <pt idx="264">
                    <v>5月</v>
                  </pt>
                  <pt idx="268">
                    <v>7月</v>
                  </pt>
                  <pt idx="269">
                    <v>7月</v>
                  </pt>
                  <pt idx="270">
                    <v>7月</v>
                  </pt>
                  <pt idx="271">
                    <v>7月</v>
                  </pt>
                  <pt idx="272">
                    <v>7月</v>
                  </pt>
                  <pt idx="273">
                    <v>7月</v>
                  </pt>
                  <pt idx="274">
                    <v>7月</v>
                  </pt>
                  <pt idx="275">
                    <v>7月</v>
                  </pt>
                  <pt idx="278">
                    <v>8月</v>
                  </pt>
                  <pt idx="279">
                    <v>8月</v>
                  </pt>
                  <pt idx="280">
                    <v>8月</v>
                  </pt>
                  <pt idx="281">
                    <v>8月</v>
                  </pt>
                  <pt idx="282">
                    <v>8月</v>
                  </pt>
                  <pt idx="283">
                    <v>8月</v>
                  </pt>
                  <pt idx="286">
                    <v>9月</v>
                  </pt>
                  <pt idx="287">
                    <v>9月</v>
                  </pt>
                  <pt idx="291">
                    <v>11月</v>
                  </pt>
                  <pt idx="292">
                    <v>11月</v>
                  </pt>
                  <pt idx="296">
                    <v xml:space="preserve"> 1月 </v>
                  </pt>
                  <pt idx="299">
                    <v xml:space="preserve"> 2月-3月 </v>
                  </pt>
                  <pt idx="300">
                    <v xml:space="preserve"> 2月-3月 </v>
                  </pt>
                  <pt idx="301">
                    <v xml:space="preserve"> 2月-3月 </v>
                  </pt>
                  <pt idx="302">
                    <v xml:space="preserve"> 2月-3月 </v>
                  </pt>
                  <pt idx="303">
                    <v xml:space="preserve"> 2月 </v>
                  </pt>
                  <pt idx="307">
                    <v>3月</v>
                  </pt>
                  <pt idx="308">
                    <v>3月</v>
                  </pt>
                  <pt idx="309">
                    <v>3月</v>
                  </pt>
                  <pt idx="310">
                    <v>3月</v>
                  </pt>
                  <pt idx="311">
                    <v>3月</v>
                  </pt>
                  <pt idx="314">
                    <v>4月</v>
                  </pt>
                  <pt idx="315">
                    <v>4月-5月</v>
                  </pt>
                  <pt idx="316">
                    <v>4月</v>
                  </pt>
                  <pt idx="317">
                    <v>4月</v>
                  </pt>
                  <pt idx="320">
                    <v>5月</v>
                  </pt>
                  <pt idx="321">
                    <v>5月</v>
                  </pt>
                  <pt idx="324">
                    <v>6月</v>
                  </pt>
                  <pt idx="325">
                    <v>6月</v>
                  </pt>
                  <pt idx="326">
                    <v>6月</v>
                  </pt>
                  <pt idx="327">
                    <v>6月</v>
                  </pt>
                  <pt idx="330">
                    <v>7月</v>
                  </pt>
                  <pt idx="331">
                    <v>7月</v>
                  </pt>
                  <pt idx="332">
                    <v>7月</v>
                  </pt>
                  <pt idx="333">
                    <v>7月</v>
                  </pt>
                  <pt idx="334">
                    <v>7月</v>
                  </pt>
                  <pt idx="335">
                    <v>8月</v>
                  </pt>
                  <pt idx="336">
                    <v>8月</v>
                  </pt>
                  <pt idx="338">
                    <v>8月</v>
                  </pt>
                  <pt idx="339">
                    <v>8月</v>
                  </pt>
                  <pt idx="340">
                    <v>8月</v>
                  </pt>
                  <pt idx="341">
                    <v>8月</v>
                  </pt>
                  <pt idx="342">
                    <v>8月</v>
                  </pt>
                  <pt idx="343">
                    <v>8月</v>
                  </pt>
                  <pt idx="344">
                    <v>8月</v>
                  </pt>
                  <pt idx="347">
                    <v>9月</v>
                  </pt>
                  <pt idx="348">
                    <v>10月</v>
                  </pt>
                  <pt idx="349">
                    <v>9月</v>
                  </pt>
                  <pt idx="350">
                    <v>9月</v>
                  </pt>
                  <pt idx="352">
                    <v>9月</v>
                  </pt>
                  <pt idx="353">
                    <v>9月</v>
                  </pt>
                  <pt idx="354">
                    <v>10月</v>
                  </pt>
                  <pt idx="355">
                    <v>10月</v>
                  </pt>
                  <pt idx="358">
                    <v>10月</v>
                  </pt>
                  <pt idx="359">
                    <v>11月</v>
                  </pt>
                  <pt idx="360">
                    <v>11月</v>
                  </pt>
                  <pt idx="361">
                    <v>11月</v>
                  </pt>
                  <pt idx="364">
                    <v>11月</v>
                  </pt>
                  <pt idx="365">
                    <v>11月</v>
                  </pt>
                  <pt idx="366">
                    <v>11月</v>
                  </pt>
                  <pt idx="367">
                    <v>11月</v>
                  </pt>
                  <pt idx="368">
                    <v>11月</v>
                  </pt>
                  <pt idx="369">
                    <v>11月</v>
                  </pt>
                  <pt idx="370">
                    <v>11月</v>
                  </pt>
                  <pt idx="371">
                    <v>12月</v>
                  </pt>
                  <pt idx="372">
                    <v>11月</v>
                  </pt>
                  <pt idx="373">
                    <v>10月</v>
                  </pt>
                  <pt idx="374">
                    <v>1011月</v>
                  </pt>
                  <pt idx="377">
                    <v>12月</v>
                  </pt>
                  <pt idx="378">
                    <v>12月</v>
                  </pt>
                  <pt idx="379">
                    <v>12月</v>
                  </pt>
                  <pt idx="380">
                    <v>12月</v>
                  </pt>
                  <pt idx="381">
                    <v>12月</v>
                  </pt>
                  <pt idx="382">
                    <v>12-1月</v>
                  </pt>
                  <pt idx="383">
                    <v>12月</v>
                  </pt>
                  <pt idx="384">
                    <v>12月</v>
                  </pt>
                  <pt idx="387">
                    <v>1月</v>
                  </pt>
                  <pt idx="388">
                    <v>1月</v>
                  </pt>
                  <pt idx="389">
                    <v>2月</v>
                  </pt>
                  <pt idx="392">
                    <v>3月</v>
                  </pt>
                  <pt idx="393">
                    <v>3月</v>
                  </pt>
                  <pt idx="394">
                    <v>3月</v>
                  </pt>
                  <pt idx="395">
                    <v>2月</v>
                  </pt>
                  <pt idx="396">
                    <v xml:space="preserve"> 2月-3月 </v>
                  </pt>
                  <pt idx="397">
                    <v>2月</v>
                  </pt>
                  <pt idx="398">
                    <v>2月</v>
                  </pt>
                  <pt idx="399">
                    <v>2月</v>
                  </pt>
                  <pt idx="400">
                    <v>2月</v>
                  </pt>
                  <pt idx="403">
                    <v>4月</v>
                  </pt>
                  <pt idx="404">
                    <v>4月</v>
                  </pt>
                  <pt idx="405">
                    <v>4月</v>
                  </pt>
                  <pt idx="406">
                    <v>4月</v>
                  </pt>
                  <pt idx="408">
                    <v>5月</v>
                  </pt>
                  <pt idx="409">
                    <v>5月</v>
                  </pt>
                  <pt idx="410">
                    <v>5月</v>
                  </pt>
                  <pt idx="411">
                    <v>5月</v>
                  </pt>
                  <pt idx="412">
                    <v>5月</v>
                  </pt>
                  <pt idx="414">
                    <v>6月</v>
                  </pt>
                  <pt idx="415">
                    <v>6月</v>
                  </pt>
                  <pt idx="416">
                    <v>6月</v>
                  </pt>
                  <pt idx="417">
                    <v>6月</v>
                  </pt>
                  <pt idx="418">
                    <v>6月</v>
                  </pt>
                  <pt idx="420">
                    <v>7月</v>
                  </pt>
                  <pt idx="422">
                    <v>9月</v>
                  </pt>
                  <pt idx="423">
                    <v>10月</v>
                  </pt>
                  <pt idx="424">
                    <v>10月</v>
                  </pt>
                  <pt idx="426">
                    <v>11月</v>
                  </pt>
                  <pt idx="427">
                    <v>11月</v>
                  </pt>
                  <pt idx="428">
                    <v>11月</v>
                  </pt>
                  <pt idx="429">
                    <v>11月</v>
                  </pt>
                  <pt idx="430">
                    <v>11月</v>
                  </pt>
                  <pt idx="431">
                    <v>11月</v>
                  </pt>
                  <pt idx="432">
                    <v>11月</v>
                  </pt>
                  <pt idx="433">
                    <v>11月</v>
                  </pt>
                  <pt idx="434">
                    <v>11月</v>
                  </pt>
                  <pt idx="435">
                    <v>12月</v>
                  </pt>
                  <pt idx="436">
                    <v>12月</v>
                  </pt>
                  <pt idx="437">
                    <v>12月</v>
                  </pt>
                  <pt idx="438">
                    <v>11月</v>
                  </pt>
                  <pt idx="439">
                    <v>11月</v>
                  </pt>
                  <pt idx="440">
                    <v>11月</v>
                  </pt>
                  <pt idx="441">
                    <v>11月</v>
                  </pt>
                  <pt idx="442">
                    <v>11月</v>
                  </pt>
                  <pt idx="443">
                    <v>12月</v>
                  </pt>
                  <pt idx="444">
                    <v>12月</v>
                  </pt>
                  <pt idx="445">
                    <v>2月</v>
                  </pt>
                  <pt idx="446">
                    <v>2月</v>
                  </pt>
                  <pt idx="448">
                    <v>1月</v>
                  </pt>
                  <pt idx="450">
                    <v>2月</v>
                  </pt>
                  <pt idx="451">
                    <v>2月</v>
                  </pt>
                  <pt idx="452">
                    <v>2月</v>
                  </pt>
                  <pt idx="453">
                    <v>2月</v>
                  </pt>
                  <pt idx="454">
                    <v>2月</v>
                  </pt>
                  <pt idx="455">
                    <v>2月</v>
                  </pt>
                  <pt idx="456">
                    <v>2月</v>
                  </pt>
                  <pt idx="457">
                    <v>3月</v>
                  </pt>
                  <pt idx="459">
                    <v>3月</v>
                  </pt>
                  <pt idx="460">
                    <v>3月</v>
                  </pt>
                  <pt idx="461">
                    <v>3月</v>
                  </pt>
                  <pt idx="463">
                    <v>3月</v>
                  </pt>
                  <pt idx="464">
                    <v>3月</v>
                  </pt>
                  <pt idx="465">
                    <v>3月</v>
                  </pt>
                  <pt idx="466">
                    <v>3月</v>
                  </pt>
                  <pt idx="467">
                    <v>3月</v>
                  </pt>
                  <pt idx="468">
                    <v>4月</v>
                  </pt>
                  <pt idx="469">
                    <v>4月</v>
                  </pt>
                  <pt idx="470">
                    <v>4月</v>
                  </pt>
                  <pt idx="471">
                    <v>4月</v>
                  </pt>
                  <pt idx="472">
                    <v>5月</v>
                  </pt>
                  <pt idx="473">
                    <v>5月</v>
                  </pt>
                  <pt idx="474">
                    <v>5月</v>
                  </pt>
                  <pt idx="476">
                    <v>5月</v>
                  </pt>
                  <pt idx="477">
                    <v>5月</v>
                  </pt>
                  <pt idx="478">
                    <v>5月</v>
                  </pt>
                  <pt idx="479">
                    <v>-</v>
                  </pt>
                  <pt idx="480">
                    <v>6月</v>
                  </pt>
                  <pt idx="481">
                    <v>6月</v>
                  </pt>
                  <pt idx="482">
                    <v>6月</v>
                  </pt>
                  <pt idx="483">
                    <v>6月</v>
                  </pt>
                  <pt idx="484">
                    <v>6月</v>
                  </pt>
                  <pt idx="485">
                    <v>6月</v>
                  </pt>
                  <pt idx="486">
                    <v>6月</v>
                  </pt>
                  <pt idx="487">
                    <v>6月</v>
                  </pt>
                  <pt idx="488">
                    <v>6月</v>
                  </pt>
                  <pt idx="489">
                    <v>7月</v>
                  </pt>
                  <pt idx="491">
                    <v>7月</v>
                  </pt>
                  <pt idx="492">
                    <v>7月</v>
                  </pt>
                  <pt idx="493">
                    <v>7月</v>
                  </pt>
                  <pt idx="494">
                    <v>7月</v>
                  </pt>
                  <pt idx="496">
                    <v>8月</v>
                  </pt>
                  <pt idx="497">
                    <v>8月</v>
                  </pt>
                  <pt idx="498">
                    <v>8月</v>
                  </pt>
                  <pt idx="500">
                    <v>9月</v>
                  </pt>
                  <pt idx="501">
                    <v>9月</v>
                  </pt>
                  <pt idx="502">
                    <v>9月</v>
                  </pt>
                  <pt idx="503">
                    <v>10月</v>
                  </pt>
                  <pt idx="505">
                    <v>10月</v>
                  </pt>
                  <pt idx="506">
                    <v>10月</v>
                  </pt>
                  <pt idx="507">
                    <v>１１月</v>
                  </pt>
                  <pt idx="508">
                    <v>10月</v>
                  </pt>
                  <pt idx="509">
                    <v>10月</v>
                  </pt>
                  <pt idx="510">
                    <v>10月</v>
                  </pt>
                  <pt idx="511">
                    <v>11月</v>
                  </pt>
                  <pt idx="513">
                    <v>11月</v>
                  </pt>
                  <pt idx="514">
                    <v>11月</v>
                  </pt>
                  <pt idx="515">
                    <v>11月</v>
                  </pt>
                  <pt idx="516">
                    <v>11月</v>
                  </pt>
                  <pt idx="517">
                    <v>11月</v>
                  </pt>
                  <pt idx="518">
                    <v>11月</v>
                  </pt>
                  <pt idx="519">
                    <v>11月</v>
                  </pt>
                  <pt idx="520">
                    <v>11月</v>
                  </pt>
                  <pt idx="521">
                    <v>11月</v>
                  </pt>
                  <pt idx="522">
                    <v>12月</v>
                  </pt>
                  <pt idx="523">
                    <v>11月</v>
                  </pt>
                  <pt idx="524">
                    <v>11月</v>
                  </pt>
                  <pt idx="525">
                    <v>11月</v>
                  </pt>
                  <pt idx="527">
                    <v>12月</v>
                  </pt>
                  <pt idx="529">
                    <v>2月</v>
                  </pt>
                  <pt idx="530">
                    <v>2月</v>
                  </pt>
                  <pt idx="531">
                    <v>2月</v>
                  </pt>
                  <pt idx="532">
                    <v>2月</v>
                  </pt>
                  <pt idx="534">
                    <v>2月</v>
                  </pt>
                  <pt idx="535">
                    <v>2月</v>
                  </pt>
                  <pt idx="536">
                    <v>2月</v>
                  </pt>
                  <pt idx="537">
                    <v>3月</v>
                  </pt>
                  <pt idx="538">
                    <v>3月</v>
                  </pt>
                  <pt idx="539">
                    <v>3月</v>
                  </pt>
                  <pt idx="540">
                    <v>3月</v>
                  </pt>
                  <pt idx="541">
                    <v>2月</v>
                  </pt>
                  <pt idx="542">
                    <v>2月</v>
                  </pt>
                  <pt idx="543">
                    <v>2月</v>
                  </pt>
                  <pt idx="544">
                    <v>2月</v>
                  </pt>
                  <pt idx="545">
                    <v>3月</v>
                  </pt>
                  <pt idx="547">
                    <v>4月</v>
                  </pt>
                  <pt idx="548">
                    <v>4月</v>
                  </pt>
                  <pt idx="549">
                    <v>4月</v>
                  </pt>
                  <pt idx="550">
                    <v>4月</v>
                  </pt>
                  <pt idx="551">
                    <v>4月</v>
                  </pt>
                  <pt idx="552">
                    <v>4月</v>
                  </pt>
                  <pt idx="553">
                    <v>4月</v>
                  </pt>
                  <pt idx="554">
                    <v>4月</v>
                  </pt>
                  <pt idx="555">
                    <v>4月</v>
                  </pt>
                  <pt idx="556">
                    <v>4月</v>
                  </pt>
                  <pt idx="557">
                    <v>4月</v>
                  </pt>
                  <pt idx="558">
                    <v>4月</v>
                  </pt>
                  <pt idx="559">
                    <v>４月</v>
                  </pt>
                  <pt idx="561">
                    <v>4月</v>
                  </pt>
                  <pt idx="562">
                    <v>4月</v>
                  </pt>
                  <pt idx="563">
                    <v>4月</v>
                  </pt>
                  <pt idx="564">
                    <v>4月</v>
                  </pt>
                  <pt idx="565">
                    <v>4月</v>
                  </pt>
                  <pt idx="566">
                    <v>4月</v>
                  </pt>
                  <pt idx="567">
                    <v>4月</v>
                  </pt>
                  <pt idx="568">
                    <v>4月</v>
                  </pt>
                  <pt idx="569">
                    <v>4月</v>
                  </pt>
                  <pt idx="570">
                    <v>4月</v>
                  </pt>
                  <pt idx="571">
                    <v>4月</v>
                  </pt>
                  <pt idx="572">
                    <v>4月</v>
                  </pt>
                  <pt idx="574">
                    <v>5月</v>
                  </pt>
                  <pt idx="575">
                    <v>5月</v>
                  </pt>
                  <pt idx="576">
                    <v>5月</v>
                  </pt>
                  <pt idx="577">
                    <v>5月</v>
                  </pt>
                  <pt idx="578">
                    <v>5月</v>
                  </pt>
                  <pt idx="579">
                    <v>5月</v>
                  </pt>
                  <pt idx="580">
                    <v>5月</v>
                  </pt>
                  <pt idx="581">
                    <v>5月</v>
                  </pt>
                  <pt idx="582">
                    <v>5月</v>
                  </pt>
                  <pt idx="583">
                    <v>5月</v>
                  </pt>
                  <pt idx="584">
                    <v>5月</v>
                  </pt>
                  <pt idx="585">
                    <v>5月</v>
                  </pt>
                  <pt idx="586">
                    <v>5月</v>
                  </pt>
                  <pt idx="587">
                    <v>5月</v>
                  </pt>
                  <pt idx="588">
                    <v>6月</v>
                  </pt>
                  <pt idx="589">
                    <v>6月</v>
                  </pt>
                  <pt idx="590">
                    <v>6月</v>
                  </pt>
                  <pt idx="591">
                    <v>6月</v>
                  </pt>
                  <pt idx="592">
                    <v>6月</v>
                  </pt>
                  <pt idx="595">
                    <v>7月</v>
                  </pt>
                  <pt idx="596">
                    <v>7月</v>
                  </pt>
                  <pt idx="597">
                    <v>7月</v>
                  </pt>
                  <pt idx="598">
                    <v>7月</v>
                  </pt>
                  <pt idx="599">
                    <v>7月</v>
                  </pt>
                  <pt idx="600">
                    <v>7月</v>
                  </pt>
                  <pt idx="601">
                    <v>7月</v>
                  </pt>
                  <pt idx="602">
                    <v>7月</v>
                  </pt>
                  <pt idx="603">
                    <v>7月</v>
                  </pt>
                  <pt idx="604">
                    <v>7月</v>
                  </pt>
                  <pt idx="605">
                    <v>7月</v>
                  </pt>
                  <pt idx="606">
                    <v>7月</v>
                  </pt>
                  <pt idx="608">
                    <v>8月</v>
                  </pt>
                  <pt idx="609">
                    <v>8月</v>
                  </pt>
                  <pt idx="610">
                    <v>8月</v>
                  </pt>
                  <pt idx="612">
                    <v>8月</v>
                  </pt>
                  <pt idx="613">
                    <v>8月</v>
                  </pt>
                  <pt idx="614">
                    <v>8月</v>
                  </pt>
                  <pt idx="615">
                    <v>8月</v>
                  </pt>
                  <pt idx="616">
                    <v>8月</v>
                  </pt>
                  <pt idx="617">
                    <v>8月</v>
                  </pt>
                  <pt idx="618">
                    <v>8月</v>
                  </pt>
                  <pt idx="619">
                    <v>8月</v>
                  </pt>
                  <pt idx="620">
                    <v>8月</v>
                  </pt>
                  <pt idx="623">
                    <v>8月</v>
                  </pt>
                  <pt idx="624">
                    <v>8月</v>
                  </pt>
                  <pt idx="625">
                    <v>8月</v>
                  </pt>
                  <pt idx="627">
                    <v>9月</v>
                  </pt>
                  <pt idx="628">
                    <v>9月</v>
                  </pt>
                  <pt idx="630">
                    <v>9月</v>
                  </pt>
                  <pt idx="631">
                    <v>9月</v>
                  </pt>
                  <pt idx="632">
                    <v>9月</v>
                  </pt>
                  <pt idx="633">
                    <v>9月</v>
                  </pt>
                  <pt idx="634">
                    <v>9月</v>
                  </pt>
                  <pt idx="636">
                    <v>10月</v>
                  </pt>
                  <pt idx="637">
                    <v>10月</v>
                  </pt>
                  <pt idx="638">
                    <v>10月</v>
                  </pt>
                  <pt idx="639">
                    <v>10月</v>
                  </pt>
                  <pt idx="640">
                    <v>10月</v>
                  </pt>
                  <pt idx="641">
                    <v>10月</v>
                  </pt>
                  <pt idx="642">
                    <v>10月</v>
                  </pt>
                  <pt idx="643">
                    <v>10月</v>
                  </pt>
                  <pt idx="644">
                    <v>10月</v>
                  </pt>
                  <pt idx="645">
                    <v>10月</v>
                  </pt>
                  <pt idx="646">
                    <v>10月</v>
                  </pt>
                  <pt idx="647">
                    <v>10月</v>
                  </pt>
                  <pt idx="649">
                    <v>10月</v>
                  </pt>
                  <pt idx="652">
                    <v>12月</v>
                  </pt>
                  <pt idx="653">
                    <v>12月</v>
                  </pt>
                  <pt idx="654">
                    <v>11月</v>
                  </pt>
                  <pt idx="655">
                    <v>12月</v>
                  </pt>
                  <pt idx="656">
                    <v>12月</v>
                  </pt>
                  <pt idx="657">
                    <v>11月</v>
                  </pt>
                  <pt idx="658">
                    <v>11月</v>
                  </pt>
                  <pt idx="660">
                    <v>12月</v>
                  </pt>
                  <pt idx="661">
                    <v>12月</v>
                  </pt>
                  <pt idx="662">
                    <v>12月</v>
                  </pt>
                  <pt idx="663">
                    <v>12月</v>
                  </pt>
                  <pt idx="664">
                    <v>1月</v>
                  </pt>
                  <pt idx="665">
                    <v>12月</v>
                  </pt>
                  <pt idx="666">
                    <v>12月</v>
                  </pt>
                  <pt idx="667">
                    <v>12月</v>
                  </pt>
                  <pt idx="668">
                    <v>12月</v>
                  </pt>
                  <pt idx="669">
                    <v>2月</v>
                  </pt>
                  <pt idx="670">
                    <v>2月</v>
                  </pt>
                  <pt idx="671">
                    <v>1月</v>
                  </pt>
                  <pt idx="673">
                    <v>2月</v>
                  </pt>
                  <pt idx="674">
                    <v>2月</v>
                  </pt>
                  <pt idx="675">
                    <v>1月</v>
                  </pt>
                  <pt idx="676">
                    <v>1月</v>
                  </pt>
                  <pt idx="677">
                    <v>1月</v>
                  </pt>
                  <pt idx="678">
                    <v>1月</v>
                  </pt>
                  <pt idx="680">
                    <v>2月</v>
                  </pt>
                  <pt idx="681">
                    <v>4月</v>
                  </pt>
                  <pt idx="682">
                    <v>3月</v>
                  </pt>
                  <pt idx="683">
                    <v>3月</v>
                  </pt>
                  <pt idx="684">
                    <v>3月</v>
                  </pt>
                  <pt idx="686">
                    <v>3月</v>
                  </pt>
                  <pt idx="687">
                    <v>3月</v>
                  </pt>
                  <pt idx="688">
                    <v>3月</v>
                  </pt>
                  <pt idx="689">
                    <v>3月</v>
                  </pt>
                  <pt idx="690">
                    <v>3月</v>
                  </pt>
                  <pt idx="691">
                    <v>3月</v>
                  </pt>
                  <pt idx="692">
                    <v>3月</v>
                  </pt>
                  <pt idx="693">
                    <v>3月</v>
                  </pt>
                  <pt idx="694">
                    <v>3月</v>
                  </pt>
                  <pt idx="695">
                    <v>3月</v>
                  </pt>
                  <pt idx="696">
                    <v>3月</v>
                  </pt>
                  <pt idx="697">
                    <v>2月</v>
                  </pt>
                  <pt idx="698">
                    <v>2月</v>
                  </pt>
                  <pt idx="699">
                    <v>3月</v>
                  </pt>
                  <pt idx="700">
                    <v>3月</v>
                  </pt>
                  <pt idx="701">
                    <v>3月</v>
                  </pt>
                  <pt idx="702">
                    <v>4月</v>
                  </pt>
                  <pt idx="703">
                    <v>4月</v>
                  </pt>
                  <pt idx="704">
                    <v>4月</v>
                  </pt>
                  <pt idx="705">
                    <v>4月</v>
                  </pt>
                  <pt idx="706">
                    <v>4月</v>
                  </pt>
                  <pt idx="707">
                    <v>4月</v>
                  </pt>
                  <pt idx="708">
                    <v>4月</v>
                  </pt>
                  <pt idx="709">
                    <v>4月</v>
                  </pt>
                  <pt idx="710">
                    <v>4月</v>
                  </pt>
                  <pt idx="711">
                    <v>4月</v>
                  </pt>
                  <pt idx="712">
                    <v>7月</v>
                  </pt>
                  <pt idx="713">
                    <v>7月</v>
                  </pt>
                  <pt idx="714">
                    <v>7月</v>
                  </pt>
                  <pt idx="715">
                    <v>7月</v>
                  </pt>
                  <pt idx="716">
                    <v>7月</v>
                  </pt>
                  <pt idx="717">
                    <v>7月</v>
                  </pt>
                  <pt idx="718">
                    <v>7月</v>
                  </pt>
                  <pt idx="719">
                    <v>7月</v>
                  </pt>
                  <pt idx="720">
                    <v>8月</v>
                  </pt>
                  <pt idx="721">
                    <v>8月</v>
                  </pt>
                  <pt idx="722">
                    <v>7月</v>
                  </pt>
                  <pt idx="723">
                    <v>7月</v>
                  </pt>
                  <pt idx="724">
                    <v>7月</v>
                  </pt>
                  <pt idx="725">
                    <v>7月</v>
                  </pt>
                  <pt idx="726">
                    <v>7月</v>
                  </pt>
                  <pt idx="727">
                    <v>7月</v>
                  </pt>
                  <pt idx="728">
                    <v>7月</v>
                  </pt>
                  <pt idx="730">
                    <v>8月</v>
                  </pt>
                </lvl>
                <lvl>
                  <pt idx="0">
                    <v>塗装</v>
                  </pt>
                  <pt idx="1">
                    <v>塗装</v>
                  </pt>
                  <pt idx="2">
                    <v>外構塗装</v>
                  </pt>
                  <pt idx="3">
                    <v>塗装</v>
                  </pt>
                  <pt idx="4">
                    <v>樋交換</v>
                  </pt>
                  <pt idx="5">
                    <v>カウンター塗装敷居*2</v>
                  </pt>
                  <pt idx="6">
                    <v>窓枠四方</v>
                  </pt>
                  <pt idx="7">
                    <v>敷居・引戸枠 洗面底板</v>
                  </pt>
                  <pt idx="8">
                    <v>浴室天井</v>
                  </pt>
                  <pt idx="9">
                    <v>レンジフード</v>
                  </pt>
                  <pt idx="10">
                    <v>レンジフード</v>
                  </pt>
                  <pt idx="11">
                    <v>カウンター</v>
                  </pt>
                  <pt idx="12">
                    <v>レンジフード</v>
                  </pt>
                  <pt idx="13">
                    <v>玄関ドア　部分</v>
                  </pt>
                  <pt idx="14">
                    <v>給湯器　タッチアップ</v>
                  </pt>
                  <pt idx="15">
                    <v>配管塗装（シルバ）</v>
                  </pt>
                  <pt idx="16">
                    <v>窓枠　手摺梯子</v>
                  </pt>
                  <pt idx="17">
                    <v>ロスナイ工事</v>
                  </pt>
                  <pt idx="18">
                    <v>トイレ工事</v>
                  </pt>
                  <pt idx="19">
                    <v>塗装</v>
                  </pt>
                  <pt idx="20">
                    <v>苔洗浄　12件</v>
                  </pt>
                  <pt idx="24">
                    <v>塗装</v>
                  </pt>
                  <pt idx="25">
                    <v>塗装</v>
                  </pt>
                  <pt idx="26">
                    <v>改装</v>
                  </pt>
                  <pt idx="27">
                    <v>塗装</v>
                  </pt>
                  <pt idx="28">
                    <v>塗装</v>
                  </pt>
                  <pt idx="32">
                    <v>塗装</v>
                  </pt>
                  <pt idx="33">
                    <v>塗装</v>
                  </pt>
                  <pt idx="34">
                    <v>塗装</v>
                  </pt>
                  <pt idx="35">
                    <v>新築</v>
                  </pt>
                  <pt idx="38">
                    <v>塗装</v>
                  </pt>
                  <pt idx="39">
                    <v>塗装</v>
                  </pt>
                  <pt idx="40">
                    <v>塗装</v>
                  </pt>
                  <pt idx="41">
                    <v>改修</v>
                  </pt>
                  <pt idx="45">
                    <v>塗装</v>
                  </pt>
                  <pt idx="46">
                    <v>塗装</v>
                  </pt>
                  <pt idx="47">
                    <v>塗装</v>
                  </pt>
                  <pt idx="48">
                    <v>塗装</v>
                  </pt>
                  <pt idx="49">
                    <v>塗装</v>
                  </pt>
                  <pt idx="50">
                    <v>塗装</v>
                  </pt>
                  <pt idx="51">
                    <v>塗装</v>
                  </pt>
                  <pt idx="52">
                    <v>塗装</v>
                  </pt>
                  <pt idx="53">
                    <v>リフォーム</v>
                  </pt>
                  <pt idx="57">
                    <v>リフォーム</v>
                  </pt>
                  <pt idx="58">
                    <v>塗装</v>
                  </pt>
                  <pt idx="59">
                    <v>塗装</v>
                  </pt>
                  <pt idx="60">
                    <v>塗装</v>
                  </pt>
                  <pt idx="61">
                    <v>キッチン交換</v>
                  </pt>
                  <pt idx="65">
                    <v>塗装</v>
                  </pt>
                  <pt idx="66">
                    <v>塗装</v>
                  </pt>
                  <pt idx="67">
                    <v>塗装</v>
                  </pt>
                  <pt idx="71">
                    <v>塗装</v>
                  </pt>
                  <pt idx="72">
                    <v>塗装　福島</v>
                  </pt>
                  <pt idx="73">
                    <v>塗装</v>
                  </pt>
                  <pt idx="74">
                    <v>塗装</v>
                  </pt>
                  <pt idx="75">
                    <v>塗装</v>
                  </pt>
                  <pt idx="76">
                    <v>塗装</v>
                  </pt>
                  <pt idx="77">
                    <v>雪止め設置</v>
                  </pt>
                  <pt idx="78">
                    <v>撤去工事</v>
                  </pt>
                  <pt idx="81">
                    <v>屋根塗装</v>
                  </pt>
                  <pt idx="82">
                    <v>屋根塗装</v>
                  </pt>
                  <pt idx="83">
                    <v>外壁交換</v>
                  </pt>
                  <pt idx="84">
                    <v>塗装</v>
                  </pt>
                  <pt idx="85">
                    <v>塗装</v>
                  </pt>
                  <pt idx="86">
                    <v>アスロック交換</v>
                  </pt>
                  <pt idx="87">
                    <v>浴室工事</v>
                  </pt>
                  <pt idx="88">
                    <v>内装・手すり・クロス</v>
                  </pt>
                  <pt idx="89">
                    <v>キッチン交換</v>
                  </pt>
                  <pt idx="90">
                    <v>塗装</v>
                  </pt>
                  <pt idx="91">
                    <v>塗装</v>
                  </pt>
                  <pt idx="92">
                    <v>塗装</v>
                  </pt>
                  <pt idx="96">
                    <v>塗装</v>
                  </pt>
                  <pt idx="97">
                    <v>塗装</v>
                  </pt>
                  <pt idx="98">
                    <v>塗装</v>
                  </pt>
                  <pt idx="99">
                    <v>塗装</v>
                  </pt>
                  <pt idx="100">
                    <v>キッチン交換　他</v>
                  </pt>
                  <pt idx="101">
                    <v>トイレユニット工事</v>
                  </pt>
                  <pt idx="102">
                    <v>塗装</v>
                  </pt>
                  <pt idx="103">
                    <v>塗装</v>
                  </pt>
                  <pt idx="104">
                    <v>塗装</v>
                  </pt>
                  <pt idx="105">
                    <v>塗装</v>
                  </pt>
                  <pt idx="106">
                    <v>塗装</v>
                  </pt>
                  <pt idx="110">
                    <v>塗装</v>
                  </pt>
                  <pt idx="111">
                    <v>塗装</v>
                  </pt>
                  <pt idx="112">
                    <v>屋根塗装</v>
                  </pt>
                  <pt idx="113">
                    <v>屋根塗装</v>
                  </pt>
                  <pt idx="117">
                    <v>塗装</v>
                  </pt>
                  <pt idx="118">
                    <v>塗装</v>
                  </pt>
                  <pt idx="119">
                    <v>浸水復旧</v>
                  </pt>
                  <pt idx="120">
                    <v>リフォーム</v>
                  </pt>
                  <pt idx="125">
                    <v>浸水復旧</v>
                  </pt>
                  <pt idx="126">
                    <v>浸水復旧　解体</v>
                  </pt>
                  <pt idx="130">
                    <v>浴室改修</v>
                  </pt>
                  <pt idx="131">
                    <v>塗装</v>
                  </pt>
                  <pt idx="132">
                    <v>樋交換</v>
                  </pt>
                  <pt idx="133">
                    <v>出窓漏水</v>
                  </pt>
                  <pt idx="137">
                    <v>内装リフォーム</v>
                  </pt>
                  <pt idx="138">
                    <v>LIXIL　トイレ改修</v>
                  </pt>
                  <pt idx="139">
                    <v>フタバ 浴室漏水</v>
                  </pt>
                  <pt idx="144">
                    <v>塗装（屋根なし</v>
                  </pt>
                  <pt idx="145">
                    <v>塗装</v>
                  </pt>
                  <pt idx="146">
                    <v>塗装+胴差</v>
                  </pt>
                  <pt idx="147">
                    <v>塗装＋胴差</v>
                  </pt>
                  <pt idx="148">
                    <v>足場+樋交換工事</v>
                  </pt>
                  <pt idx="149">
                    <v>足場+樋交換工事</v>
                  </pt>
                  <pt idx="150">
                    <v>物置塗装</v>
                  </pt>
                  <pt idx="151">
                    <v>雪止め設置</v>
                  </pt>
                  <pt idx="154">
                    <v>塗装</v>
                  </pt>
                  <pt idx="155">
                    <v>塗装+フェンス塗装</v>
                  </pt>
                  <pt idx="156">
                    <v>外壁交換</v>
                  </pt>
                  <pt idx="157">
                    <v>物置新設</v>
                  </pt>
                  <pt idx="158">
                    <v>トイレ・レンジフード交換</v>
                  </pt>
                  <pt idx="159">
                    <v>洗浄・基礎塗装・照明・アスロック</v>
                  </pt>
                  <pt idx="160">
                    <v>トイレ→SK</v>
                  </pt>
                  <pt idx="161">
                    <v>漏水対応</v>
                  </pt>
                  <pt idx="162">
                    <v>LIXIL UB改修</v>
                  </pt>
                  <pt idx="165">
                    <v>LIXIL　キッチン入替</v>
                  </pt>
                  <pt idx="166">
                    <v>屋根防水+塗装</v>
                  </pt>
                  <pt idx="167">
                    <v>壁張替</v>
                  </pt>
                  <pt idx="171">
                    <v>LIXIL　フェンス他多数</v>
                  </pt>
                  <pt idx="172">
                    <v>LIXILキッチン・浴室・トイレ・洗面台</v>
                  </pt>
                  <pt idx="173">
                    <v>塗装</v>
                  </pt>
                  <pt idx="174">
                    <v>塗装</v>
                  </pt>
                  <pt idx="178">
                    <v>塗装</v>
                  </pt>
                  <pt idx="179">
                    <v>LIXILキッチン・洗面</v>
                  </pt>
                  <pt idx="180">
                    <v>屋根塗装・内装</v>
                  </pt>
                  <pt idx="185">
                    <v>塗装</v>
                  </pt>
                  <pt idx="186">
                    <v>塗装</v>
                  </pt>
                  <pt idx="187">
                    <v>サステム　UB入替</v>
                  </pt>
                  <pt idx="188">
                    <v>和室改修</v>
                  </pt>
                  <pt idx="192">
                    <v>塗装</v>
                  </pt>
                  <pt idx="193">
                    <v>リフォーム</v>
                  </pt>
                  <pt idx="194">
                    <v>塗装</v>
                  </pt>
                  <pt idx="195">
                    <v>LIXIL　UB</v>
                  </pt>
                  <pt idx="196">
                    <v>塗装</v>
                  </pt>
                  <pt idx="197">
                    <v>塗装（吹付）</v>
                  </pt>
                  <pt idx="198">
                    <v>サステム　換気扇交換</v>
                  </pt>
                  <pt idx="199">
                    <v>サステム　便所改造</v>
                  </pt>
                  <pt idx="203">
                    <v>UB入替+外壁貼替</v>
                  </pt>
                  <pt idx="204">
                    <v>キッチン入替</v>
                  </pt>
                  <pt idx="205">
                    <v>UB入替</v>
                  </pt>
                  <pt idx="206">
                    <v>リフォーム</v>
                  </pt>
                  <pt idx="207">
                    <v>リフォーム</v>
                  </pt>
                  <pt idx="208">
                    <v>塗装</v>
                  </pt>
                  <pt idx="209">
                    <v>電気工事</v>
                  </pt>
                  <pt idx="210">
                    <v>和洋改修</v>
                  </pt>
                  <pt idx="214">
                    <v>UB+トイレ+給湯器工事</v>
                  </pt>
                  <pt idx="215">
                    <v>UB交換+給湯器</v>
                  </pt>
                  <pt idx="216">
                    <v>和・洋室改修</v>
                  </pt>
                  <pt idx="217">
                    <v>内装。大工</v>
                  </pt>
                  <pt idx="218">
                    <v>設備配管　大工</v>
                  </pt>
                  <pt idx="219">
                    <v>リフォーム</v>
                  </pt>
                  <pt idx="223">
                    <v>壁下地張替+店舗改装</v>
                  </pt>
                  <pt idx="224">
                    <v>店舗改装</v>
                  </pt>
                  <pt idx="225">
                    <v>新築</v>
                  </pt>
                  <pt idx="226">
                    <v>改修工事</v>
                  </pt>
                  <pt idx="227">
                    <v>漏水事故</v>
                  </pt>
                  <pt idx="232">
                    <v>全室クロス+畳+収納取付け</v>
                  </pt>
                  <pt idx="233">
                    <v>外壁塗装　外壁交換</v>
                  </pt>
                  <pt idx="235">
                    <v>キッチン入替</v>
                  </pt>
                  <pt idx="236">
                    <v>アスロック交換</v>
                  </pt>
                  <pt idx="237">
                    <v>テナント改修工事</v>
                  </pt>
                  <pt idx="238">
                    <v>テナント改修工事（事故）</v>
                  </pt>
                  <pt idx="240">
                    <v>塗装</v>
                  </pt>
                  <pt idx="241">
                    <v>フェンス・土間洗浄</v>
                  </pt>
                  <pt idx="242">
                    <v>ランドリー室工事+防炎仕様</v>
                  </pt>
                  <pt idx="245">
                    <v>フェンス工事</v>
                  </pt>
                  <pt idx="246">
                    <v>キッチン入替</v>
                  </pt>
                  <pt idx="247">
                    <v>キッチン下地・設備工事</v>
                  </pt>
                  <pt idx="251">
                    <v>天井断熱材入替+消臭</v>
                  </pt>
                  <pt idx="252">
                    <v>樋交換+塗装+桝設置</v>
                  </pt>
                  <pt idx="253">
                    <v>タイル→UB　キッチントイレ交換</v>
                  </pt>
                  <pt idx="254">
                    <v>内装工事</v>
                  </pt>
                  <pt idx="257">
                    <v>トイレ交換 建具交換　手すり取付け</v>
                  </pt>
                  <pt idx="258">
                    <v>押入改修</v>
                  </pt>
                  <pt idx="259">
                    <v>床の間改修</v>
                  </pt>
                  <pt idx="260">
                    <v>101漏水工事</v>
                  </pt>
                  <pt idx="261">
                    <v>塗装</v>
                  </pt>
                  <pt idx="262">
                    <v>リノベーション</v>
                  </pt>
                  <pt idx="263">
                    <v>リノベーション</v>
                  </pt>
                  <pt idx="264">
                    <v>内装・外装工事</v>
                  </pt>
                  <pt idx="265">
                    <v>UB交換</v>
                  </pt>
                  <pt idx="268">
                    <v>屋根塗装+シーリング</v>
                  </pt>
                  <pt idx="269">
                    <v>屋根塗装+内部改修</v>
                  </pt>
                  <pt idx="270">
                    <v>浴室改修工事</v>
                  </pt>
                  <pt idx="271">
                    <v>塗装</v>
                  </pt>
                  <pt idx="272">
                    <v>塗装</v>
                  </pt>
                  <pt idx="273">
                    <v>フェンス工事</v>
                  </pt>
                  <pt idx="274">
                    <v>白線、物置塗装工事</v>
                  </pt>
                  <pt idx="275">
                    <v>壁改修工事</v>
                  </pt>
                  <pt idx="278">
                    <v>LDK木工事 キッチン交換 トイレ交換</v>
                  </pt>
                  <pt idx="279">
                    <v>樋交換</v>
                  </pt>
                  <pt idx="281">
                    <v>追加電気 内装、木工事</v>
                  </pt>
                  <pt idx="282">
                    <v>浴室ドア、換気扇、化粧台、トイレ</v>
                  </pt>
                  <pt idx="283">
                    <v>防水工事</v>
                  </pt>
                  <pt idx="286">
                    <v>フルリフォーム</v>
                  </pt>
                  <pt idx="287">
                    <v>UB入替</v>
                  </pt>
                  <pt idx="296">
                    <v>外壁張替</v>
                  </pt>
                  <pt idx="299">
                    <v>塗装</v>
                  </pt>
                  <pt idx="300">
                    <v>フェンス</v>
                  </pt>
                  <pt idx="301">
                    <v>内装</v>
                  </pt>
                  <pt idx="302">
                    <v>メーター交換</v>
                  </pt>
                  <pt idx="303">
                    <v>外壁工事</v>
                  </pt>
                  <pt idx="307">
                    <v>リノベーション</v>
                  </pt>
                  <pt idx="308">
                    <v>リノベーション</v>
                  </pt>
                  <pt idx="309">
                    <v>リノベーション</v>
                  </pt>
                  <pt idx="310">
                    <v>改修工事</v>
                  </pt>
                  <pt idx="311">
                    <v>退去以外　リノベ金額</v>
                  </pt>
                  <pt idx="314">
                    <v>UB・トイレ交換</v>
                  </pt>
                  <pt idx="315">
                    <v>リノベーション</v>
                  </pt>
                  <pt idx="316">
                    <v>塗装</v>
                  </pt>
                  <pt idx="317">
                    <v>ユイットバス解体　処分</v>
                  </pt>
                  <pt idx="320">
                    <v>塗装</v>
                  </pt>
                  <pt idx="321">
                    <v>塗装</v>
                  </pt>
                  <pt idx="324">
                    <v>塗装</v>
                  </pt>
                  <pt idx="325">
                    <v>トイレ内装</v>
                  </pt>
                  <pt idx="326">
                    <v>トイレ一次工事</v>
                  </pt>
                  <pt idx="327">
                    <v>UB工事</v>
                  </pt>
                  <pt idx="330">
                    <v>リノベーション</v>
                  </pt>
                  <pt idx="331">
                    <v>UB入替</v>
                  </pt>
                  <pt idx="332">
                    <v>リフォーム</v>
                  </pt>
                  <pt idx="333">
                    <v>塗装</v>
                  </pt>
                  <pt idx="334">
                    <v>塗装</v>
                  </pt>
                  <pt idx="335">
                    <v>UB入替</v>
                  </pt>
                  <pt idx="336">
                    <v>軒天張替</v>
                  </pt>
                  <pt idx="338">
                    <v>塗装</v>
                  </pt>
                  <pt idx="339">
                    <v>階段工事</v>
                  </pt>
                  <pt idx="340">
                    <v>化粧台・手摺</v>
                  </pt>
                  <pt idx="341">
                    <v>大工・内装</v>
                  </pt>
                  <pt idx="342">
                    <v>大工・内装</v>
                  </pt>
                  <pt idx="343">
                    <v>樋交換+雪止め</v>
                  </pt>
                  <pt idx="344">
                    <v>樋交換+雪止め</v>
                  </pt>
                  <pt idx="347">
                    <v>屋根塗装　樋交換　雪止め　フェンス</v>
                  </pt>
                  <pt idx="348">
                    <v>塗装・注入</v>
                  </pt>
                  <pt idx="349">
                    <v>塗装</v>
                  </pt>
                  <pt idx="350">
                    <v>解体工事</v>
                  </pt>
                  <pt idx="352">
                    <v>足場 クロス 化粧台 大工</v>
                  </pt>
                  <pt idx="353">
                    <v>内装リノベ</v>
                  </pt>
                  <pt idx="354">
                    <v>樋・雪止め</v>
                  </pt>
                  <pt idx="355">
                    <v>樋・雪止め</v>
                  </pt>
                  <pt idx="358">
                    <v>塗装</v>
                  </pt>
                  <pt idx="359">
                    <v>UB・K・トイレ入替</v>
                  </pt>
                  <pt idx="360">
                    <v>UB入替</v>
                  </pt>
                  <pt idx="361">
                    <v>UB・化粧台</v>
                  </pt>
                  <pt idx="364">
                    <v>コイン新築</v>
                  </pt>
                  <pt idx="365">
                    <v>リノベーション</v>
                  </pt>
                  <pt idx="366">
                    <v>プチリノベ</v>
                  </pt>
                  <pt idx="367">
                    <v>リフォーム</v>
                  </pt>
                  <pt idx="368">
                    <v>リフォーム</v>
                  </pt>
                  <pt idx="369">
                    <v>塗装</v>
                  </pt>
                  <pt idx="370">
                    <v>コイン改修</v>
                  </pt>
                  <pt idx="371">
                    <v>防水・塗装</v>
                  </pt>
                  <pt idx="372">
                    <v>通路天井塗装・シール</v>
                  </pt>
                  <pt idx="373">
                    <v>1F塗装</v>
                  </pt>
                  <pt idx="374">
                    <v>内装</v>
                  </pt>
                  <pt idx="378">
                    <v>樋交換　塗装</v>
                  </pt>
                  <pt idx="379">
                    <v>塗装</v>
                  </pt>
                  <pt idx="380">
                    <v>温水器・湯沸かし器取付け</v>
                  </pt>
                  <pt idx="381">
                    <v>温水器→エコキュート　+給湯管入替</v>
                  </pt>
                  <pt idx="382">
                    <v>リフォーム工事</v>
                  </pt>
                  <pt idx="383">
                    <v>雪止め設置+樋交換</v>
                  </pt>
                  <pt idx="386">
                    <v>リフォーム</v>
                  </pt>
                  <pt idx="387">
                    <v>機器入替　大工電気内装</v>
                  </pt>
                  <pt idx="388">
                    <v>照明・ﾀｲﾏｰ水栓交換</v>
                  </pt>
                  <pt idx="389">
                    <v>リノベーション</v>
                  </pt>
                  <pt idx="392">
                    <v>18室工事</v>
                  </pt>
                  <pt idx="393">
                    <v>部屋ごと工事</v>
                  </pt>
                  <pt idx="394">
                    <v>追加工事Ｂ112A201漏水復旧工事</v>
                  </pt>
                  <pt idx="395">
                    <v>樋交換+塗装</v>
                  </pt>
                  <pt idx="396">
                    <v>内装</v>
                  </pt>
                  <pt idx="397">
                    <v>漏水復旧</v>
                  </pt>
                  <pt idx="398">
                    <v>リノベーション</v>
                  </pt>
                  <pt idx="399">
                    <v>リフォーム</v>
                  </pt>
                  <pt idx="400">
                    <v>軒天貼替</v>
                  </pt>
                  <pt idx="403">
                    <v>リノベーション工事</v>
                  </pt>
                  <pt idx="404">
                    <v>追加内装工事1回目</v>
                  </pt>
                  <pt idx="405">
                    <v>塗装</v>
                  </pt>
                  <pt idx="406">
                    <v>漏水復旧</v>
                  </pt>
                  <pt idx="408">
                    <v>増築工事</v>
                  </pt>
                  <pt idx="409">
                    <v>内装工事</v>
                  </pt>
                  <pt idx="410">
                    <v>キッチン増設</v>
                  </pt>
                  <pt idx="411">
                    <v>IH、ﾚﾝｼﾞﾌｰﾄﾞ、ｦｰﾙﾋｰﾄ、専用回路</v>
                  </pt>
                  <pt idx="412">
                    <v>IH交換</v>
                  </pt>
                  <pt idx="414">
                    <v>キッチン入替</v>
                  </pt>
                  <pt idx="415">
                    <v>UB入替　大工工事　設備入替</v>
                  </pt>
                  <pt idx="416">
                    <v>塗装</v>
                  </pt>
                  <pt idx="417">
                    <v>リノベーション</v>
                  </pt>
                  <pt idx="418">
                    <v>リフォーム　キッチン UB入替</v>
                  </pt>
                  <pt idx="420">
                    <v>床排水工事+内装工事</v>
                  </pt>
                  <pt idx="422">
                    <v>新築工事</v>
                  </pt>
                  <pt idx="423">
                    <v>浴室・洗面改修</v>
                  </pt>
                  <pt idx="424">
                    <v>漏水　内装</v>
                  </pt>
                  <pt idx="426">
                    <v>ｼｬﾜｰﾄｲﾚ取付け</v>
                  </pt>
                  <pt idx="427">
                    <v>軒天張替外壁補修</v>
                  </pt>
                  <pt idx="428">
                    <v>ｷｯﾁﾝ交換工事</v>
                  </pt>
                  <pt idx="429">
                    <v>テナント・共有部改修</v>
                  </pt>
                  <pt idx="430">
                    <v>スペーサー取付け</v>
                  </pt>
                  <pt idx="431">
                    <v>高山さん妻実家塗装</v>
                  </pt>
                  <pt idx="432">
                    <v>鉄骨補修工事</v>
                  </pt>
                  <pt idx="433">
                    <v>リフォーム工事</v>
                  </pt>
                  <pt idx="434">
                    <v>塗装工事</v>
                  </pt>
                  <pt idx="435">
                    <v>塗装</v>
                  </pt>
                  <pt idx="436">
                    <v>積水RF K　UB　WC　洗面交換</v>
                  </pt>
                  <pt idx="437">
                    <v>塗装</v>
                  </pt>
                  <pt idx="438">
                    <v>ｷｯﾁﾝ・洗面・UB・便器</v>
                  </pt>
                  <pt idx="439">
                    <v>洗面床張替</v>
                  </pt>
                  <pt idx="440">
                    <v>ダクト工事（１期）</v>
                  </pt>
                  <pt idx="441">
                    <v>ダクト工事（2期）</v>
                  </pt>
                  <pt idx="443">
                    <v>トイレ改修</v>
                  </pt>
                  <pt idx="444">
                    <v>和室改修工事</v>
                  </pt>
                  <pt idx="445">
                    <v>コイン新築工事</v>
                  </pt>
                  <pt idx="446">
                    <v>UB入替</v>
                  </pt>
                  <pt idx="448">
                    <v>換気扇工事</v>
                  </pt>
                  <pt idx="450">
                    <v>鼻隠し修繕</v>
                  </pt>
                  <pt idx="451">
                    <v>リノベーション</v>
                  </pt>
                  <pt idx="452">
                    <v>フローリング工事</v>
                  </pt>
                  <pt idx="453">
                    <v>トイレ工事</v>
                  </pt>
                  <pt idx="454">
                    <v>内装</v>
                  </pt>
                  <pt idx="455">
                    <v>内装</v>
                  </pt>
                  <pt idx="456">
                    <v>TV壁掛け</v>
                  </pt>
                  <pt idx="457">
                    <v>塗装</v>
                  </pt>
                  <pt idx="459">
                    <v>コイン改修</v>
                  </pt>
                  <pt idx="460">
                    <v>UB入替</v>
                  </pt>
                  <pt idx="461">
                    <v>改修工事</v>
                  </pt>
                  <pt idx="463">
                    <v>3部屋工事</v>
                  </pt>
                  <pt idx="465">
                    <v>エコキュート交換</v>
                  </pt>
                  <pt idx="466">
                    <v>便器交換</v>
                  </pt>
                  <pt idx="467">
                    <v>天井ソーラトン張り</v>
                  </pt>
                  <pt idx="468">
                    <v>防水・シーリング</v>
                  </pt>
                  <pt idx="469">
                    <v>リフォーム工事</v>
                  </pt>
                  <pt idx="470">
                    <v>トイレ→シャワーユニット</v>
                  </pt>
                  <pt idx="471">
                    <v>キッチン入替</v>
                  </pt>
                  <pt idx="472">
                    <v>塗装</v>
                  </pt>
                  <pt idx="473">
                    <v>五大保険工事</v>
                  </pt>
                  <pt idx="476">
                    <v>UB入替</v>
                  </pt>
                  <pt idx="477">
                    <v>ガス→IH</v>
                  </pt>
                  <pt idx="478">
                    <v>便器交換</v>
                  </pt>
                  <pt idx="479">
                    <v>現場不足分補填</v>
                  </pt>
                  <pt idx="480">
                    <v>UB入替</v>
                  </pt>
                  <pt idx="481">
                    <v>インプラス下地工事</v>
                  </pt>
                  <pt idx="482">
                    <v>床清掃　什器清掃</v>
                  </pt>
                  <pt idx="483">
                    <v>入口ドア交換</v>
                  </pt>
                  <pt idx="484">
                    <v>リノベ</v>
                  </pt>
                  <pt idx="485">
                    <v>便器交換</v>
                  </pt>
                  <pt idx="486">
                    <v>便器交換</v>
                  </pt>
                  <pt idx="487">
                    <v>階段手摺取付け</v>
                  </pt>
                  <pt idx="488">
                    <v>軒樋交換　屋根補修</v>
                  </pt>
                  <pt idx="489">
                    <v>店舗新築工事</v>
                  </pt>
                  <pt idx="491">
                    <v>リノベーション</v>
                  </pt>
                  <pt idx="492">
                    <v>インプラス窓ふかし　建具詰め</v>
                  </pt>
                  <pt idx="493">
                    <v>防音フローリング+クロス</v>
                  </pt>
                  <pt idx="494">
                    <v>キッチン入替</v>
                  </pt>
                  <pt idx="496">
                    <v>在来→UB　間仕切り移設</v>
                  </pt>
                  <pt idx="497">
                    <v>キッチン　ﾄｲﾚ交換</v>
                  </pt>
                  <pt idx="498">
                    <v>電気工事</v>
                  </pt>
                  <pt idx="500">
                    <v>タイル→UB工事</v>
                  </pt>
                  <pt idx="501">
                    <v>LIXIL</v>
                  </pt>
                  <pt idx="502">
                    <v>リノベ</v>
                  </pt>
                  <pt idx="503">
                    <v>タイル→UB工事</v>
                  </pt>
                  <pt idx="505">
                    <v>浴室改修工事</v>
                  </pt>
                  <pt idx="506">
                    <v>フローリング工事貼替</v>
                  </pt>
                  <pt idx="507">
                    <v>リフォーム工事</v>
                  </pt>
                  <pt idx="508">
                    <v>トイレ改修</v>
                  </pt>
                  <pt idx="509">
                    <v>便器交換+パネル貼り</v>
                  </pt>
                  <pt idx="510">
                    <v>トイレタンク漏水修理</v>
                  </pt>
                  <pt idx="511">
                    <v>キッチン　UB　トイレ　エコカラット</v>
                  </pt>
                  <pt idx="513">
                    <v>UB入替</v>
                  </pt>
                  <pt idx="514">
                    <v>キッチン　収納電気、内装</v>
                  </pt>
                  <pt idx="515">
                    <v>便器交換+内装</v>
                  </pt>
                  <pt idx="516">
                    <v>便器交換</v>
                  </pt>
                  <pt idx="517">
                    <v>フォグラスシート+ホスクリーン2箇所</v>
                  </pt>
                  <pt idx="518">
                    <v>樋交換・雪止め設置</v>
                  </pt>
                  <pt idx="519">
                    <v>UB入替　化粧台脱着</v>
                  </pt>
                  <pt idx="520">
                    <v>UB入替</v>
                  </pt>
                  <pt idx="521">
                    <v>UB入替解体のみ</v>
                  </pt>
                  <pt idx="522">
                    <v>キッチン取付け</v>
                  </pt>
                  <pt idx="523">
                    <v>洗濯ﾊﾟﾝ・洗濯機脱着</v>
                  </pt>
                  <pt idx="524">
                    <v>インプラス枠工事</v>
                  </pt>
                  <pt idx="525">
                    <v>屋根補修　シール　板金</v>
                  </pt>
                  <pt idx="527">
                    <v>リビング改修</v>
                  </pt>
                  <pt idx="529">
                    <v>バルコニー交換</v>
                  </pt>
                  <pt idx="530">
                    <v>リノベ―ション工事</v>
                  </pt>
                  <pt idx="531">
                    <v>漏水復旧工事</v>
                  </pt>
                  <pt idx="532">
                    <v>退去工事</v>
                  </pt>
                  <pt idx="534">
                    <v>コインランドリー新築</v>
                  </pt>
                  <pt idx="535">
                    <v>玄関タイル補修</v>
                  </pt>
                  <pt idx="536">
                    <v>可動棚設置</v>
                  </pt>
                  <pt idx="537">
                    <v>B108.110.111　基本</v>
                  </pt>
                  <pt idx="538">
                    <v>B108.110.111　改修</v>
                  </pt>
                  <pt idx="540">
                    <v>工場解体</v>
                  </pt>
                  <pt idx="541">
                    <v>床張り工事</v>
                  </pt>
                  <pt idx="543">
                    <v>エコカラット・アクセントクロス</v>
                  </pt>
                  <pt idx="544">
                    <v>化粧台取付け工事</v>
                  </pt>
                  <pt idx="545">
                    <v>UB　化粧台　トイレ</v>
                  </pt>
                  <pt idx="547">
                    <v>屋根工事　外壁塗装</v>
                  </pt>
                  <pt idx="548">
                    <v>屋根、外壁塗装</v>
                  </pt>
                  <pt idx="549">
                    <v>屋根、外壁塗装</v>
                  </pt>
                  <pt idx="550">
                    <v>屋根修理</v>
                  </pt>
                  <pt idx="551">
                    <v>リフォーム工事</v>
                  </pt>
                  <pt idx="552">
                    <v>UB入替</v>
                  </pt>
                  <pt idx="553">
                    <v>ガラスシート工事</v>
                  </pt>
                  <pt idx="554">
                    <v>フェンスブロック　コンテナ撤去</v>
                  </pt>
                  <pt idx="555">
                    <v>クロス・カーペット他</v>
                  </pt>
                  <pt idx="556">
                    <v>トイレ交換　産廃運搬</v>
                  </pt>
                  <pt idx="557">
                    <v>UBシート張り</v>
                  </pt>
                  <pt idx="558">
                    <v>カーポート電源工事</v>
                  </pt>
                  <pt idx="559">
                    <v>タッチアップ</v>
                  </pt>
                  <pt idx="561">
                    <v>屋根工事</v>
                  </pt>
                  <pt idx="562">
                    <v>UB入替　化粧台入替</v>
                  </pt>
                  <pt idx="563">
                    <v>浴室乾燥　洗面暖房工事</v>
                  </pt>
                  <pt idx="564">
                    <v>ﾚﾝｼﾞﾌｰﾄﾞ交換　キッチン水栓交換</v>
                  </pt>
                  <pt idx="565">
                    <v>UB入替</v>
                  </pt>
                  <pt idx="567">
                    <v>植栽剪定</v>
                  </pt>
                  <pt idx="568">
                    <v>ヒーター巻き トイレ交換 水栓交換</v>
                  </pt>
                  <pt idx="569">
                    <v>東杜シーテック　漏水工事</v>
                  </pt>
                  <pt idx="570">
                    <v>吸着フロア張り</v>
                  </pt>
                  <pt idx="571">
                    <v>バルコニータイル　浴室水栓</v>
                  </pt>
                  <pt idx="572">
                    <v>雨漏れ　内装</v>
                  </pt>
                  <pt idx="574">
                    <v>エコカラット</v>
                  </pt>
                  <pt idx="575">
                    <v>キッチン・UB・トイレ</v>
                  </pt>
                  <pt idx="576">
                    <v>トイレ交換　エコカラット　インプラス枠</v>
                  </pt>
                  <pt idx="577">
                    <v>ｽｲｯﾁ追加　絵k商大LED</v>
                  </pt>
                  <pt idx="578">
                    <v>インプラス枠　壁断熱工事</v>
                  </pt>
                  <pt idx="579">
                    <v>積上げ　キッチン交換</v>
                  </pt>
                  <pt idx="580">
                    <v>積上げ　キッチン交換</v>
                  </pt>
                  <pt idx="581">
                    <v>積上げ　キッチン交換</v>
                  </pt>
                  <pt idx="582">
                    <v>積上げ　キッチン交換</v>
                  </pt>
                  <pt idx="583">
                    <v>積上げ　キッチン交換</v>
                  </pt>
                  <pt idx="584">
                    <v>PB貼替</v>
                  </pt>
                  <pt idx="585">
                    <v>青野さん　シューズ追加</v>
                  </pt>
                  <pt idx="586">
                    <v>内装工事</v>
                  </pt>
                  <pt idx="587">
                    <v>キッチン給湯器交換</v>
                  </pt>
                  <pt idx="588">
                    <v>一面塗装工事</v>
                  </pt>
                  <pt idx="589">
                    <v>クロス・HC</v>
                  </pt>
                  <pt idx="590">
                    <v>塗装・HC</v>
                  </pt>
                  <pt idx="591">
                    <v>トイレ塗装</v>
                  </pt>
                  <pt idx="592">
                    <v>エアコン周り大工+塗装</v>
                  </pt>
                  <pt idx="595">
                    <v>エアコン取付・専用回路</v>
                  </pt>
                  <pt idx="596">
                    <v>FFヒーター撤去</v>
                  </pt>
                  <pt idx="597">
                    <v>キッチン・UB・ドアホン</v>
                  </pt>
                  <pt idx="598">
                    <v>キッチン・UB・ドアホン</v>
                  </pt>
                  <pt idx="599">
                    <v>キッチン・ドアホン</v>
                  </pt>
                  <pt idx="600">
                    <v>動力ブレーカー交換・漏電調査・動力電源</v>
                  </pt>
                  <pt idx="601">
                    <v>ガス工事</v>
                  </pt>
                  <pt idx="602">
                    <v>砂利敷工事</v>
                  </pt>
                  <pt idx="603">
                    <v>網戸交換</v>
                  </pt>
                  <pt idx="604">
                    <v>内装工事</v>
                  </pt>
                  <pt idx="605">
                    <v>便器交換</v>
                  </pt>
                  <pt idx="606">
                    <v>ウッドデッキ交換</v>
                  </pt>
                  <pt idx="608">
                    <v>漏水復旧工事</v>
                  </pt>
                  <pt idx="609">
                    <v>UB・トイレ工事</v>
                  </pt>
                  <pt idx="610">
                    <v>浴室乾燥暖房交換</v>
                  </pt>
                  <pt idx="612">
                    <v>漏水復旧工事</v>
                  </pt>
                  <pt idx="613">
                    <v>クロス</v>
                  </pt>
                  <pt idx="614">
                    <v>トイレ交換</v>
                  </pt>
                  <pt idx="615">
                    <v>電気・カウンター撤去・内装</v>
                  </pt>
                  <pt idx="616">
                    <v>キッチン交換</v>
                  </pt>
                  <pt idx="617">
                    <v>キッチン・UB・ドアホン</v>
                  </pt>
                  <pt idx="618">
                    <v>キッチン・UB・ドアホン</v>
                  </pt>
                  <pt idx="619">
                    <v>店舗造作</v>
                  </pt>
                  <pt idx="620">
                    <v>トイレ・化粧台 ｲﾝﾀｰ・浴室水栓</v>
                  </pt>
                  <pt idx="623">
                    <v>コンセント移設工事</v>
                  </pt>
                  <pt idx="624">
                    <v>キッチン・UB・インターホン</v>
                  </pt>
                  <pt idx="625">
                    <v>内装工事</v>
                  </pt>
                  <pt idx="626">
                    <v>内装工事</v>
                  </pt>
                  <pt idx="627">
                    <v>部品交換</v>
                  </pt>
                  <pt idx="628">
                    <v>水栓交換</v>
                  </pt>
                  <pt idx="630">
                    <v>屋根塗装</v>
                  </pt>
                  <pt idx="631">
                    <v>UB・化粧台工事</v>
                  </pt>
                  <pt idx="632">
                    <v>インプラス枠</v>
                  </pt>
                  <pt idx="633">
                    <v>キッチン水栓・ガスコンロ　エコカラット工事</v>
                  </pt>
                  <pt idx="634">
                    <v>トイレ交換　キッチン床</v>
                  </pt>
                  <pt idx="636">
                    <v>トイレ交換　照明・エコカラット</v>
                  </pt>
                  <pt idx="637">
                    <v>UB・洗面所工事</v>
                  </pt>
                  <pt idx="640">
                    <v>ガードポール交換　清野</v>
                  </pt>
                  <pt idx="642">
                    <v>体育館工事　テナント外壁補修</v>
                  </pt>
                  <pt idx="643">
                    <v>ブラインド取付</v>
                  </pt>
                  <pt idx="644">
                    <v>UB・キッチン　リノベ</v>
                  </pt>
                  <pt idx="645">
                    <v>キッチン入替 インターホン ジャック</v>
                  </pt>
                  <pt idx="646">
                    <v>リフォーム工事</v>
                  </pt>
                  <pt idx="647">
                    <v>洗浄・シール・玄関ドアシート</v>
                  </pt>
                  <pt idx="649">
                    <v>UB・便器交換</v>
                  </pt>
                  <pt idx="652">
                    <v>UB,トイレ内装工事</v>
                  </pt>
                  <pt idx="653">
                    <v>インプラス・化粧台・内装</v>
                  </pt>
                  <pt idx="654">
                    <v>インプラス　押入</v>
                  </pt>
                  <pt idx="655">
                    <v>便器交換</v>
                  </pt>
                  <pt idx="656">
                    <v>給湯器交換</v>
                  </pt>
                  <pt idx="657">
                    <v>エアコン交換</v>
                  </pt>
                  <pt idx="658">
                    <v>外壁</v>
                  </pt>
                  <pt idx="660">
                    <v>101漏水復旧工事</v>
                  </pt>
                  <pt idx="661">
                    <v>フローリング工事</v>
                  </pt>
                  <pt idx="662">
                    <v>フローリング工事重ね張り</v>
                  </pt>
                  <pt idx="663">
                    <v>UB入替</v>
                  </pt>
                  <pt idx="664">
                    <v>サッシ脱着</v>
                  </pt>
                  <pt idx="665">
                    <v>便器交換</v>
                  </pt>
                  <pt idx="666">
                    <v>便座交換</v>
                  </pt>
                  <pt idx="667">
                    <v>リビングクロス工事</v>
                  </pt>
                  <pt idx="668">
                    <v>脱衣所エアコン交換</v>
                  </pt>
                  <pt idx="669">
                    <v>UBキッチントイレ洗面　居室床</v>
                  </pt>
                  <pt idx="670">
                    <v>UBキッチントイレ洗面　床重ね張り</v>
                  </pt>
                  <pt idx="671">
                    <v>ユニットバス入替</v>
                  </pt>
                  <pt idx="673">
                    <v>手摺取付け</v>
                  </pt>
                  <pt idx="674">
                    <v>水栓交換　二カ所</v>
                  </pt>
                  <pt idx="675">
                    <v>キッチン交換</v>
                  </pt>
                  <pt idx="676">
                    <v>レフィアント70000コンフォーザ110000</v>
                  </pt>
                  <pt idx="677">
                    <v>充電器取付</v>
                  </pt>
                  <pt idx="678">
                    <v>ウッドフェンス取付</v>
                  </pt>
                  <pt idx="680">
                    <v>キッチン、UB、トイレ洗面　床重ね張り</v>
                  </pt>
                  <pt idx="681">
                    <v>CF張替</v>
                  </pt>
                  <pt idx="682">
                    <v>トイレ・洗面交換</v>
                  </pt>
                  <pt idx="683">
                    <v>塗装工事</v>
                  </pt>
                  <pt idx="684">
                    <v>開口塞ぎ工事</v>
                  </pt>
                  <pt idx="686">
                    <v>トイレ交換</v>
                  </pt>
                  <pt idx="687">
                    <v>通路柱交換</v>
                  </pt>
                  <pt idx="688">
                    <v>塗装工事+ポリカ屋根交換+ガラス交換</v>
                  </pt>
                  <pt idx="689">
                    <v>ｶｯﾌﾟﾎﾞｰﾄﾞ設置（下地のみ）</v>
                  </pt>
                  <pt idx="690">
                    <v>キッチン水栓補修</v>
                  </pt>
                  <pt idx="691">
                    <v>換気扇取付</v>
                  </pt>
                  <pt idx="692">
                    <v>間仕切り造作工事</v>
                  </pt>
                  <pt idx="693">
                    <v>アンペア変更工事</v>
                  </pt>
                  <pt idx="694">
                    <v>退去工事5年目17室</v>
                  </pt>
                  <pt idx="695">
                    <v>天井クロス貼替</v>
                  </pt>
                  <pt idx="696">
                    <v>シンク排水漏れ　天井補修　換気扇調整</v>
                  </pt>
                  <pt idx="697">
                    <v>ガーデンパン設置</v>
                  </pt>
                  <pt idx="698">
                    <v>床工事</v>
                  </pt>
                  <pt idx="699">
                    <v>壁塞ぎ</v>
                  </pt>
                  <pt idx="700">
                    <v>トイレ工事</v>
                  </pt>
                  <pt idx="701">
                    <v>UB漏水</v>
                  </pt>
                  <pt idx="702">
                    <v>ユニット解体</v>
                  </pt>
                  <pt idx="703">
                    <v>ユニット交換+SK交換</v>
                  </pt>
                  <pt idx="704">
                    <v>内装・トイレ・玄関塗装</v>
                  </pt>
                  <pt idx="705">
                    <v>トイレ交換</v>
                  </pt>
                  <pt idx="706">
                    <v>内装補修</v>
                  </pt>
                  <pt idx="707">
                    <v>洗濯機・乾燥機設置</v>
                  </pt>
                  <pt idx="708">
                    <v>屋根飛び被害復旧</v>
                  </pt>
                  <pt idx="709">
                    <v>ｶｯﾌﾟﾎﾞｰﾄﾞ設置（下地のみ）</v>
                  </pt>
                  <pt idx="710">
                    <v>換気扇跡補修工事</v>
                  </pt>
                  <pt idx="711">
                    <v>点検口開口</v>
                  </pt>
                  <pt idx="712">
                    <v>電動昇降棚入替（電気結線込）</v>
                  </pt>
                  <pt idx="713">
                    <v>シャッターつまみ補修</v>
                  </pt>
                  <pt idx="714">
                    <v>トイレ交換+CF張替</v>
                  </pt>
                  <pt idx="715">
                    <v>トイレ交換+CF・クロス+エコカラット</v>
                  </pt>
                  <pt idx="716">
                    <v>トイレ交換2台+ボード貼替+内装+エコカラット</v>
                  </pt>
                  <pt idx="717">
                    <v>クロス張替（階段含む）+美装</v>
                  </pt>
                  <pt idx="718">
                    <v>紙巻器移設・クロス貼替（手直し）</v>
                  </pt>
                  <pt idx="719">
                    <v>SB・トイレ・レンジフード・コンロ交換</v>
                  </pt>
                  <pt idx="720">
                    <v>UB・水回り交換+床上張り+内装一式</v>
                  </pt>
                  <pt idx="721">
                    <v>戸建改修一式（外装塗装・内装・水回り・内窓）</v>
                  </pt>
                  <pt idx="722">
                    <v>トイレJフィット工事</v>
                  </pt>
                  <pt idx="723">
                    <v>電動シャッターBOX塗装</v>
                  </pt>
                  <pt idx="724">
                    <v>二期工事</v>
                  </pt>
                  <pt idx="725">
                    <v>1F改修</v>
                  </pt>
                  <pt idx="726">
                    <v>防犯カメラ点検</v>
                  </pt>
                  <pt idx="727">
                    <v>光和工業</v>
                  </pt>
                  <pt idx="728">
                    <v>トイレ交換</v>
                  </pt>
                  <pt idx="729">
                    <v>問い交換</v>
                  </pt>
                  <pt idx="730">
                    <v>UB・トイレ(Jフィット)交換・洗濯機パン交換・内装(クロス/CF張替)</v>
                  </pt>
                </lvl>
                <lvl>
                  <pt idx="185">
                    <v>積水不動産</v>
                  </pt>
                  <pt idx="186">
                    <v>積水不動産</v>
                  </pt>
                  <pt idx="187">
                    <v>サステム</v>
                  </pt>
                  <pt idx="188">
                    <v>LIXIL</v>
                  </pt>
                  <pt idx="192">
                    <v>積水不動産</v>
                  </pt>
                  <pt idx="193">
                    <v>積水不動産</v>
                  </pt>
                  <pt idx="194">
                    <v>積水不動産</v>
                  </pt>
                  <pt idx="195">
                    <v>積水不動産</v>
                  </pt>
                  <pt idx="196">
                    <v>積水不動産</v>
                  </pt>
                  <pt idx="197">
                    <v>積水不動産</v>
                  </pt>
                  <pt idx="198">
                    <v>サステム</v>
                  </pt>
                  <pt idx="199">
                    <v>サステム</v>
                  </pt>
                  <pt idx="203">
                    <v>サステム</v>
                  </pt>
                  <pt idx="204">
                    <v>LIXIL</v>
                  </pt>
                  <pt idx="205">
                    <v>山一</v>
                  </pt>
                  <pt idx="206">
                    <v>積水不動産</v>
                  </pt>
                  <pt idx="207">
                    <v>日本ソービ</v>
                  </pt>
                  <pt idx="208">
                    <v>積水不動産</v>
                  </pt>
                  <pt idx="209">
                    <v>LIFE　UP</v>
                  </pt>
                  <pt idx="210">
                    <v>サステム</v>
                  </pt>
                  <pt idx="214">
                    <v>LIXIL</v>
                  </pt>
                  <pt idx="215">
                    <v>サステム</v>
                  </pt>
                  <pt idx="216">
                    <v>サステム</v>
                  </pt>
                  <pt idx="217">
                    <v>一心</v>
                  </pt>
                  <pt idx="218">
                    <v>一心</v>
                  </pt>
                  <pt idx="219">
                    <v>積水不動産</v>
                  </pt>
                  <pt idx="223">
                    <v>一心</v>
                  </pt>
                  <pt idx="224">
                    <v>一心</v>
                  </pt>
                  <pt idx="225">
                    <v>一心</v>
                  </pt>
                  <pt idx="226">
                    <v>ビルクラ</v>
                  </pt>
                  <pt idx="232">
                    <v>サステム</v>
                  </pt>
                  <pt idx="233">
                    <v>JA</v>
                  </pt>
                  <pt idx="234">
                    <v>日本ソービ</v>
                  </pt>
                  <pt idx="235">
                    <v>LIXIL</v>
                  </pt>
                  <pt idx="236">
                    <v>積水不動産</v>
                  </pt>
                  <pt idx="237">
                    <v>山田</v>
                  </pt>
                  <pt idx="238">
                    <v>一心</v>
                  </pt>
                  <pt idx="239">
                    <v>一心</v>
                  </pt>
                  <pt idx="240">
                    <v>積水不動産</v>
                  </pt>
                  <pt idx="241">
                    <v>積水不動産</v>
                  </pt>
                  <pt idx="242">
                    <v>一心</v>
                  </pt>
                  <pt idx="244">
                    <v>光和工業</v>
                  </pt>
                  <pt idx="245">
                    <v>光和工業</v>
                  </pt>
                  <pt idx="246">
                    <v>山一</v>
                  </pt>
                  <pt idx="247">
                    <v>LIXIL</v>
                  </pt>
                  <pt idx="251">
                    <v>積水不動産</v>
                  </pt>
                  <pt idx="252">
                    <v>JA</v>
                  </pt>
                  <pt idx="253">
                    <v>LIXIL</v>
                  </pt>
                  <pt idx="254">
                    <v>一心</v>
                  </pt>
                  <pt idx="257">
                    <v>LIXIL</v>
                  </pt>
                  <pt idx="258">
                    <v>光和工業</v>
                  </pt>
                  <pt idx="259">
                    <v>光和工業</v>
                  </pt>
                  <pt idx="260">
                    <v>積水不動産</v>
                  </pt>
                  <pt idx="261">
                    <v>積水不動産</v>
                  </pt>
                  <pt idx="262">
                    <v>積水不動産</v>
                  </pt>
                  <pt idx="263">
                    <v>積水不動産</v>
                  </pt>
                  <pt idx="264">
                    <v>JA</v>
                  </pt>
                  <pt idx="265">
                    <v>LIXIL</v>
                  </pt>
                  <pt idx="268">
                    <v>光和工業</v>
                  </pt>
                  <pt idx="269">
                    <v>LIXIL</v>
                  </pt>
                  <pt idx="270">
                    <v>LIXIL</v>
                  </pt>
                  <pt idx="271">
                    <v>積水不動産</v>
                  </pt>
                  <pt idx="272">
                    <v>積水不動産</v>
                  </pt>
                  <pt idx="273">
                    <v>積水不動産</v>
                  </pt>
                  <pt idx="274">
                    <v>積水不動産</v>
                  </pt>
                  <pt idx="275">
                    <v>カイト</v>
                  </pt>
                  <pt idx="278">
                    <v>LIXIL</v>
                  </pt>
                  <pt idx="279">
                    <v>積水不動産</v>
                  </pt>
                  <pt idx="280">
                    <v>サステム</v>
                  </pt>
                  <pt idx="281">
                    <v>LIXIL</v>
                  </pt>
                  <pt idx="282">
                    <v>佐信木材</v>
                  </pt>
                  <pt idx="283">
                    <v>LIFE　UP</v>
                  </pt>
                  <pt idx="286">
                    <v>光和工業</v>
                  </pt>
                  <pt idx="287">
                    <v>マルマン</v>
                  </pt>
                  <pt idx="291">
                    <v>UB工事</v>
                  </pt>
                  <pt idx="296">
                    <v>サステム</v>
                  </pt>
                  <pt idx="299">
                    <v>光和工業</v>
                  </pt>
                  <pt idx="300">
                    <v>光和工業</v>
                  </pt>
                  <pt idx="301">
                    <v>光和工業</v>
                  </pt>
                  <pt idx="302">
                    <v>光和工業</v>
                  </pt>
                  <pt idx="303">
                    <v>一心</v>
                  </pt>
                  <pt idx="307">
                    <v>積水不動産</v>
                  </pt>
                  <pt idx="308">
                    <v>積水不動産</v>
                  </pt>
                  <pt idx="309">
                    <v>積水不動産</v>
                  </pt>
                  <pt idx="310">
                    <v>山一</v>
                  </pt>
                  <pt idx="311">
                    <v>積水不動産</v>
                  </pt>
                  <pt idx="314">
                    <v>LIXIL</v>
                  </pt>
                  <pt idx="315">
                    <v>積水不動産</v>
                  </pt>
                  <pt idx="316">
                    <v>山一</v>
                  </pt>
                  <pt idx="317">
                    <v>サステム</v>
                  </pt>
                  <pt idx="320">
                    <v>積水不動産</v>
                  </pt>
                  <pt idx="321">
                    <v>積水不動産</v>
                  </pt>
                  <pt idx="324">
                    <v>カヤバ管材</v>
                  </pt>
                  <pt idx="325">
                    <v>サステム</v>
                  </pt>
                  <pt idx="326">
                    <v>LIXIL</v>
                  </pt>
                  <pt idx="327">
                    <v>LIXIL</v>
                  </pt>
                  <pt idx="330">
                    <v>積水不動産</v>
                  </pt>
                  <pt idx="331">
                    <v>LIXIL</v>
                  </pt>
                  <pt idx="332">
                    <v>LIXIL</v>
                  </pt>
                  <pt idx="333">
                    <v>積水不動産</v>
                  </pt>
                  <pt idx="334">
                    <v>カヤバ管材</v>
                  </pt>
                  <pt idx="335">
                    <v>LIXIL</v>
                  </pt>
                  <pt idx="338">
                    <v>光和工業</v>
                  </pt>
                  <pt idx="339">
                    <v>光和工業</v>
                  </pt>
                  <pt idx="340">
                    <v>光和工業</v>
                  </pt>
                  <pt idx="341">
                    <v>カイト</v>
                  </pt>
                  <pt idx="342">
                    <v>カイト</v>
                  </pt>
                  <pt idx="343">
                    <v>積水不動産</v>
                  </pt>
                  <pt idx="344">
                    <v>積水不動産</v>
                  </pt>
                  <pt idx="347">
                    <v>積水不動産</v>
                  </pt>
                  <pt idx="348">
                    <v>積和建設</v>
                  </pt>
                  <pt idx="349">
                    <v>光和工業</v>
                  </pt>
                  <pt idx="350">
                    <v>一心</v>
                  </pt>
                  <pt idx="351">
                    <v>サステム</v>
                  </pt>
                  <pt idx="352">
                    <v>LIXIL</v>
                  </pt>
                  <pt idx="353">
                    <v>積水不動産</v>
                  </pt>
                  <pt idx="354">
                    <v>積水不動産</v>
                  </pt>
                  <pt idx="355">
                    <v>積水不動産</v>
                  </pt>
                  <pt idx="358">
                    <v>積和建設</v>
                  </pt>
                  <pt idx="359">
                    <v>LIXIL</v>
                  </pt>
                  <pt idx="360">
                    <v>LIXIL</v>
                  </pt>
                  <pt idx="361">
                    <v>LIXIL</v>
                  </pt>
                  <pt idx="364">
                    <v>一心工芸</v>
                  </pt>
                  <pt idx="365">
                    <v>積水不動産</v>
                  </pt>
                  <pt idx="366">
                    <v>積水不動産</v>
                  </pt>
                  <pt idx="367">
                    <v>積和建設</v>
                  </pt>
                  <pt idx="368">
                    <v>積和建設</v>
                  </pt>
                  <pt idx="369">
                    <v>積水不動産</v>
                  </pt>
                  <pt idx="370">
                    <v>カイト</v>
                  </pt>
                  <pt idx="371">
                    <v>積和建設</v>
                  </pt>
                  <pt idx="372">
                    <v>カスタマーズ</v>
                  </pt>
                  <pt idx="373">
                    <v>庄司コーポレーション</v>
                  </pt>
                  <pt idx="374">
                    <v>積水不動産</v>
                  </pt>
                  <pt idx="377">
                    <v>サステム</v>
                  </pt>
                  <pt idx="378">
                    <v>積水不動産</v>
                  </pt>
                  <pt idx="379">
                    <v>積水不動産</v>
                  </pt>
                  <pt idx="380">
                    <v>サステム</v>
                  </pt>
                  <pt idx="381">
                    <v>サステム</v>
                  </pt>
                  <pt idx="382">
                    <v>アイビーエス</v>
                  </pt>
                  <pt idx="383">
                    <v>積水不動産</v>
                  </pt>
                  <pt idx="384">
                    <v>積水不動産</v>
                  </pt>
                  <pt idx="386">
                    <v>光和工業</v>
                  </pt>
                  <pt idx="387">
                    <v>カイト</v>
                  </pt>
                  <pt idx="388">
                    <v>サステム</v>
                  </pt>
                  <pt idx="389">
                    <v>積水不動産</v>
                  </pt>
                  <pt idx="392">
                    <v>光和工業</v>
                  </pt>
                  <pt idx="393">
                    <v>光和工業</v>
                  </pt>
                  <pt idx="394">
                    <v>光和工業</v>
                  </pt>
                  <pt idx="395">
                    <v>積水不動産</v>
                  </pt>
                  <pt idx="396">
                    <v>光和工業</v>
                  </pt>
                  <pt idx="397">
                    <v>随縁管財</v>
                  </pt>
                  <pt idx="398">
                    <v>積水不動産</v>
                  </pt>
                  <pt idx="399">
                    <v>光和工業</v>
                  </pt>
                  <pt idx="400">
                    <v>積水不動産</v>
                  </pt>
                  <pt idx="403">
                    <v>光和工業</v>
                  </pt>
                  <pt idx="404">
                    <v>光和工業</v>
                  </pt>
                  <pt idx="405">
                    <v>山一</v>
                  </pt>
                  <pt idx="406">
                    <v>光和工業</v>
                  </pt>
                  <pt idx="408">
                    <v>光和工業</v>
                  </pt>
                  <pt idx="409">
                    <v>光和工業</v>
                  </pt>
                  <pt idx="410">
                    <v>光和工業</v>
                  </pt>
                  <pt idx="411">
                    <v>サステム</v>
                  </pt>
                  <pt idx="412">
                    <v>サステム</v>
                  </pt>
                  <pt idx="414">
                    <v>光和工業</v>
                  </pt>
                  <pt idx="415">
                    <v>LIXIL</v>
                  </pt>
                  <pt idx="416">
                    <v>山一</v>
                  </pt>
                  <pt idx="417">
                    <v>積水不動産</v>
                  </pt>
                  <pt idx="418">
                    <v>積水不動産</v>
                  </pt>
                  <pt idx="420">
                    <v>LIXIL</v>
                  </pt>
                  <pt idx="423">
                    <v>LIXIL</v>
                  </pt>
                  <pt idx="424">
                    <v>山一・客</v>
                  </pt>
                  <pt idx="426">
                    <v>サステム</v>
                  </pt>
                  <pt idx="427">
                    <v>サステム</v>
                  </pt>
                  <pt idx="428">
                    <v>LIXIL</v>
                  </pt>
                  <pt idx="429">
                    <v>マルマン</v>
                  </pt>
                  <pt idx="430">
                    <v>国立音楽院</v>
                  </pt>
                  <pt idx="431">
                    <v>光和工業</v>
                  </pt>
                  <pt idx="432">
                    <v>積水不動産</v>
                  </pt>
                  <pt idx="433">
                    <v>光和工業</v>
                  </pt>
                  <pt idx="434">
                    <v>光和工業</v>
                  </pt>
                  <pt idx="435">
                    <v>光和工業</v>
                  </pt>
                  <pt idx="436">
                    <v>サステム</v>
                  </pt>
                  <pt idx="437">
                    <v>山一</v>
                  </pt>
                  <pt idx="438">
                    <v>LIXIL</v>
                  </pt>
                  <pt idx="439">
                    <v>LIXIL</v>
                  </pt>
                  <pt idx="440">
                    <v>TOSEI</v>
                  </pt>
                  <pt idx="441">
                    <v>TOSEI</v>
                  </pt>
                  <pt idx="443">
                    <v>LIXIL</v>
                  </pt>
                  <pt idx="444">
                    <v>光和工業</v>
                  </pt>
                  <pt idx="445">
                    <v>光和工業</v>
                  </pt>
                  <pt idx="446">
                    <v>LIXIL</v>
                  </pt>
                  <pt idx="448">
                    <v>サステム</v>
                  </pt>
                  <pt idx="450">
                    <v>積水不動産</v>
                  </pt>
                  <pt idx="451">
                    <v>積水不動産</v>
                  </pt>
                  <pt idx="452">
                    <v>ウェル</v>
                  </pt>
                  <pt idx="453">
                    <v>LIXIL</v>
                  </pt>
                  <pt idx="454">
                    <v>LIXIL</v>
                  </pt>
                  <pt idx="455">
                    <v>LIXIL</v>
                  </pt>
                  <pt idx="456">
                    <v>ふれあい</v>
                  </pt>
                  <pt idx="457">
                    <v>LIXIL</v>
                  </pt>
                  <pt idx="459">
                    <v>まるたん企業</v>
                  </pt>
                  <pt idx="460">
                    <v>サステム</v>
                  </pt>
                  <pt idx="461">
                    <v>ウェル</v>
                  </pt>
                  <pt idx="463">
                    <v>光和工業</v>
                  </pt>
                  <pt idx="464">
                    <v>光和工業</v>
                  </pt>
                  <pt idx="465">
                    <v>光和工業</v>
                  </pt>
                  <pt idx="466">
                    <v>光和工業</v>
                  </pt>
                  <pt idx="467">
                    <v>光和工業</v>
                  </pt>
                  <pt idx="468">
                    <v>サステム</v>
                  </pt>
                  <pt idx="469">
                    <v>光和工業</v>
                  </pt>
                  <pt idx="470">
                    <v>サステム</v>
                  </pt>
                  <pt idx="471">
                    <v>LIXIL</v>
                  </pt>
                  <pt idx="472">
                    <v>光和工業</v>
                  </pt>
                  <pt idx="473">
                    <v>光和工業</v>
                  </pt>
                  <pt idx="474">
                    <v>光和工業</v>
                  </pt>
                  <pt idx="476">
                    <v>LIXIL</v>
                  </pt>
                  <pt idx="477">
                    <v>LIXIL</v>
                  </pt>
                  <pt idx="478">
                    <v>LIXIL</v>
                  </pt>
                  <pt idx="479">
                    <v>LIXIL</v>
                  </pt>
                  <pt idx="480">
                    <v>LIXIL</v>
                  </pt>
                  <pt idx="481">
                    <v>LIXIL</v>
                  </pt>
                  <pt idx="482">
                    <v>光和工業</v>
                  </pt>
                  <pt idx="483">
                    <v>サステム</v>
                  </pt>
                  <pt idx="484">
                    <v>ハイム</v>
                  </pt>
                  <pt idx="485">
                    <v>光和工業</v>
                  </pt>
                  <pt idx="486">
                    <v>光和工業</v>
                  </pt>
                  <pt idx="487">
                    <v>光和工業</v>
                  </pt>
                  <pt idx="488">
                    <v>積水不動産</v>
                  </pt>
                  <pt idx="489">
                    <v>光和工業</v>
                  </pt>
                  <pt idx="491">
                    <v>積水不動産</v>
                  </pt>
                  <pt idx="492">
                    <v>LIXIL</v>
                  </pt>
                  <pt idx="493">
                    <v>LIXIL</v>
                  </pt>
                  <pt idx="494">
                    <v>光和工業</v>
                  </pt>
                  <pt idx="496">
                    <v>LIXIL</v>
                  </pt>
                  <pt idx="497">
                    <v>LIXIL</v>
                  </pt>
                  <pt idx="498">
                    <v>LIXIL</v>
                  </pt>
                  <pt idx="500">
                    <v>LIXIL</v>
                  </pt>
                  <pt idx="501">
                    <v>LIXIL</v>
                  </pt>
                  <pt idx="502">
                    <v>LIXIL</v>
                  </pt>
                  <pt idx="503">
                    <v>LIXIL</v>
                  </pt>
                  <pt idx="505">
                    <v>LIXIL</v>
                  </pt>
                  <pt idx="506">
                    <v>積水不動産</v>
                  </pt>
                  <pt idx="507">
                    <v>光和工業</v>
                  </pt>
                  <pt idx="508">
                    <v>光和工業</v>
                  </pt>
                  <pt idx="509">
                    <v>LIXIL</v>
                  </pt>
                  <pt idx="510">
                    <v>マルマン</v>
                  </pt>
                  <pt idx="511">
                    <v>LIXIL</v>
                  </pt>
                  <pt idx="513">
                    <v>LIXIL</v>
                  </pt>
                  <pt idx="514">
                    <v>LIXIL</v>
                  </pt>
                  <pt idx="515">
                    <v>LIXIL</v>
                  </pt>
                  <pt idx="516">
                    <v>LIXIL</v>
                  </pt>
                  <pt idx="517">
                    <v>LIXIL</v>
                  </pt>
                  <pt idx="518">
                    <v>積水不動産</v>
                  </pt>
                  <pt idx="519">
                    <v>LIXIL</v>
                  </pt>
                  <pt idx="520">
                    <v>LIXIL</v>
                  </pt>
                  <pt idx="521">
                    <v>サステム</v>
                  </pt>
                  <pt idx="522">
                    <v>サステム</v>
                  </pt>
                  <pt idx="523">
                    <v>LIXIL</v>
                  </pt>
                  <pt idx="524">
                    <v>LIXIL</v>
                  </pt>
                  <pt idx="525">
                    <v>LIXIL</v>
                  </pt>
                  <pt idx="529">
                    <v>積水ハウス建設</v>
                  </pt>
                  <pt idx="530">
                    <v>サステム</v>
                  </pt>
                  <pt idx="531">
                    <v>サステム</v>
                  </pt>
                  <pt idx="532">
                    <v>積水ハウス建設</v>
                  </pt>
                  <pt idx="534">
                    <v>光和工業</v>
                  </pt>
                  <pt idx="535">
                    <v>仙台CC</v>
                  </pt>
                  <pt idx="536">
                    <v>積水ハウス建設</v>
                  </pt>
                  <pt idx="537">
                    <v>光和工業</v>
                  </pt>
                  <pt idx="538">
                    <v>光和工業</v>
                  </pt>
                  <pt idx="539">
                    <v>光和工業</v>
                  </pt>
                  <pt idx="540">
                    <v>光和工業</v>
                  </pt>
                  <pt idx="541">
                    <v>光和工業</v>
                  </pt>
                  <pt idx="542">
                    <v>光和工業</v>
                  </pt>
                  <pt idx="543">
                    <v>LIXIL</v>
                  </pt>
                  <pt idx="544">
                    <v>LIXIL</v>
                  </pt>
                  <pt idx="545">
                    <v>LIXIL</v>
                  </pt>
                  <pt idx="547">
                    <v>光和工業</v>
                  </pt>
                  <pt idx="548">
                    <v>光和工業</v>
                  </pt>
                  <pt idx="549">
                    <v>光和工業</v>
                  </pt>
                  <pt idx="550">
                    <v>積水ハウス不動産</v>
                  </pt>
                  <pt idx="551">
                    <v>積水ハウス不動産</v>
                  </pt>
                  <pt idx="552">
                    <v>LIXIL</v>
                  </pt>
                  <pt idx="553">
                    <v>仙台CC</v>
                  </pt>
                  <pt idx="554">
                    <v>光和工業</v>
                  </pt>
                  <pt idx="555">
                    <v>壁紙革命</v>
                  </pt>
                  <pt idx="556">
                    <v>LIXIL</v>
                  </pt>
                  <pt idx="557">
                    <v>光和工業</v>
                  </pt>
                  <pt idx="558">
                    <v>LIXIL</v>
                  </pt>
                  <pt idx="559">
                    <v>仙台CC</v>
                  </pt>
                  <pt idx="561">
                    <v>光和工業</v>
                  </pt>
                  <pt idx="562">
                    <v>LIXIL</v>
                  </pt>
                  <pt idx="563">
                    <v>LIXIL</v>
                  </pt>
                  <pt idx="564">
                    <v>LIXIL</v>
                  </pt>
                  <pt idx="565">
                    <v>LIXIL</v>
                  </pt>
                  <pt idx="566">
                    <v>光和工業</v>
                  </pt>
                  <pt idx="567">
                    <v>光和工業</v>
                  </pt>
                  <pt idx="568">
                    <v>光和工業</v>
                  </pt>
                  <pt idx="569">
                    <v>光和工業</v>
                  </pt>
                  <pt idx="570">
                    <v>光和工業</v>
                  </pt>
                  <pt idx="571">
                    <v>光和工業</v>
                  </pt>
                  <pt idx="572">
                    <v>光和工業</v>
                  </pt>
                  <pt idx="574">
                    <v>LIXIL</v>
                  </pt>
                  <pt idx="575">
                    <v>LIXIL</v>
                  </pt>
                  <pt idx="576">
                    <v>LIXIL</v>
                  </pt>
                  <pt idx="577">
                    <v>LIXIL</v>
                  </pt>
                  <pt idx="578">
                    <v>LIXIL</v>
                  </pt>
                  <pt idx="579">
                    <v>積水</v>
                  </pt>
                  <pt idx="580">
                    <v>積水</v>
                  </pt>
                  <pt idx="581">
                    <v>積水</v>
                  </pt>
                  <pt idx="582">
                    <v>積水</v>
                  </pt>
                  <pt idx="583">
                    <v>積水</v>
                  </pt>
                  <pt idx="584">
                    <v>LIXIL</v>
                  </pt>
                  <pt idx="585">
                    <v>光和工業</v>
                  </pt>
                  <pt idx="586">
                    <v>光和工業</v>
                  </pt>
                  <pt idx="587">
                    <v>光和工業</v>
                  </pt>
                  <pt idx="588">
                    <v>積水</v>
                  </pt>
                  <pt idx="589">
                    <v>光和工業</v>
                  </pt>
                  <pt idx="590">
                    <v>光和工業</v>
                  </pt>
                  <pt idx="591">
                    <v>LIXIL</v>
                  </pt>
                  <pt idx="592">
                    <v>ライフアップ</v>
                  </pt>
                  <pt idx="594">
                    <v>光和工業</v>
                  </pt>
                  <pt idx="595">
                    <v>光和工業</v>
                  </pt>
                  <pt idx="596">
                    <v>光和工業</v>
                  </pt>
                  <pt idx="597">
                    <v>積水</v>
                  </pt>
                  <pt idx="598">
                    <v>積水</v>
                  </pt>
                  <pt idx="599">
                    <v>積水</v>
                  </pt>
                  <pt idx="600">
                    <v>光和工業</v>
                  </pt>
                  <pt idx="601">
                    <v>光和工業</v>
                  </pt>
                  <pt idx="602">
                    <v>光和工業</v>
                  </pt>
                  <pt idx="603">
                    <v>光和工業</v>
                  </pt>
                  <pt idx="604">
                    <v>光和工業</v>
                  </pt>
                  <pt idx="605">
                    <v>LIXIL</v>
                  </pt>
                  <pt idx="606">
                    <v>佐信木材</v>
                  </pt>
                  <pt idx="608">
                    <v>LIXIL</v>
                  </pt>
                  <pt idx="609">
                    <v>LIXIL</v>
                  </pt>
                  <pt idx="610">
                    <v>LIXIL</v>
                  </pt>
                  <pt idx="612">
                    <v>LIXIL</v>
                  </pt>
                  <pt idx="613">
                    <v>LIXIL</v>
                  </pt>
                  <pt idx="614">
                    <v>LIXIL</v>
                  </pt>
                  <pt idx="615">
                    <v>光和工業</v>
                  </pt>
                  <pt idx="616">
                    <v>LIXIL</v>
                  </pt>
                  <pt idx="617">
                    <v>積水</v>
                  </pt>
                  <pt idx="618">
                    <v>積水</v>
                  </pt>
                  <pt idx="619">
                    <v>光和工業</v>
                  </pt>
                  <pt idx="620">
                    <v>積水</v>
                  </pt>
                  <pt idx="623">
                    <v>光和工業</v>
                  </pt>
                  <pt idx="624">
                    <v>積水</v>
                  </pt>
                  <pt idx="625">
                    <v>光和工業</v>
                  </pt>
                  <pt idx="626">
                    <v>LIXIL</v>
                  </pt>
                  <pt idx="627">
                    <v>光和工業</v>
                  </pt>
                  <pt idx="628">
                    <v>光和工業</v>
                  </pt>
                  <pt idx="630">
                    <v>光和工業</v>
                  </pt>
                  <pt idx="631">
                    <v>LIXIL</v>
                  </pt>
                  <pt idx="632">
                    <v>LIXIL</v>
                  </pt>
                  <pt idx="633">
                    <v>LIXIL</v>
                  </pt>
                  <pt idx="634">
                    <v>LIXIL</v>
                  </pt>
                  <pt idx="636">
                    <v>LIXIL</v>
                  </pt>
                  <pt idx="637">
                    <v>LIXIL</v>
                  </pt>
                  <pt idx="638">
                    <v>自社工事</v>
                  </pt>
                  <pt idx="639">
                    <v>自社工事</v>
                  </pt>
                  <pt idx="640">
                    <v>自社工事</v>
                  </pt>
                  <pt idx="641">
                    <v>自社工事</v>
                  </pt>
                  <pt idx="642">
                    <v>ライフアップ</v>
                  </pt>
                  <pt idx="643">
                    <v>LIXIL</v>
                  </pt>
                  <pt idx="644">
                    <v>積水</v>
                  </pt>
                  <pt idx="645">
                    <v>積水</v>
                  </pt>
                  <pt idx="646">
                    <v>積水</v>
                  </pt>
                  <pt idx="647">
                    <v>積水</v>
                  </pt>
                  <pt idx="649">
                    <v>LIXIL</v>
                  </pt>
                  <pt idx="652">
                    <v>光和工業</v>
                  </pt>
                  <pt idx="653">
                    <v>光和工業</v>
                  </pt>
                  <pt idx="654">
                    <v>光和工業</v>
                  </pt>
                  <pt idx="655">
                    <v>LIXIL</v>
                  </pt>
                  <pt idx="656">
                    <v>ライフアップ</v>
                  </pt>
                  <pt idx="657">
                    <v>光和工業</v>
                  </pt>
                  <pt idx="658">
                    <v>ライフアップ</v>
                  </pt>
                  <pt idx="660">
                    <v>積水</v>
                  </pt>
                  <pt idx="661">
                    <v>光和工業</v>
                  </pt>
                  <pt idx="662">
                    <v>光和工業</v>
                  </pt>
                  <pt idx="663">
                    <v>LIXIL</v>
                  </pt>
                  <pt idx="664">
                    <v>サステム</v>
                  </pt>
                  <pt idx="665">
                    <v>光和工業</v>
                  </pt>
                  <pt idx="666">
                    <v>光和工業</v>
                  </pt>
                  <pt idx="667">
                    <v>光和工業</v>
                  </pt>
                  <pt idx="668">
                    <v>光和工業</v>
                  </pt>
                  <pt idx="669">
                    <v>LIXIL</v>
                  </pt>
                  <pt idx="670">
                    <v>あいホーム</v>
                  </pt>
                  <pt idx="671">
                    <v>光和工業</v>
                  </pt>
                  <pt idx="673">
                    <v>LIXIL</v>
                  </pt>
                  <pt idx="674">
                    <v>LIXIL</v>
                  </pt>
                  <pt idx="675">
                    <v>光和工業</v>
                  </pt>
                  <pt idx="676">
                    <v>光和工業</v>
                  </pt>
                  <pt idx="677">
                    <v>光和工業</v>
                  </pt>
                  <pt idx="678">
                    <v>あいホーム</v>
                  </pt>
                  <pt idx="680">
                    <v>LIXIL</v>
                  </pt>
                  <pt idx="681">
                    <v>LIXIL</v>
                  </pt>
                  <pt idx="682">
                    <v>LIXIL</v>
                  </pt>
                  <pt idx="683">
                    <v>LIXIL</v>
                  </pt>
                  <pt idx="684">
                    <v>光和工業</v>
                  </pt>
                  <pt idx="686">
                    <v>サステム</v>
                  </pt>
                  <pt idx="687">
                    <v>ナカジマ装建</v>
                  </pt>
                  <pt idx="688">
                    <v>LIXIL</v>
                  </pt>
                  <pt idx="689">
                    <v>LIXIL</v>
                  </pt>
                  <pt idx="690">
                    <v>LIXIL</v>
                  </pt>
                  <pt idx="691">
                    <v>ライフアップ</v>
                  </pt>
                  <pt idx="692">
                    <v>あいホーム</v>
                  </pt>
                  <pt idx="694">
                    <v>国立音楽院</v>
                  </pt>
                  <pt idx="695">
                    <v>あいホーム</v>
                  </pt>
                  <pt idx="696">
                    <v>サステム</v>
                  </pt>
                  <pt idx="697">
                    <v>サステム</v>
                  </pt>
                  <pt idx="698">
                    <v>サステム</v>
                  </pt>
                  <pt idx="699">
                    <v>光和工業</v>
                  </pt>
                  <pt idx="700">
                    <v>サステム</v>
                  </pt>
                  <pt idx="701">
                    <v>光和工業</v>
                  </pt>
                  <pt idx="702">
                    <v>LIXIL</v>
                  </pt>
                  <pt idx="703">
                    <v>LIXIL</v>
                  </pt>
                  <pt idx="704">
                    <v>LIXIL</v>
                  </pt>
                  <pt idx="705">
                    <v>国立音楽院</v>
                  </pt>
                  <pt idx="706">
                    <v>光和工業</v>
                  </pt>
                  <pt idx="707">
                    <v>光和工業</v>
                  </pt>
                  <pt idx="708">
                    <v>光和工業</v>
                  </pt>
                  <pt idx="709">
                    <v>LIXIL</v>
                  </pt>
                  <pt idx="710">
                    <v>ライブアップ</v>
                  </pt>
                  <pt idx="711">
                    <v>LIXIL</v>
                  </pt>
                  <pt idx="712">
                    <v>LIXIL</v>
                  </pt>
                  <pt idx="713">
                    <v>LIXIL</v>
                  </pt>
                  <pt idx="714">
                    <v>LIXIL</v>
                  </pt>
                  <pt idx="715">
                    <v>LIXIL</v>
                  </pt>
                  <pt idx="716">
                    <v>LIXIL</v>
                  </pt>
                  <pt idx="717">
                    <v>LIXIL</v>
                  </pt>
                  <pt idx="718">
                    <v>サステム</v>
                  </pt>
                  <pt idx="719">
                    <v>LIXIL</v>
                  </pt>
                  <pt idx="720">
                    <v>LIXIL</v>
                  </pt>
                  <pt idx="721">
                    <v>東杜シーテック</v>
                  </pt>
                  <pt idx="722">
                    <v>LIXIL</v>
                  </pt>
                  <pt idx="723">
                    <v>積水ハウスサポートプラス</v>
                  </pt>
                  <pt idx="724">
                    <v>あいホーム</v>
                  </pt>
                  <pt idx="725">
                    <v>光和工業</v>
                  </pt>
                  <pt idx="726">
                    <v>光和工業</v>
                  </pt>
                  <pt idx="727">
                    <v>光和工業</v>
                  </pt>
                  <pt idx="728">
                    <v>LIXIL</v>
                  </pt>
                  <pt idx="729">
                    <v>LIXIL</v>
                  </pt>
                  <pt idx="730">
                    <v>LIXIL</v>
                  </pt>
                </lvl>
                <lvl>
                  <pt idx="0">
                    <v>ローズフラット</v>
                  </pt>
                  <pt idx="1">
                    <v>アイリスタウンC</v>
                  </pt>
                  <pt idx="2">
                    <v>南光台鈴木邸</v>
                  </pt>
                  <pt idx="3">
                    <v>南相馬 菅野邸</v>
                  </pt>
                  <pt idx="4">
                    <v>高橋貸家　樋交換</v>
                  </pt>
                  <pt idx="5">
                    <v>シャーメゾン下原Ⅰ202</v>
                  </pt>
                  <pt idx="6">
                    <v>ステラⅡ　110</v>
                  </pt>
                  <pt idx="7">
                    <v>シャンボール吉岡A105</v>
                  </pt>
                  <pt idx="8">
                    <v>ウエストフレグランスC102</v>
                  </pt>
                  <pt idx="9">
                    <v>フレグランスもみじヶ丘</v>
                  </pt>
                  <pt idx="10">
                    <v>ベルメゾンⅠ203</v>
                  </pt>
                  <pt idx="11">
                    <v>パステルコート成田B202</v>
                  </pt>
                  <pt idx="12">
                    <v>クリプトメリア201</v>
                  </pt>
                  <pt idx="13">
                    <v>八幡社宅　203</v>
                  </pt>
                  <pt idx="14">
                    <v>グリーンハイツB101</v>
                  </pt>
                  <pt idx="15">
                    <v>うさちゃん　原町</v>
                  </pt>
                  <pt idx="16">
                    <v>ドミトリー202</v>
                  </pt>
                  <pt idx="17">
                    <v>名取ヶ丘　三村邸</v>
                  </pt>
                  <pt idx="18">
                    <v>登米 菊池美容院</v>
                  </pt>
                  <pt idx="19">
                    <v>サンライフクリオネ</v>
                  </pt>
                  <pt idx="20">
                    <v>各現場</v>
                  </pt>
                  <pt idx="21">
                    <v>合計</v>
                  </pt>
                  <pt idx="24">
                    <v>ダディーハウス明石台</v>
                  </pt>
                  <pt idx="25">
                    <v>フラワーハイツA</v>
                  </pt>
                  <pt idx="26">
                    <v>うさちゃん　YB新田東</v>
                  </pt>
                  <pt idx="27">
                    <v>ディアス　ONE</v>
                  </pt>
                  <pt idx="28">
                    <v>ディアス苦竹A</v>
                  </pt>
                  <pt idx="29">
                    <v>合計</v>
                  </pt>
                  <pt idx="32">
                    <v>ビラージュ八幡</v>
                  </pt>
                  <pt idx="33">
                    <v>ディアスTHREE</v>
                  </pt>
                  <pt idx="34">
                    <v>パステ-ルハウスA・B</v>
                  </pt>
                  <pt idx="35">
                    <v>コインランドリーJabba</v>
                  </pt>
                  <pt idx="36">
                    <v>合計</v>
                  </pt>
                  <pt idx="38">
                    <v>シャーメゾンＫ</v>
                  </pt>
                  <pt idx="39">
                    <v>ディアスＦＩＶＥ</v>
                  </pt>
                  <pt idx="40">
                    <v>ベルタウンⅢ</v>
                  </pt>
                  <pt idx="41">
                    <v>美田園パレット</v>
                  </pt>
                  <pt idx="42">
                    <v>合計</v>
                  </pt>
                  <pt idx="45">
                    <v>グレートシリウス</v>
                  </pt>
                  <pt idx="46">
                    <v>ストラダーレ</v>
                  </pt>
                  <pt idx="47">
                    <v>プチドミール</v>
                  </pt>
                  <pt idx="48">
                    <v>コンフィーＯＮＥ</v>
                  </pt>
                  <pt idx="49">
                    <v>ディアスＦＯＵＲ</v>
                  </pt>
                  <pt idx="50">
                    <v>ベルタウンⅡ</v>
                  </pt>
                  <pt idx="51">
                    <v>フラッツＪ‘ｓ</v>
                  </pt>
                  <pt idx="52">
                    <v>グレイスボナール</v>
                  </pt>
                  <pt idx="53">
                    <v>松山 三浦邸</v>
                  </pt>
                  <pt idx="54">
                    <v>合計</v>
                  </pt>
                  <pt idx="57">
                    <v>ゆりが丘　市原邸</v>
                  </pt>
                  <pt idx="58">
                    <v>アンシャンテ豊田</v>
                  </pt>
                  <pt idx="59">
                    <v>エクセレントフタバ</v>
                  </pt>
                  <pt idx="60">
                    <v>コートビギン</v>
                  </pt>
                  <pt idx="61">
                    <v>塩釜 渡辺邸</v>
                  </pt>
                  <pt idx="62">
                    <v>合計</v>
                  </pt>
                  <pt idx="65">
                    <v>コーポユーカリ/Ⅱ（2棟）</v>
                  </pt>
                  <pt idx="66">
                    <v>サンティエ</v>
                  </pt>
                  <pt idx="67">
                    <v>パークヒルズK</v>
                  </pt>
                  <pt idx="68">
                    <v>合計</v>
                  </pt>
                  <pt idx="71">
                    <v>アスティオン</v>
                  </pt>
                  <pt idx="72">
                    <v>プレイスティージュE</v>
                  </pt>
                  <pt idx="73">
                    <v>シャルマンA</v>
                  </pt>
                  <pt idx="74">
                    <v>シャルマンB</v>
                  </pt>
                  <pt idx="75">
                    <v>シャーメゾン下原Ⅰ</v>
                  </pt>
                  <pt idx="76">
                    <v>ラフィーネ市名坂</v>
                  </pt>
                  <pt idx="77">
                    <v>シャルマンAB</v>
                  </pt>
                  <pt idx="78">
                    <v>うさちゃんクリーニングアクロス</v>
                  </pt>
                  <pt idx="79">
                    <v>合計</v>
                  </pt>
                  <pt idx="81">
                    <v>グレイスコートA</v>
                  </pt>
                  <pt idx="82">
                    <v>グレイスコートB</v>
                  </pt>
                  <pt idx="83">
                    <v>グレイスコートB</v>
                  </pt>
                  <pt idx="84">
                    <v>ラフィーネ高玉A</v>
                  </pt>
                  <pt idx="85">
                    <v>アーバンヒルズ</v>
                  </pt>
                  <pt idx="86">
                    <v>フレグランス黒松</v>
                  </pt>
                  <pt idx="87">
                    <v>塩釜　名取邸</v>
                  </pt>
                  <pt idx="88">
                    <v>荒井　小野邸</v>
                  </pt>
                  <pt idx="89">
                    <v>大倉　早坂邸</v>
                  </pt>
                  <pt idx="90">
                    <v>シャーメゾン下原Ⅱ</v>
                  </pt>
                  <pt idx="91">
                    <v>ラフィーネ市名坂Ⅱ</v>
                  </pt>
                  <pt idx="92">
                    <v>グレイスコートB</v>
                  </pt>
                  <pt idx="93">
                    <v>合計</v>
                  </pt>
                  <pt idx="96">
                    <v>アミコトーA</v>
                  </pt>
                  <pt idx="97">
                    <v>グリーンフィールド成出E</v>
                  </pt>
                  <pt idx="98">
                    <v>グリーンフィールド成出F</v>
                  </pt>
                  <pt idx="99">
                    <v>グレイスコートA</v>
                  </pt>
                  <pt idx="100">
                    <v>寺岡 千葉邸</v>
                  </pt>
                  <pt idx="101">
                    <v>六木小学校</v>
                  </pt>
                  <pt idx="102">
                    <v>セフィラ淡雪</v>
                  </pt>
                  <pt idx="103">
                    <v>ボヌール</v>
                  </pt>
                  <pt idx="104">
                    <v>シャーメゾン下原Ⅲ</v>
                  </pt>
                  <pt idx="105">
                    <v>ラフィーネ高玉B</v>
                  </pt>
                  <pt idx="106">
                    <v>アスティオンⅡ</v>
                  </pt>
                  <pt idx="107">
                    <v>合計</v>
                  </pt>
                  <pt idx="110">
                    <v>サンシャインFOUR</v>
                  </pt>
                  <pt idx="111">
                    <v>アミコトーC</v>
                  </pt>
                  <pt idx="112">
                    <v>ウイングハイツA</v>
                  </pt>
                  <pt idx="113">
                    <v>ウイングハイツB</v>
                  </pt>
                  <pt idx="114">
                    <v>合計</v>
                  </pt>
                  <pt idx="117">
                    <v>ファミールコマツ</v>
                  </pt>
                  <pt idx="118">
                    <v>KSフラットA</v>
                  </pt>
                  <pt idx="119">
                    <v>平塚邸</v>
                  </pt>
                  <pt idx="120">
                    <v>向井邸</v>
                  </pt>
                  <pt idx="121">
                    <v>合計</v>
                  </pt>
                  <pt idx="125">
                    <v>茂木邸</v>
                  </pt>
                  <pt idx="126">
                    <v>飯村邸</v>
                  </pt>
                  <pt idx="127">
                    <v>合計</v>
                  </pt>
                  <pt idx="130">
                    <v>北船岡 武田邸</v>
                  </pt>
                  <pt idx="131">
                    <v>シティ上杉</v>
                  </pt>
                  <pt idx="132">
                    <v>ブルーハイツ</v>
                  </pt>
                  <pt idx="133">
                    <v>グランドール小松島</v>
                  </pt>
                  <pt idx="134">
                    <v>合計</v>
                  </pt>
                  <pt idx="137">
                    <v>福島 ディアスA</v>
                  </pt>
                  <pt idx="138">
                    <v>南光台 斎藤邸</v>
                  </pt>
                  <pt idx="139">
                    <v>シティハイムブルースカイ</v>
                  </pt>
                  <pt idx="140">
                    <v>合計</v>
                  </pt>
                  <pt idx="144">
                    <v>KSフラットB</v>
                  </pt>
                  <pt idx="145">
                    <v>エクセルハイツ</v>
                  </pt>
                  <pt idx="146">
                    <v>アーバネストR</v>
                  </pt>
                  <pt idx="147">
                    <v>アーバネストK</v>
                  </pt>
                  <pt idx="148">
                    <v>アーバネストR</v>
                  </pt>
                  <pt idx="149">
                    <v>アーバネストK</v>
                  </pt>
                  <pt idx="150">
                    <v>アーバネストKR</v>
                  </pt>
                  <pt idx="151">
                    <v>アーバネストKR</v>
                  </pt>
                  <pt idx="152">
                    <v>合計</v>
                  </pt>
                  <pt idx="154">
                    <v>アヴニール山鳥A</v>
                  </pt>
                  <pt idx="155">
                    <v>ウイルクレールⅢ</v>
                  </pt>
                  <pt idx="156">
                    <v>寺岡 及川邸</v>
                  </pt>
                  <pt idx="157">
                    <v>河西邸</v>
                  </pt>
                  <pt idx="158">
                    <v>上杉 大高邸</v>
                  </pt>
                  <pt idx="159">
                    <v>ファイン杉山通　AB</v>
                  </pt>
                  <pt idx="160">
                    <v>早坂内科クリニック</v>
                  </pt>
                  <pt idx="161">
                    <v>ネオパレス台原308</v>
                  </pt>
                  <pt idx="162">
                    <v>荒巻　中山邸</v>
                  </pt>
                  <pt idx="163">
                    <v>合計</v>
                  </pt>
                  <pt idx="165">
                    <v>七ヶ浜　斎藤邸</v>
                  </pt>
                  <pt idx="166">
                    <v>画像医学と脳健診</v>
                  </pt>
                  <pt idx="167">
                    <v>シャーメゾングレンツ</v>
                  </pt>
                  <pt idx="168">
                    <v>合計</v>
                  </pt>
                  <pt idx="171">
                    <v>富谷 向井邸</v>
                  </pt>
                  <pt idx="172">
                    <v>沼倉邸</v>
                  </pt>
                  <pt idx="173">
                    <v>アヴニール山鳥B</v>
                  </pt>
                  <pt idx="174">
                    <v>コージーヒルズAB</v>
                  </pt>
                  <pt idx="175">
                    <v>合計</v>
                  </pt>
                  <pt idx="178">
                    <v>エステディアコートヤマダ</v>
                  </pt>
                  <pt idx="179">
                    <v>大衡 斎藤邸</v>
                  </pt>
                  <pt idx="180">
                    <v>アルファコーポ</v>
                  </pt>
                  <pt idx="181">
                    <v>合計</v>
                  </pt>
                  <pt idx="185">
                    <v>アヴニール山鳥C</v>
                  </pt>
                  <pt idx="186">
                    <v>KUBO HOUSE</v>
                  </pt>
                  <pt idx="187">
                    <v>利府 安藤邸</v>
                  </pt>
                  <pt idx="188">
                    <v>高森 庄子邸</v>
                  </pt>
                  <pt idx="189">
                    <v>合計</v>
                  </pt>
                  <pt idx="192">
                    <v>ラフィネ萩の町</v>
                  </pt>
                  <pt idx="193">
                    <v>台原4貸家</v>
                  </pt>
                  <pt idx="194">
                    <v>シャンパーニュ勝山</v>
                  </pt>
                  <pt idx="195">
                    <v>鷹の森 戸建て</v>
                  </pt>
                  <pt idx="196">
                    <v>クレイヒルズ</v>
                  </pt>
                  <pt idx="197">
                    <v>ウッディベル</v>
                  </pt>
                  <pt idx="198">
                    <v>鶴ケ谷 丹野邸</v>
                  </pt>
                  <pt idx="199">
                    <v>西ノ平 楠木亭</v>
                  </pt>
                  <pt idx="200">
                    <v>合計</v>
                  </pt>
                  <pt idx="203">
                    <v>名取 高橋邸</v>
                  </pt>
                  <pt idx="204">
                    <v>あけの平 今野邸</v>
                  </pt>
                  <pt idx="205">
                    <v>桂パークハウス東街区壱番館306</v>
                  </pt>
                  <pt idx="206">
                    <v>台原4貸家</v>
                  </pt>
                  <pt idx="207">
                    <v>東九番町パークマンション507</v>
                  </pt>
                  <pt idx="208">
                    <v>メゾンアサノ</v>
                  </pt>
                  <pt idx="209">
                    <v>ろりぽっぷ保育園</v>
                  </pt>
                  <pt idx="210">
                    <v>みやぎ台　菅野邸</v>
                  </pt>
                  <pt idx="211">
                    <v>合計</v>
                  </pt>
                  <pt idx="214">
                    <v>ロイヤルコート河原町　緑ウイング　406</v>
                  </pt>
                  <pt idx="215">
                    <v>ファミール山手町　103</v>
                  </pt>
                  <pt idx="216">
                    <v>芋沢 早坂邸</v>
                  </pt>
                  <pt idx="217">
                    <v>ﾋﾞｯｸﾏﾏ　ｺｲﾝﾗﾝﾄﾞﾘｰ</v>
                  </pt>
                  <pt idx="218">
                    <v>うさちゃんモリヤ落合</v>
                  </pt>
                  <pt idx="219">
                    <v>コーポ白鳥　105</v>
                  </pt>
                  <pt idx="223">
                    <v>うさちゃんYM住吉台</v>
                  </pt>
                  <pt idx="224">
                    <v>うさちゃんYB真美沢</v>
                  </pt>
                  <pt idx="225">
                    <v>うさちゃんYB愛島</v>
                  </pt>
                  <pt idx="226">
                    <v>セジュールつかさA102</v>
                  </pt>
                  <pt idx="227">
                    <v>ティエラU102</v>
                  </pt>
                  <pt idx="228">
                    <v>大町テナント</v>
                  </pt>
                  <pt idx="232">
                    <v>チサンマンション富沢駅前Ⅲ403</v>
                  </pt>
                  <pt idx="233">
                    <v>サンハイツ</v>
                  </pt>
                  <pt idx="234">
                    <v>東九番町ﾊﾟｰｸﾏﾝｼｮﾝ703</v>
                  </pt>
                  <pt idx="235">
                    <v>荒巻中央パークマンション306</v>
                  </pt>
                  <pt idx="236">
                    <v>ネバーランド</v>
                  </pt>
                  <pt idx="237">
                    <v>松森　テナント</v>
                  </pt>
                  <pt idx="238">
                    <v>うさちゃん長命ヶ丘</v>
                  </pt>
                  <pt idx="239">
                    <v>うさちゃん住吉台工場</v>
                  </pt>
                  <pt idx="240">
                    <v>ベルージュ</v>
                  </pt>
                  <pt idx="241">
                    <v>泉ヶ丘戸建て</v>
                  </pt>
                  <pt idx="242">
                    <v>宮城スバル</v>
                  </pt>
                  <pt idx="243">
                    <v>グリンヒルズCHIDA</v>
                  </pt>
                  <pt idx="244">
                    <v>南光台　佐々木邸</v>
                  </pt>
                  <pt idx="245">
                    <v>ハイツミカミ</v>
                  </pt>
                  <pt idx="246">
                    <v>アリストコート小田原801</v>
                  </pt>
                  <pt idx="247">
                    <v>八木山　小野邸</v>
                  </pt>
                  <pt idx="251">
                    <v>グランドール小松島</v>
                  </pt>
                  <pt idx="252">
                    <v>大和町　三橋邸</v>
                  </pt>
                  <pt idx="253">
                    <v>吉岡 和泉様邸</v>
                  </pt>
                  <pt idx="254">
                    <v>八乙女 コインランドリー</v>
                  </pt>
                  <pt idx="257">
                    <v>鶴ケ谷 菊池邸</v>
                  </pt>
                  <pt idx="258">
                    <v>利府 遠藤邸</v>
                  </pt>
                  <pt idx="259">
                    <v>利府 遠藤邸</v>
                  </pt>
                  <pt idx="260">
                    <v>アービス向陽台</v>
                  </pt>
                  <pt idx="261">
                    <v>シャーメゾンドルチェ</v>
                  </pt>
                  <pt idx="262">
                    <v>ウエストフレグランスD102</v>
                  </pt>
                  <pt idx="263">
                    <v>ウエストフレグランスB202</v>
                  </pt>
                  <pt idx="264">
                    <v>大郷 村山邸</v>
                  </pt>
                  <pt idx="265">
                    <v>柴田 高橋様邸</v>
                  </pt>
                  <pt idx="268">
                    <v>杜の丘　斎藤邸</v>
                  </pt>
                  <pt idx="269">
                    <v>利府花園　熊谷邸</v>
                  </pt>
                  <pt idx="270">
                    <v>利府青山　鈴木邸</v>
                  </pt>
                  <pt idx="271">
                    <v>ディアス四季C</v>
                  </pt>
                  <pt idx="272">
                    <v>シャーメゾンイースト</v>
                  </pt>
                  <pt idx="273">
                    <v>シャーメゾンドルチェ</v>
                  </pt>
                  <pt idx="274">
                    <v>シャーメゾンドルチェ</v>
                  </pt>
                  <pt idx="275">
                    <v>ランドリーム美田園</v>
                  </pt>
                  <pt idx="278">
                    <v>岩手前沢 リノベーション工事</v>
                  </pt>
                  <pt idx="279">
                    <v>エコープラザⅦⅧ</v>
                  </pt>
                  <pt idx="280">
                    <v>広瀬耳鼻咽喉科クリニック</v>
                  </pt>
                  <pt idx="281">
                    <v>花園 熊谷邸</v>
                  </pt>
                  <pt idx="282">
                    <v>今泉 粟野邸</v>
                  </pt>
                  <pt idx="283">
                    <v>画像医学と脳検診</v>
                  </pt>
                  <pt idx="286">
                    <v>東九番町パークマンション1006</v>
                  </pt>
                  <pt idx="287">
                    <v>東急ドエルアルス仙台307</v>
                  </pt>
                  <pt idx="289">
                    <v>0</v>
                  </pt>
                  <pt idx="291">
                    <v>寺岡　佐藤邸</v>
                  </pt>
                  <pt idx="292">
                    <v>大森邸</v>
                  </pt>
                  <pt idx="296">
                    <v>連坊　野崎邸</v>
                  </pt>
                  <pt idx="299">
                    <v>ハイツAB</v>
                  </pt>
                  <pt idx="300">
                    <v>ハイツAB</v>
                  </pt>
                  <pt idx="301">
                    <v>ハイツAB</v>
                  </pt>
                  <pt idx="302">
                    <v>ハイツAB</v>
                  </pt>
                  <pt idx="303">
                    <v>うさちゃん　茂庭倉庫</v>
                  </pt>
                  <pt idx="307">
                    <v>リバーシティ308　202</v>
                  </pt>
                  <pt idx="308">
                    <v>フォーブル南仙台　203</v>
                  </pt>
                  <pt idx="309">
                    <v>フォーブル南仙台　205</v>
                  </pt>
                  <pt idx="310">
                    <v>卸町東テナント</v>
                  </pt>
                  <pt idx="311">
                    <v>グリーンハイツA105</v>
                  </pt>
                  <pt idx="314">
                    <v>利府　大竹邸</v>
                  </pt>
                  <pt idx="315">
                    <v>レーベンハウス205</v>
                  </pt>
                  <pt idx="316">
                    <v>みはるヴィラ</v>
                  </pt>
                  <pt idx="317">
                    <v>古川戸建て</v>
                  </pt>
                  <pt idx="320">
                    <v>吉岡 菅原邸</v>
                  </pt>
                  <pt idx="321">
                    <v>WABE</v>
                  </pt>
                  <pt idx="324">
                    <v>加茂ハイツ</v>
                  </pt>
                  <pt idx="325">
                    <v>仙台医療センター</v>
                  </pt>
                  <pt idx="326">
                    <v>千坂邸</v>
                  </pt>
                  <pt idx="327">
                    <v>寺岡　成田邸</v>
                  </pt>
                  <pt idx="330">
                    <v>グランシャルムB102</v>
                  </pt>
                  <pt idx="331">
                    <v>水の森　安田邸</v>
                  </pt>
                  <pt idx="332">
                    <v>寺岡　佐藤邸</v>
                  </pt>
                  <pt idx="333">
                    <v>アビタシオンD</v>
                  </pt>
                  <pt idx="334">
                    <v>成田　戸建て</v>
                  </pt>
                  <pt idx="335">
                    <v>角五郎　遠藤邸</v>
                  </pt>
                  <pt idx="336">
                    <v>国立音楽院</v>
                  </pt>
                  <pt idx="338">
                    <v>もみじが丘　和野邸</v>
                  </pt>
                  <pt idx="339">
                    <v>泉崎　関矢邸</v>
                  </pt>
                  <pt idx="340">
                    <v>泉崎　関矢邸</v>
                  </pt>
                  <pt idx="341">
                    <v>市名坂　コイン</v>
                  </pt>
                  <pt idx="342">
                    <v>館　コイン</v>
                  </pt>
                  <pt idx="343">
                    <v>パストラル一本杉</v>
                  </pt>
                  <pt idx="344">
                    <v>フローラ一本杉</v>
                  </pt>
                  <pt idx="347">
                    <v>サザンパークAB</v>
                  </pt>
                  <pt idx="348">
                    <v>フォルテス南小泉</v>
                  </pt>
                  <pt idx="349">
                    <v>小高邸</v>
                  </pt>
                  <pt idx="350">
                    <v>うさちゃん岩沼</v>
                  </pt>
                  <pt idx="351">
                    <v>大郷大久保様邸</v>
                  </pt>
                  <pt idx="352">
                    <v>千坂邸　２期工事</v>
                  </pt>
                  <pt idx="353">
                    <v>ミストラルビレッジ203</v>
                  </pt>
                  <pt idx="354">
                    <v>グリーンハイツ早坂</v>
                  </pt>
                  <pt idx="355">
                    <v>メゾンドシャトン</v>
                  </pt>
                  <pt idx="358">
                    <v>プログレッソT-1.2（浜田健一）</v>
                  </pt>
                  <pt idx="359">
                    <v>パークタワー台原</v>
                  </pt>
                  <pt idx="360">
                    <v>南光台　櫻井邸</v>
                  </pt>
                  <pt idx="361">
                    <v>沖野　針生邸</v>
                  </pt>
                  <pt idx="364">
                    <v>サニービル</v>
                  </pt>
                  <pt idx="365">
                    <v>国見　戸建て</v>
                  </pt>
                  <pt idx="366">
                    <v>ジュネスM　202</v>
                  </pt>
                  <pt idx="367">
                    <v>国見　戸建て（表札高橋）</v>
                  </pt>
                  <pt idx="368">
                    <v>ライオンズマンション長町802</v>
                  </pt>
                  <pt idx="369">
                    <v>リバティーファクトリー</v>
                  </pt>
                  <pt idx="370">
                    <v>茂庭　大型コインランドリー</v>
                  </pt>
                  <pt idx="371">
                    <v>エクセレンスMAY</v>
                  </pt>
                  <pt idx="372">
                    <v>アービス向陽台</v>
                  </pt>
                  <pt idx="373">
                    <v>サンハイムサクライ</v>
                  </pt>
                  <pt idx="374">
                    <v>フォーブル杜　101.201</v>
                  </pt>
                  <pt idx="377">
                    <v>栗原　浴槽入替</v>
                  </pt>
                  <pt idx="378">
                    <v>シュッテンアンスバッハ　ABC</v>
                  </pt>
                  <pt idx="379">
                    <v>ホライズン</v>
                  </pt>
                  <pt idx="380">
                    <v>広瀬病院</v>
                  </pt>
                  <pt idx="381">
                    <v>涌谷　甲斐様</v>
                  </pt>
                  <pt idx="382">
                    <v>ダイトシティ愛宕橋　1203</v>
                  </pt>
                  <pt idx="383">
                    <v>シャーメゾンリベルタ</v>
                  </pt>
                  <pt idx="384">
                    <v>サンヒルズもみじが丘B201</v>
                  </pt>
                  <pt idx="386">
                    <v>人来田　鈴木邸</v>
                  </pt>
                  <pt idx="387">
                    <v>市名坂　コイン</v>
                  </pt>
                  <pt idx="388">
                    <v>広瀬病院</v>
                  </pt>
                  <pt idx="389">
                    <v>鈎取　戸建て</v>
                  </pt>
                  <pt idx="392">
                    <v>ハイツAB</v>
                  </pt>
                  <pt idx="393">
                    <v>ハイツAB</v>
                  </pt>
                  <pt idx="394">
                    <v>ハイツAB</v>
                  </pt>
                  <pt idx="395">
                    <v>ドエルタカショーB</v>
                  </pt>
                  <pt idx="396">
                    <v>ハイツAB</v>
                  </pt>
                  <pt idx="397">
                    <v>東九番丁パークマンション604</v>
                  </pt>
                  <pt idx="398">
                    <v>レーベンハウス206</v>
                  </pt>
                  <pt idx="399">
                    <v>関矢邸内装</v>
                  </pt>
                  <pt idx="400">
                    <v>グランドール小松島</v>
                  </pt>
                  <pt idx="403">
                    <v>東九番丁パークマンション708</v>
                  </pt>
                  <pt idx="404">
                    <v>鈎取戸建て　追加</v>
                  </pt>
                  <pt idx="405">
                    <v>T＆T　OKINO</v>
                  </pt>
                  <pt idx="406">
                    <v>ランブル山手（GHやまてまち）</v>
                  </pt>
                  <pt idx="408">
                    <v>油谷邸</v>
                  </pt>
                  <pt idx="409">
                    <v>大槻邸</v>
                  </pt>
                  <pt idx="410">
                    <v>星永邸</v>
                  </pt>
                  <pt idx="411">
                    <v>美田園　阿部邸</v>
                  </pt>
                  <pt idx="412">
                    <v>美田園　八幡邸</v>
                  </pt>
                  <pt idx="414">
                    <v>実家</v>
                  </pt>
                  <pt idx="415">
                    <v>エアリーフォートアクシスフォート511</v>
                  </pt>
                  <pt idx="416">
                    <v>マイハイツ富ヶ丘　塗装</v>
                  </pt>
                  <pt idx="417">
                    <v>レーベンハウス102</v>
                  </pt>
                  <pt idx="418">
                    <v>フォーブル楓201</v>
                  </pt>
                  <pt idx="420">
                    <v>エアリーフォートアクシスフォート511.411.311.211</v>
                  </pt>
                  <pt idx="422">
                    <v>コインランドリーmomo</v>
                  </pt>
                  <pt idx="423">
                    <v>八乙女　本郷邸</v>
                  </pt>
                  <pt idx="424">
                    <v>本町住宅801</v>
                  </pt>
                  <pt idx="426">
                    <v>広瀬病院</v>
                  </pt>
                  <pt idx="427">
                    <v>明石台　内藤邸</v>
                  </pt>
                  <pt idx="428">
                    <v>利府　大竹邸</v>
                  </pt>
                  <pt idx="429">
                    <v>310ビル</v>
                  </pt>
                  <pt idx="430">
                    <v>ハイツAB</v>
                  </pt>
                  <pt idx="431">
                    <v>柏邸</v>
                  </pt>
                  <pt idx="432">
                    <v>シダーハイツ</v>
                  </pt>
                  <pt idx="433">
                    <v>松陵　渡邉邸</v>
                  </pt>
                  <pt idx="434">
                    <v>松陵　渡邉邸</v>
                  </pt>
                  <pt idx="435">
                    <v>鷹の杜　菊池邸</v>
                  </pt>
                  <pt idx="436">
                    <v>遠見塚 西山邸</v>
                  </pt>
                  <pt idx="437">
                    <v>クロスロード</v>
                  </pt>
                  <pt idx="438">
                    <v>袋原　小泉邸</v>
                  </pt>
                  <pt idx="439">
                    <v>石巻　柏山邸</v>
                  </pt>
                  <pt idx="440">
                    <v>盛岡PJ</v>
                  </pt>
                  <pt idx="441">
                    <v>盛岡PJ</v>
                  </pt>
                  <pt idx="442">
                    <v>シャーメゾンシャングリラ</v>
                  </pt>
                  <pt idx="443">
                    <v>加美町 萩野邸</v>
                  </pt>
                  <pt idx="444">
                    <v>南光台 森谷邸</v>
                  </pt>
                  <pt idx="445">
                    <v>シャインコート苦竹</v>
                  </pt>
                  <pt idx="446">
                    <v>支倉パークホームズ1002</v>
                  </pt>
                  <pt idx="448">
                    <v>遠藤マタニティクリニック</v>
                  </pt>
                  <pt idx="450">
                    <v>フォーブル吉住</v>
                  </pt>
                  <pt idx="451">
                    <v>ヴィレッジグリーン</v>
                  </pt>
                  <pt idx="452">
                    <v>なんてん吉岡</v>
                  </pt>
                  <pt idx="453">
                    <v>連坊　パークハウスリシェルテ804</v>
                  </pt>
                  <pt idx="454">
                    <v>ネオハイツ中野栄202</v>
                  </pt>
                  <pt idx="455">
                    <v>ネオハイツ中野栄408</v>
                  </pt>
                  <pt idx="456">
                    <v>ふれあい富谷ホーム</v>
                  </pt>
                  <pt idx="457">
                    <v>桂　濱谷邸</v>
                  </pt>
                  <pt idx="459">
                    <v>コインランドリーじゃぶJOB</v>
                  </pt>
                  <pt idx="460">
                    <v>蒲生　小林邸</v>
                  </pt>
                  <pt idx="461">
                    <v>ほっこり</v>
                  </pt>
                  <pt idx="463">
                    <v>ハイツAB 3年目</v>
                  </pt>
                  <pt idx="464">
                    <v>ハイツAB 3年目　各部屋</v>
                  </pt>
                  <pt idx="465">
                    <v>塩釜　石川邸</v>
                  </pt>
                  <pt idx="466">
                    <v>柏邸　高山紹介</v>
                  </pt>
                  <pt idx="467">
                    <v>広瀬病院</v>
                  </pt>
                  <pt idx="468">
                    <v>遠藤マタニティクリニック</v>
                  </pt>
                  <pt idx="469">
                    <v>ジェネラスマンション上杉703</v>
                  </pt>
                  <pt idx="470">
                    <v>ピックアップ</v>
                  </pt>
                  <pt idx="471">
                    <v>館　佐藤邸</v>
                  </pt>
                  <pt idx="472">
                    <v>みやぎ台　佐藤邸</v>
                  </pt>
                  <pt idx="473">
                    <v>みやぎ台バルコニー交換</v>
                  </pt>
                  <pt idx="474">
                    <v>石川邸　漏水修理</v>
                  </pt>
                  <pt idx="476">
                    <v>小田原ライオンズ　103永田様</v>
                  </pt>
                  <pt idx="477">
                    <v>加茂　郷右近邸</v>
                  </pt>
                  <pt idx="478">
                    <v>吉成　大沼邸便器交換</v>
                  </pt>
                  <pt idx="479">
                    <v>-</v>
                  </pt>
                  <pt idx="480">
                    <v>八ファミール中島丁306　佐藤邸</v>
                  </pt>
                  <pt idx="481">
                    <v>ダイヤパレスいずみの杜南光台　佐藤邸</v>
                  </pt>
                  <pt idx="482">
                    <v>野のゆりホーム</v>
                  </pt>
                  <pt idx="483">
                    <v>ピックアップ</v>
                  </pt>
                  <pt idx="484">
                    <v>ソファレ早川101</v>
                  </pt>
                  <pt idx="485">
                    <v>河西様邸</v>
                  </pt>
                  <pt idx="486">
                    <v>ふれあい　さつきホーム</v>
                  </pt>
                  <pt idx="487">
                    <v>ほっこり</v>
                  </pt>
                  <pt idx="488">
                    <v>シャーメゾングリーンフィールド</v>
                  </pt>
                  <pt idx="489">
                    <v>スナック美々</v>
                  </pt>
                  <pt idx="491">
                    <v>レーベンハウス102</v>
                  </pt>
                  <pt idx="492">
                    <v>西中田　斎藤邸</v>
                  </pt>
                  <pt idx="493">
                    <v>ネオハイツ中野栄505</v>
                  </pt>
                  <pt idx="494">
                    <v>吉成　三浦邸　（佐々友人）</v>
                  </pt>
                  <pt idx="496">
                    <v>山田自由が丘　小川邸</v>
                  </pt>
                  <pt idx="497">
                    <v>西中田　荒木邸</v>
                  </pt>
                  <pt idx="498">
                    <v>亘理　オーニング電源</v>
                  </pt>
                  <pt idx="500">
                    <v>美里町　大石様</v>
                  </pt>
                  <pt idx="501">
                    <v>福室　及川邸</v>
                  </pt>
                  <pt idx="502">
                    <v>グリーンヒルズ　chida-F201</v>
                  </pt>
                  <pt idx="503">
                    <v>美里町　藤村邸</v>
                  </pt>
                  <pt idx="505">
                    <v>角田商店</v>
                  </pt>
                  <pt idx="506">
                    <v>シャーメゾンステージ広瀬通1104</v>
                  </pt>
                  <pt idx="507">
                    <v>緑ヶ丘　千葉様</v>
                  </pt>
                  <pt idx="508">
                    <v>大友邸（佐々友人）</v>
                  </pt>
                  <pt idx="509">
                    <v>那智が丘　鈴木邸</v>
                  </pt>
                  <pt idx="510">
                    <v>朝日プラザ柏木703号室</v>
                  </pt>
                  <pt idx="511">
                    <v>パークハウス米ケ袋305</v>
                  </pt>
                  <pt idx="513">
                    <v>西中田　井上邸　グランコート南仙台第一605</v>
                  </pt>
                  <pt idx="514">
                    <v>国見　茂木邸</v>
                  </pt>
                  <pt idx="515">
                    <v>柴田　青野邸</v>
                  </pt>
                  <pt idx="516">
                    <v>長命ヶ丘　室橋邸</v>
                  </pt>
                  <pt idx="517">
                    <v>上杉マンション　三浦邸</v>
                  </pt>
                  <pt idx="518">
                    <v>あたご住宅</v>
                  </pt>
                  <pt idx="519">
                    <v>鶴ケ谷 高橋邸</v>
                  </pt>
                  <pt idx="520">
                    <v>松陵　石黒邸</v>
                  </pt>
                  <pt idx="521">
                    <v>美里町　神寺不動尊松景院</v>
                  </pt>
                  <pt idx="522">
                    <v>大郷　糟川襌寺</v>
                  </pt>
                  <pt idx="523">
                    <v>小松島 レックスハイツ東照宮201</v>
                  </pt>
                  <pt idx="524">
                    <v>アポロシティ高砂壱番館305</v>
                  </pt>
                  <pt idx="525">
                    <v>石巻　佐藤邸</v>
                  </pt>
                  <pt idx="527">
                    <v>佐藤 広顕邸</v>
                  </pt>
                  <pt idx="529">
                    <v>シャーメゾンリジェ201</v>
                  </pt>
                  <pt idx="530">
                    <v>グランコート若林　401</v>
                  </pt>
                  <pt idx="531">
                    <v>グランコート若林　401</v>
                  </pt>
                  <pt idx="532">
                    <v>吉成　アパート（平様）</v>
                  </pt>
                  <pt idx="534">
                    <v>しゃぼん柳生</v>
                  </pt>
                  <pt idx="535">
                    <v>八木山 大津邸</v>
                  </pt>
                  <pt idx="536">
                    <v>菊池邸（グランドメゾン）</v>
                  </pt>
                  <pt idx="537">
                    <v>ハイツAB3部屋</v>
                  </pt>
                  <pt idx="538">
                    <v>ハイツAB3部屋</v>
                  </pt>
                  <pt idx="539">
                    <v>ハイツAB　14部屋　退去</v>
                  </pt>
                  <pt idx="540">
                    <v>サン工房</v>
                  </pt>
                  <pt idx="541">
                    <v>ふれあい事務所</v>
                  </pt>
                  <pt idx="542">
                    <v>成田邸　障子作成</v>
                  </pt>
                  <pt idx="543">
                    <v>六丁の目　小野邸　新築マンション</v>
                  </pt>
                  <pt idx="544">
                    <v>沖野 相原邸</v>
                  </pt>
                  <pt idx="545">
                    <v>シティハウス長町南ステーションコート301</v>
                  </pt>
                  <pt idx="547">
                    <v>黒松 藤原邸</v>
                  </pt>
                  <pt idx="548">
                    <v>明石台 大友邸</v>
                  </pt>
                  <pt idx="549">
                    <v>日吉台　伊藤邸</v>
                  </pt>
                  <pt idx="550">
                    <v>パールグレイス</v>
                  </pt>
                  <pt idx="551">
                    <v>グリーンヒルズ　chida-D201</v>
                  </pt>
                  <pt idx="552">
                    <v>大和町　福田邸</v>
                  </pt>
                  <pt idx="553">
                    <v>名取大手町　ガラスシート工事</v>
                  </pt>
                  <pt idx="554">
                    <v>ドエルポラリス</v>
                  </pt>
                  <pt idx="555">
                    <v>長町街苑パークマンション315号</v>
                  </pt>
                  <pt idx="556">
                    <v>パークハウスリシェルテ1501</v>
                  </pt>
                  <pt idx="557">
                    <v>油谷邸</v>
                  </pt>
                  <pt idx="558">
                    <v>加茂　松本邸</v>
                  </pt>
                  <pt idx="559">
                    <v>アップヒルズ泉ヶ丘</v>
                  </pt>
                  <pt idx="561">
                    <v>緑ヶ丘　千葉様</v>
                  </pt>
                  <pt idx="562">
                    <v>パークハウスリシェルテ1501</v>
                  </pt>
                  <pt idx="563">
                    <v>荒井　笠松邸</v>
                  </pt>
                  <pt idx="564">
                    <v>上杉　坂入邸</v>
                  </pt>
                  <pt idx="565">
                    <v>利府　田崎邸</v>
                  </pt>
                  <pt idx="566">
                    <v>ガッツレンタカー</v>
                  </pt>
                  <pt idx="567">
                    <v>登米宝江　北川さん</v>
                  </pt>
                  <pt idx="568">
                    <v>平地邸</v>
                  </pt>
                  <pt idx="569">
                    <v>山王　戸建て</v>
                  </pt>
                  <pt idx="570">
                    <v>シャーメゾン榴岡107</v>
                  </pt>
                  <pt idx="571">
                    <v>シャーメゾン榴岡107</v>
                  </pt>
                  <pt idx="572">
                    <v>南明ハイツ206</v>
                  </pt>
                  <pt idx="574">
                    <v>あすと長町レジデンシャルタワー2008</v>
                  </pt>
                  <pt idx="575">
                    <v>パークハウスリシェルテ1507</v>
                  </pt>
                  <pt idx="576">
                    <v>パークハウスリシェルテ802</v>
                  </pt>
                  <pt idx="577">
                    <v>パークハウス米ケ袋305</v>
                  </pt>
                  <pt idx="578">
                    <v>パークハウスリシェルテ1003</v>
                  </pt>
                  <pt idx="579">
                    <v>ウイングハイツA102</v>
                  </pt>
                  <pt idx="580">
                    <v>ウイングハイツA203</v>
                  </pt>
                  <pt idx="581">
                    <v>コートカノン106</v>
                  </pt>
                  <pt idx="582">
                    <v>ベルシャンブル103</v>
                  </pt>
                  <pt idx="583">
                    <v>サニーハイツ西原205</v>
                  </pt>
                  <pt idx="584">
                    <v>シティハウス長町南ステーションコート301</v>
                  </pt>
                  <pt idx="585">
                    <v>錦が丘　プラッツ</v>
                  </pt>
                  <pt idx="586">
                    <v>シティハウス北仙台ステーションコート601</v>
                  </pt>
                  <pt idx="587">
                    <v>門間邸</v>
                  </pt>
                  <pt idx="588">
                    <v>吉岡　菅原邸</v>
                  </pt>
                  <pt idx="589">
                    <v>グループホームきくた</v>
                  </pt>
                  <pt idx="590">
                    <v>グループホームやまて</v>
                  </pt>
                  <pt idx="591">
                    <v>メモリアルホール亘理</v>
                  </pt>
                  <pt idx="592">
                    <v>ホライゾン学園</v>
                  </pt>
                  <pt idx="594">
                    <v>ミスターランドリー</v>
                  </pt>
                  <pt idx="595">
                    <v>けやき薬局</v>
                  </pt>
                  <pt idx="596">
                    <v>ふれあい　とみやホーム</v>
                  </pt>
                  <pt idx="597">
                    <v>コージーアレイA201</v>
                  </pt>
                  <pt idx="598">
                    <v>コージーアレイB203</v>
                  </pt>
                  <pt idx="599">
                    <v>K`SCOM　101</v>
                  </pt>
                  <pt idx="600">
                    <v>丸光屋クリーニング</v>
                  </pt>
                  <pt idx="601">
                    <v>丸光屋クリーニング</v>
                  </pt>
                  <pt idx="602">
                    <v>石川邸</v>
                  </pt>
                  <pt idx="603">
                    <v>マルヒロ</v>
                  </pt>
                  <pt idx="604">
                    <v>GHきくたまち</v>
                  </pt>
                  <pt idx="605">
                    <v>桂　斎藤邸</v>
                  </pt>
                  <pt idx="606">
                    <v>富ヶ丘　遠藤邸</v>
                  </pt>
                  <pt idx="608">
                    <v>ネオハイツ多賀城203</v>
                  </pt>
                  <pt idx="609">
                    <v>ルサンク仙台908</v>
                  </pt>
                  <pt idx="610">
                    <v>山本　田所邸</v>
                  </pt>
                  <pt idx="612">
                    <v>ネオハイツ多賀城103</v>
                  </pt>
                  <pt idx="613">
                    <v>名取　近江邸</v>
                  </pt>
                  <pt idx="614">
                    <v>台原 松橋邸</v>
                  </pt>
                  <pt idx="615">
                    <v>なないろの里　中島様</v>
                  </pt>
                  <pt idx="616">
                    <v>亘理 鈴木邸</v>
                  </pt>
                  <pt idx="617">
                    <v>コージーアレイA205</v>
                  </pt>
                  <pt idx="618">
                    <v>コージーアレイB205</v>
                  </pt>
                  <pt idx="619">
                    <v>美々　ひより台</v>
                  </pt>
                  <pt idx="620">
                    <v>コーポフィオレ　B102</v>
                  </pt>
                  <pt idx="623">
                    <v>ふれあい　ｺﾝｾﾝﾄ移設工事</v>
                  </pt>
                  <pt idx="624">
                    <v>コージーアレイB206</v>
                  </pt>
                  <pt idx="625">
                    <v>グループホームやまてまち104</v>
                  </pt>
                  <pt idx="626">
                    <v>パークアベニュー八乙女ガーデン305</v>
                  </pt>
                  <pt idx="627">
                    <v>GHかみやがり</v>
                  </pt>
                  <pt idx="628">
                    <v>GHきくたまち</v>
                  </pt>
                  <pt idx="630">
                    <v>藤本邸</v>
                  </pt>
                  <pt idx="631">
                    <v>紫山　中野邸</v>
                  </pt>
                  <pt idx="632">
                    <v>桜ヶ丘　武田様</v>
                  </pt>
                  <pt idx="633">
                    <v>パークアベニュー八乙女ガーデン　512木村邸</v>
                  </pt>
                  <pt idx="634">
                    <v>パークアベニュー八乙女ガーデン　513小嶋</v>
                  </pt>
                  <pt idx="636">
                    <v>パークアベニュー八乙女306</v>
                  </pt>
                  <pt idx="637">
                    <v>パークハウスリシェルテ409</v>
                  </pt>
                  <pt idx="638">
                    <v>光和工業サウナ施設</v>
                  </pt>
                  <pt idx="639">
                    <v>福田町倉庫</v>
                  </pt>
                  <pt idx="640">
                    <v>メゾンエスポワール</v>
                  </pt>
                  <pt idx="641">
                    <v>事務所床貼替</v>
                  </pt>
                  <pt idx="642">
                    <v>ホライゾン学園</v>
                  </pt>
                  <pt idx="643">
                    <v>アップルタワー</v>
                  </pt>
                  <pt idx="644">
                    <v>サニーハイツ西原103</v>
                  </pt>
                  <pt idx="645">
                    <v>エコープラザⅡ105</v>
                  </pt>
                  <pt idx="646">
                    <v>グリーンヒルズ　chida-F101</v>
                  </pt>
                  <pt idx="647">
                    <v>ドエルタカショー</v>
                  </pt>
                  <pt idx="649">
                    <v>パークアベニュー八乙女811</v>
                  </pt>
                  <pt idx="650">
                    <v>　</v>
                  </pt>
                  <pt idx="652">
                    <v>パークハウス上杉リシェルテ402</v>
                  </pt>
                  <pt idx="653">
                    <v>福室　本田邸</v>
                  </pt>
                  <pt idx="654">
                    <v>小田原　本田邸</v>
                  </pt>
                  <pt idx="655">
                    <v>パークアベニュー八乙女601</v>
                  </pt>
                  <pt idx="656">
                    <v>ホライゾン学園</v>
                  </pt>
                  <pt idx="657">
                    <v>グループホームきくたまち</v>
                  </pt>
                  <pt idx="658">
                    <v>ホライゾン学園　テナント</v>
                  </pt>
                  <pt idx="660">
                    <v>ラフォーレ八木山</v>
                  </pt>
                  <pt idx="661">
                    <v>赤間宅</v>
                  </pt>
                  <pt idx="662">
                    <v>朝見邸</v>
                  </pt>
                  <pt idx="663">
                    <v>ナイスアーバンステイツ南仙台</v>
                  </pt>
                  <pt idx="664">
                    <v>労災病院</v>
                  </pt>
                  <pt idx="665">
                    <v>東急ドエルアルス雨宮B208</v>
                  </pt>
                  <pt idx="666">
                    <v>ふれあい　とまとホーム</v>
                  </pt>
                  <pt idx="667">
                    <v>油谷邸</v>
                  </pt>
                  <pt idx="668">
                    <v>グループホームきくたまち</v>
                  </pt>
                  <pt idx="669">
                    <v>パークハウスリシェルテ1504</v>
                  </pt>
                  <pt idx="670">
                    <v>町屋ミュージアム　1期　STAY TOYOMA</v>
                  </pt>
                  <pt idx="671">
                    <v>東急ドエルアルス雨宮B208</v>
                  </pt>
                  <pt idx="673">
                    <v>高森　山田邸</v>
                  </pt>
                  <pt idx="674">
                    <v>支倉　丹治様</v>
                  </pt>
                  <pt idx="675">
                    <v xml:space="preserve">山口邸　</v>
                  </pt>
                  <pt idx="676">
                    <v>コンフォーザレフィアント</v>
                  </pt>
                  <pt idx="677">
                    <v>中島邸</v>
                  </pt>
                  <pt idx="678">
                    <v>あいタウン福浦　戸建て</v>
                  </pt>
                  <pt idx="680">
                    <v>パークハウスリシェルテ1504　横橋</v>
                  </pt>
                  <pt idx="681">
                    <v>東仙台　富田邸</v>
                  </pt>
                  <pt idx="682">
                    <v>八乙女マンション702　原田</v>
                  </pt>
                  <pt idx="683">
                    <v>高森　山田邸</v>
                  </pt>
                  <pt idx="684">
                    <v>奥山クリーニング</v>
                  </pt>
                  <pt idx="686">
                    <v>塩川邸</v>
                  </pt>
                  <pt idx="687">
                    <v>ONハウス</v>
                  </pt>
                  <pt idx="688">
                    <v>山田邸</v>
                  </pt>
                  <pt idx="689">
                    <v>藪内聖皓様</v>
                  </pt>
                  <pt idx="690">
                    <v>ファミールグラン支倉町</v>
                  </pt>
                  <pt idx="691">
                    <v>あっぷる愛子こども園</v>
                  </pt>
                  <pt idx="692">
                    <v>石巻マリンヴィレッジ</v>
                  </pt>
                  <pt idx="693">
                    <v>中島邸</v>
                  </pt>
                  <pt idx="694">
                    <v>ハイツAB</v>
                  </pt>
                  <pt idx="695">
                    <v>加美町　蔵内装</v>
                  </pt>
                  <pt idx="696">
                    <v>広瀬病院</v>
                  </pt>
                  <pt idx="697">
                    <v>西塚邸</v>
                  </pt>
                  <pt idx="698">
                    <v>冨士機材</v>
                  </pt>
                  <pt idx="699">
                    <v>奥山クリーニング</v>
                  </pt>
                  <pt idx="700">
                    <v>塩川邸</v>
                  </pt>
                  <pt idx="701">
                    <v>ハイツファインロード漏水</v>
                  </pt>
                  <pt idx="702">
                    <v>ナイスアーバンステイツ南仙台</v>
                  </pt>
                  <pt idx="703">
                    <v>自由ヶ丘　大沼邸</v>
                  </pt>
                  <pt idx="704">
                    <v>明石台　石井邸</v>
                  </pt>
                  <pt idx="705">
                    <v>ドルチェB202</v>
                  </pt>
                  <pt idx="706">
                    <v>富ヶ丘　本多邸</v>
                  </pt>
                  <pt idx="707">
                    <v>STAY TOYOMA</v>
                  </pt>
                  <pt idx="708">
                    <v>ドルチェB</v>
                  </pt>
                  <pt idx="709">
                    <v>濱田邸</v>
                  </pt>
                  <pt idx="710">
                    <v>長町街苑パークマンション817</v>
                  </pt>
                  <pt idx="711">
                    <v>シティウイング北仙台</v>
                  </pt>
                  <pt idx="712">
                    <v>杉浦邸（宮千代）</v>
                  </pt>
                  <pt idx="713">
                    <v>山田俊一邸</v>
                  </pt>
                  <pt idx="714">
                    <v>紫山 中野邸</v>
                  </pt>
                  <pt idx="715">
                    <v>大梶 佐藤望邸</v>
                  </pt>
                  <pt idx="716">
                    <v>七ヶ浜汐見台南 澤畠邸</v>
                  </pt>
                  <pt idx="717">
                    <v>明石台 石井邸（追加クロス）</v>
                  </pt>
                  <pt idx="718">
                    <v>石森繁子邸</v>
                  </pt>
                  <pt idx="719">
                    <v>角五郎 廣田邸</v>
                  </pt>
                  <pt idx="720">
                    <v>佐藤巧邸（利府）</v>
                  </pt>
                  <pt idx="721">
                    <v>苦竹BASE</v>
                  </pt>
                  <pt idx="722">
                    <v>大村様邸（花京院）</v>
                  </pt>
                  <pt idx="723">
                    <v>大河原雄一郎邸</v>
                  </pt>
                  <pt idx="724">
                    <v>STAY TOYOMA</v>
                  </pt>
                  <pt idx="725">
                    <v>菊池美佐子邸</v>
                  </pt>
                  <pt idx="726">
                    <v>さくらホーム</v>
                  </pt>
                  <pt idx="727">
                    <v>中島邸</v>
                  </pt>
                  <pt idx="728">
                    <v>小野 勝子様邸</v>
                  </pt>
                  <pt idx="729">
                    <v>山田邸　カーポート樋交換</v>
                  </pt>
                  <pt idx="730">
                    <v>桂パークハウス西街区四番館502 吉田貢様邸</v>
                  </pt>
                </lvl>
                <lvl>
                  <pt idx="0">
                    <v>H31.1</v>
                  </pt>
                  <pt idx="24">
                    <v>H31.2</v>
                  </pt>
                  <pt idx="32">
                    <v>H31.3</v>
                  </pt>
                  <pt idx="38">
                    <v>Ｈ31.4</v>
                  </pt>
                  <pt idx="45">
                    <v>R1.5</v>
                  </pt>
                  <pt idx="57">
                    <v>R1.6</v>
                  </pt>
                  <pt idx="65">
                    <v>R1.7</v>
                  </pt>
                  <pt idx="71">
                    <v>R1.8</v>
                  </pt>
                  <pt idx="81">
                    <v>R1.9月</v>
                  </pt>
                  <pt idx="96">
                    <v>R1.10月</v>
                  </pt>
                  <pt idx="110">
                    <v>R1.11月</v>
                  </pt>
                  <pt idx="117">
                    <v>R1.12月</v>
                  </pt>
                  <pt idx="125">
                    <v>R2.1月</v>
                  </pt>
                  <pt idx="130">
                    <v>R2.2月</v>
                  </pt>
                  <pt idx="137">
                    <v>R2.3</v>
                  </pt>
                  <pt idx="144">
                    <v>R2.5</v>
                  </pt>
                  <pt idx="154">
                    <v>R2.6</v>
                  </pt>
                  <pt idx="165">
                    <v>R2.7</v>
                  </pt>
                  <pt idx="171">
                    <v>R2.8</v>
                  </pt>
                  <pt idx="178">
                    <v>R2.9</v>
                  </pt>
                  <pt idx="185">
                    <v>R2.10</v>
                  </pt>
                  <pt idx="192">
                    <v>R2.11</v>
                  </pt>
                  <pt idx="203">
                    <v>R2.12</v>
                  </pt>
                  <pt idx="213">
                    <v>R3.1</v>
                  </pt>
                  <pt idx="222">
                    <v>R3.2</v>
                  </pt>
                  <pt idx="231">
                    <v>R3.3</v>
                  </pt>
                  <pt idx="251">
                    <v>R3.4</v>
                  </pt>
                  <pt idx="257">
                    <v>R3.5</v>
                  </pt>
                  <pt idx="268">
                    <v>R3.7</v>
                  </pt>
                  <pt idx="278">
                    <v>R3.8</v>
                  </pt>
                  <pt idx="286">
                    <v>R3.9</v>
                  </pt>
                  <pt idx="291">
                    <v>R3.10</v>
                  </pt>
                  <pt idx="296">
                    <v>R4.2</v>
                  </pt>
                  <pt idx="299">
                    <v>R4.3</v>
                  </pt>
                  <pt idx="307">
                    <v>R4.4</v>
                  </pt>
                  <pt idx="314">
                    <v>R4.5</v>
                  </pt>
                  <pt idx="320">
                    <v>R4.6</v>
                  </pt>
                  <pt idx="324">
                    <v>R4.7</v>
                  </pt>
                  <pt idx="377">
                    <v>R5.1</v>
                  </pt>
                  <pt idx="386">
                    <v>R5.2</v>
                  </pt>
                  <pt idx="392">
                    <v>R5.3</v>
                  </pt>
                  <pt idx="403">
                    <v>R5.4</v>
                  </pt>
                  <pt idx="408">
                    <v>R5.5</v>
                  </pt>
                  <pt idx="414">
                    <v>R5.6</v>
                  </pt>
                  <pt idx="420">
                    <v>R5.7</v>
                  </pt>
                  <pt idx="422">
                    <v>R5.8</v>
                  </pt>
                  <pt idx="426">
                    <v>R5.9</v>
                  </pt>
                  <pt idx="448">
                    <v>R5.10</v>
                  </pt>
                  <pt idx="450">
                    <v>R5.11</v>
                  </pt>
                  <pt idx="459">
                    <v>R5.12</v>
                  </pt>
                  <pt idx="463">
                    <v>R6.3</v>
                  </pt>
                  <pt idx="476">
                    <v>R6.5</v>
                  </pt>
                  <pt idx="480">
                    <v>R6.7</v>
                  </pt>
                  <pt idx="491">
                    <v>R6.8</v>
                  </pt>
                </lvl>
              </multiLvlStrCache>
              <f>Sheet1!$A$4:$H$1104</f>
            </multiLvlStrRef>
          </cat>
          <val>
            <numRef>
              <f>Sheet1!$BG$4:$BG$1104</f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875349032"/>
        <axId val="875349688"/>
      </barChart>
      <catAx>
        <axId val="875349032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ja-JP"/>
          </a:p>
        </txPr>
        <crossAx val="875349688"/>
        <crosses val="autoZero"/>
        <auto val="1"/>
        <lblAlgn val="ctr"/>
        <lblOffset val="100"/>
        <noMultiLvlLbl val="0"/>
      </catAx>
      <valAx>
        <axId val="8753496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(&quot;¥&quot;* #,##0_);_(&quot;¥&quot;* \(#,##0\);_(&quot;¥&quot;* &quot;-&quot;_);_(@_)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ja-JP"/>
          </a:p>
        </txPr>
        <crossAx val="8753490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ja-JP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グラフ1"/>
  <sheetViews>
    <sheetView zoomScale="111" workbookViewId="0" zoomToFit="1"/>
  </sheetViews>
  <pageMargins left="0.7" right="0.7" top="0.75" bottom="0.75" header="0.3" footer="0.3"/>
  <drawing xmlns:r="http://schemas.openxmlformats.org/officeDocument/2006/relationships" r:id="rId1"/>
</chartsheet>
</file>

<file path=xl/comments/comment1.xml><?xml version="1.0" encoding="utf-8"?>
<comments xmlns="http://schemas.openxmlformats.org/spreadsheetml/2006/main">
  <authors>
    <author>社長</author>
  </authors>
  <commentList>
    <comment ref="AZ351" authorId="0" shapeId="0">
      <text>
        <t>社長:
雪止め</t>
      </text>
    </comment>
    <comment ref="BG351" authorId="0" shapeId="0">
      <text>
        <t xml:space="preserve">社長:
樋+フェンス
</t>
      </text>
    </comment>
    <comment ref="BG352" authorId="0" shapeId="0">
      <text>
        <t xml:space="preserve">社長:
ポンプ点検費
</t>
      </text>
    </comment>
    <comment ref="AZ354" authorId="0" shapeId="0">
      <text>
        <t>社長:
SRC</t>
      </text>
    </comment>
    <comment ref="AZ357" authorId="0" shapeId="0">
      <text>
        <t>社長:
がす</t>
      </text>
    </comment>
    <comment ref="AZ375" authorId="0" shapeId="0">
      <text>
        <t xml:space="preserve">社長:弘和　砂利撤去
</t>
      </text>
    </comment>
    <comment ref="W382" authorId="0" shapeId="0">
      <text>
        <t xml:space="preserve">社長:
軒樋交換　2000/ｍ
雪止め1台3000円
</t>
      </text>
    </comment>
    <comment ref="L383" authorId="0" shapeId="0">
      <text>
        <t>社長:
山田手配</t>
      </text>
    </comment>
    <comment ref="V383" authorId="0" shapeId="0">
      <text>
        <t xml:space="preserve">社長:足場と管理費
</t>
      </text>
    </comment>
    <comment ref="AZ386" authorId="0" shapeId="0">
      <text>
        <t>社長:
紹介料150000柴田
+ゴミ代</t>
      </text>
    </comment>
    <comment ref="O390" authorId="0" shapeId="0">
      <text>
        <t>天井塗装</t>
      </text>
    </comment>
    <comment ref="AB390" authorId="0" shapeId="0">
      <text>
        <t xml:space="preserve">社長:
</t>
      </text>
    </comment>
    <comment ref="AZ390" authorId="0" shapeId="0">
      <text>
        <t>社長:
富谷環境</t>
      </text>
    </comment>
    <comment ref="BG390" authorId="0" shapeId="0">
      <text>
        <t>社長:
佐信木材　材料費</t>
      </text>
    </comment>
    <comment ref="AB396" authorId="0" shapeId="0">
      <text>
        <t>社長:
A106201　ｂ112漏水修理込</t>
      </text>
    </comment>
    <comment ref="W399" authorId="0" shapeId="0">
      <text>
        <t xml:space="preserve">社長:
軒樋交換　2000/ｍ
雪止め1台3000円
</t>
      </text>
    </comment>
    <comment ref="BG401" authorId="0" shapeId="0">
      <text>
        <t xml:space="preserve">社長:
紹介料
</t>
      </text>
    </comment>
    <comment ref="BG403" authorId="0" shapeId="0">
      <text>
        <t>社長:
支払い拒否分+化粧台再工事分</t>
      </text>
    </comment>
    <comment ref="U407" authorId="0" shapeId="0">
      <text>
        <t xml:space="preserve">社長:
ランデックスコート疎水材　WA-Aクリア
</t>
      </text>
    </comment>
    <comment ref="AZ407" authorId="0" shapeId="0">
      <text>
        <t>社長:宮城ノーミ警報器</t>
      </text>
    </comment>
    <comment ref="BG407" authorId="0" shapeId="0">
      <text>
        <t>社長:柴田さん紹介料10％</t>
      </text>
    </comment>
    <comment ref="AJ408" authorId="0" shapeId="0">
      <text>
        <t xml:space="preserve">社長:
軽清掃
</t>
      </text>
    </comment>
    <comment ref="W412" authorId="0" shapeId="0">
      <text>
        <t xml:space="preserve">社長:
屋根板金50000
</t>
      </text>
    </comment>
    <comment ref="W413" authorId="0" shapeId="0">
      <text>
        <t xml:space="preserve">社長:
蓄暖撤去、巾木補修、FL補修
</t>
      </text>
    </comment>
    <comment ref="AZ413" authorId="0" shapeId="0">
      <text>
        <t xml:space="preserve">社長:
マジカル床補修
</t>
      </text>
    </comment>
    <comment ref="BG424" authorId="0" shapeId="0">
      <text>
        <t xml:space="preserve">社長:
トラップ：パン購入費
</t>
      </text>
    </comment>
    <comment ref="AR426" authorId="0" shapeId="0">
      <text>
        <t xml:space="preserve">社長:
税込み
</t>
      </text>
    </comment>
    <comment ref="BG426" authorId="0" shapeId="0">
      <text>
        <t xml:space="preserve">社長:
コメント
カイト10775380+65500
</t>
      </text>
    </comment>
    <comment ref="BG433" authorId="0" shapeId="0">
      <text>
        <t xml:space="preserve">社長:
鍵材料+便座
</t>
      </text>
    </comment>
    <comment ref="BG435" authorId="0" shapeId="0">
      <text>
        <t>社長:
高山　紹介料</t>
      </text>
    </comment>
    <comment ref="BG436" authorId="0" shapeId="0">
      <text>
        <t xml:space="preserve">社長:
長崎賢哲　80000
</t>
      </text>
    </comment>
    <comment ref="BG437" authorId="0" shapeId="0">
      <text>
        <t>社長:
久美さん紹介料</t>
      </text>
    </comment>
    <comment ref="BG449" authorId="0" shapeId="0">
      <text>
        <t xml:space="preserve">社長:
ベントキャップ
</t>
      </text>
    </comment>
    <comment ref="BG465" authorId="0" shapeId="0">
      <text>
        <t>社長:
イワタニ分</t>
      </text>
    </comment>
    <comment ref="AB467" authorId="0" shapeId="0">
      <text>
        <t>社長:
A106201　ｂ112漏水修理込</t>
      </text>
    </comment>
    <comment ref="BG470" authorId="0" shapeId="0">
      <text>
        <t xml:space="preserve">社長:
紹介料5％
</t>
      </text>
    </comment>
    <comment ref="BG473" authorId="0" shapeId="0">
      <text>
        <t xml:space="preserve">社長:
鍵代　キーセンター
</t>
      </text>
    </comment>
    <comment ref="BG476" authorId="0" shapeId="0">
      <text>
        <t>社長:
佐々木さん紹介料</t>
      </text>
    </comment>
    <comment ref="BG478" authorId="0" shapeId="0">
      <text>
        <t>社長:
佐信</t>
      </text>
    </comment>
    <comment ref="AH534" authorId="0" shapeId="0">
      <text>
        <t xml:space="preserve">社長:
1期分253600+2期分
</t>
      </text>
    </comment>
    <comment ref="BG536" authorId="0" shapeId="0">
      <text>
        <t xml:space="preserve">社長:
内筒管
</t>
      </text>
    </comment>
    <comment ref="BE538" authorId="0" shapeId="0">
      <text>
        <t>社長:
仙台プロパン</t>
      </text>
    </comment>
    <comment ref="BG538" authorId="0" shapeId="0">
      <text>
        <t xml:space="preserve">社長:
創建コーポレーション上下水道引っ込み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社長" refreshedDate="46065.56307233797" createdVersion="8" refreshedVersion="8" minRefreshableVersion="3" recordCount="1101" r:id="rId1">
  <cacheSource type="worksheet">
    <worksheetSource ref="A3:BG1104" sheet="Sheet1"/>
  </cacheSource>
  <cacheFields count="57">
    <cacheField name="支払月" uniqueList="1" numFmtId="0" sqlType="0" hierarchy="0" level="0" databaseField="1">
      <sharedItems count="0" containsBlank="1"/>
    </cacheField>
    <cacheField name="現場名" uniqueList="1" numFmtId="0" sqlType="0" hierarchy="0" level="0" databaseField="1">
      <sharedItems count="475" containsBlank="1" containsInteger="1" containsMixedTypes="1" containsNumber="1" minValue="0" maxValue="0">
        <s v="ローズフラット"/>
        <s v="アイリスタウンC"/>
        <s v="南光台鈴木邸"/>
        <s v="南相馬 菅野邸"/>
        <s v="高橋貸家　樋交換"/>
        <s v="シャーメゾン下原Ⅰ202"/>
        <s v="ステラⅡ　110"/>
        <s v="シャンボール吉岡A105"/>
        <s v="ウエストフレグランスC102"/>
        <s v="フレグランスもみじヶ丘"/>
        <s v="ベルメゾンⅠ203"/>
        <s v="パステルコート成田B202"/>
        <s v="クリプトメリア201"/>
        <s v="八幡社宅　203"/>
        <s v="グリーンハイツB101"/>
        <s v="うさちゃん　原町"/>
        <s v="ドミトリー202"/>
        <s v="名取ヶ丘　三村邸"/>
        <s v="登米 菊池美容院"/>
        <s v="サンライフクリオネ"/>
        <s v="各現場"/>
        <s v="合計"/>
        <m/>
        <s v="ダディーハウス明石台"/>
        <s v="フラワーハイツA"/>
        <s v="うさちゃん　YB新田東"/>
        <s v="ディアス　ONE"/>
        <s v="ディアス苦竹A"/>
        <s v="ビラージュ八幡"/>
        <s v="ディアスTHREE"/>
        <s v="パステ-ルハウスA・B"/>
        <s v="コインランドリーJabba"/>
        <s v="シャーメゾンＫ"/>
        <s v="ディアスＦＩＶＥ"/>
        <s v="ベルタウンⅢ"/>
        <s v="美田園パレット"/>
        <s v="グレートシリウス"/>
        <s v="ストラダーレ"/>
        <s v="プチドミール"/>
        <s v="コンフィーＯＮＥ"/>
        <s v="ディアスＦＯＵＲ"/>
        <s v="ベルタウンⅡ"/>
        <s v="フラッツＪ‘ｓ"/>
        <s v="グレイスボナール"/>
        <s v="松山 三浦邸"/>
        <s v="ゆりが丘　市原邸"/>
        <s v="アンシャンテ豊田"/>
        <s v="エクセレントフタバ"/>
        <s v="コートビギン"/>
        <s v="塩釜 渡辺邸"/>
        <s v="コーポユーカリ/Ⅱ（2棟）"/>
        <s v="サンティエ"/>
        <s v="パークヒルズK"/>
        <s v="アスティオン"/>
        <s v="プレイスティージュE"/>
        <s v="シャルマンA"/>
        <s v="シャルマンB"/>
        <s v="シャーメゾン下原Ⅰ"/>
        <s v="ラフィーネ市名坂"/>
        <s v="シャルマンAB"/>
        <s v="うさちゃんクリーニングアクロス"/>
        <s v="グレイスコートA"/>
        <s v="グレイスコートB"/>
        <s v="ラフィーネ高玉A"/>
        <s v="アーバンヒルズ"/>
        <s v="フレグランス黒松"/>
        <s v="塩釜　名取邸"/>
        <s v="荒井　小野邸"/>
        <s v="大倉　早坂邸"/>
        <s v="シャーメゾン下原Ⅱ"/>
        <s v="ラフィーネ市名坂Ⅱ"/>
        <s v="アミコトーA"/>
        <s v="グリーンフィールド成出E"/>
        <s v="グリーンフィールド成出F"/>
        <s v="寺岡 千葉邸"/>
        <s v="六木小学校"/>
        <s v="セフィラ淡雪"/>
        <s v="ボヌール"/>
        <s v="シャーメゾン下原Ⅲ"/>
        <s v="ラフィーネ高玉B"/>
        <s v="アスティオンⅡ"/>
        <s v="サンシャインFOUR"/>
        <s v="アミコトーC"/>
        <s v="ウイングハイツA"/>
        <s v="ウイングハイツB"/>
        <s v="ファミールコマツ"/>
        <s v="KSフラットA"/>
        <s v="平塚邸"/>
        <s v="向井邸"/>
        <s v="茂木邸"/>
        <s v="飯村邸"/>
        <s v="北船岡 武田邸"/>
        <s v="シティ上杉"/>
        <s v="ブルーハイツ"/>
        <s v="グランドール小松島"/>
        <s v="福島 ディアスA"/>
        <s v="南光台 斎藤邸"/>
        <s v="シティハイムブルースカイ"/>
        <s v="KSフラットB"/>
        <s v="エクセルハイツ"/>
        <s v="アーバネストR"/>
        <s v="アーバネストK"/>
        <s v="アーバネストKR"/>
        <s v="アヴニール山鳥A"/>
        <s v="ウイルクレールⅢ"/>
        <s v="寺岡 及川邸"/>
        <s v="河西邸"/>
        <s v="上杉 大高邸"/>
        <s v="ファイン杉山通　AB"/>
        <s v="早坂内科クリニック"/>
        <s v="ネオパレス台原308"/>
        <s v="荒巻　中山邸"/>
        <s v="七ヶ浜　斎藤邸"/>
        <s v="画像医学と脳健診"/>
        <s v="シャーメゾングレンツ"/>
        <s v="富谷 向井邸"/>
        <s v="沼倉邸"/>
        <s v="アヴニール山鳥B"/>
        <s v="コージーヒルズAB"/>
        <s v="エステディアコートヤマダ"/>
        <s v="大衡 斎藤邸"/>
        <s v="アルファコーポ"/>
        <s v="アヴニール山鳥C"/>
        <s v="KUBO HOUSE"/>
        <s v="利府 安藤邸"/>
        <s v="高森 庄子邸"/>
        <s v="ラフィネ萩の町"/>
        <s v="台原4貸家"/>
        <s v="シャンパーニュ勝山"/>
        <s v="鷹の森 戸建て"/>
        <s v="クレイヒルズ"/>
        <s v="ウッディベル"/>
        <s v="鶴ケ谷 丹野邸"/>
        <s v="西ノ平 楠木亭"/>
        <s v="名取 高橋邸"/>
        <s v="あけの平 今野邸"/>
        <s v="桂パークハウス東街区壱番館306"/>
        <s v="東九番町パークマンション507"/>
        <s v="メゾンアサノ"/>
        <s v="ろりぽっぷ保育園"/>
        <s v="みやぎ台　菅野邸"/>
        <s v="ロイヤルコート河原町　緑ウイング　406"/>
        <s v="ファミール山手町　103"/>
        <s v="芋沢 早坂邸"/>
        <s v="ﾋﾞｯｸﾏﾏ　ｺｲﾝﾗﾝﾄﾞﾘｰ"/>
        <s v="うさちゃんモリヤ落合"/>
        <s v="コーポ白鳥　105"/>
        <s v="うさちゃんYM住吉台"/>
        <s v="うさちゃんYB真美沢"/>
        <s v="うさちゃんYB愛島"/>
        <s v="セジュールつかさA102"/>
        <s v="ティエラU102"/>
        <s v="大町テナント"/>
        <s v="チサンマンション富沢駅前Ⅲ403"/>
        <s v="サンハイツ"/>
        <s v="東九番町ﾊﾟｰｸﾏﾝｼｮﾝ703"/>
        <s v="荒巻中央パークマンション306"/>
        <s v="ネバーランド"/>
        <s v="松森　テナント"/>
        <s v="うさちゃん長命ヶ丘"/>
        <s v="うさちゃん住吉台工場"/>
        <s v="ベルージュ"/>
        <s v="泉ヶ丘戸建て"/>
        <s v="宮城スバル"/>
        <s v="グリンヒルズCHIDA"/>
        <s v="南光台　佐々木邸"/>
        <s v="ハイツミカミ"/>
        <s v="アリストコート小田原801"/>
        <s v="八木山　小野邸"/>
        <s v="大和町　三橋邸"/>
        <s v="吉岡 和泉様邸"/>
        <s v="八乙女 コインランドリー"/>
        <s v="鶴ケ谷 菊池邸"/>
        <s v="利府 遠藤邸"/>
        <s v="アービス向陽台"/>
        <s v="シャーメゾンドルチェ"/>
        <s v="ウエストフレグランスD102"/>
        <s v="ウエストフレグランスB202"/>
        <s v="大郷 村山邸"/>
        <s v="柴田 高橋様邸"/>
        <s v="杜の丘　斎藤邸"/>
        <s v="利府花園　熊谷邸"/>
        <s v="利府青山　鈴木邸"/>
        <s v="ディアス四季C"/>
        <s v="シャーメゾンイースト"/>
        <s v="ランドリーム美田園"/>
        <s v="岩手前沢 リノベーション工事"/>
        <s v="エコープラザⅦⅧ"/>
        <s v="広瀬耳鼻咽喉科クリニック"/>
        <s v="花園 熊谷邸"/>
        <s v="今泉 粟野邸"/>
        <s v="画像医学と脳検診"/>
        <s v="東九番町パークマンション1006"/>
        <s v="東急ドエルアルス仙台307"/>
        <n v="0"/>
        <s v="寺岡　佐藤邸"/>
        <s v="大森邸"/>
        <s v="連坊　野崎邸"/>
        <s v="ハイツAB"/>
        <s v="うさちゃん　茂庭倉庫"/>
        <s v="リバーシティ308　202"/>
        <s v="フォーブル南仙台　203"/>
        <s v="フォーブル南仙台　205"/>
        <s v="卸町東テナント"/>
        <s v="グリーンハイツA105"/>
        <s v="利府　大竹邸"/>
        <s v="レーベンハウス205"/>
        <s v="みはるヴィラ"/>
        <s v="古川戸建て"/>
        <s v="吉岡 菅原邸"/>
        <s v="WABE"/>
        <s v="加茂ハイツ"/>
        <s v="仙台医療センター"/>
        <s v="千坂邸"/>
        <s v="寺岡　成田邸"/>
        <s v="グランシャルムB102"/>
        <s v="水の森　安田邸"/>
        <s v="アビタシオンD"/>
        <s v="成田　戸建て"/>
        <s v="角五郎　遠藤邸"/>
        <s v="国立音楽院"/>
        <s v="もみじが丘　和野邸"/>
        <s v="泉崎　関矢邸"/>
        <s v="市名坂　コイン"/>
        <s v="館　コイン"/>
        <s v="パストラル一本杉"/>
        <s v="フローラ一本杉"/>
        <s v="サザンパークAB"/>
        <s v="フォルテス南小泉"/>
        <s v="小高邸"/>
        <s v="うさちゃん岩沼"/>
        <s v="大郷大久保様邸"/>
        <s v="千坂邸　２期工事"/>
        <s v="ミストラルビレッジ203"/>
        <s v="グリーンハイツ早坂"/>
        <s v="メゾンドシャトン"/>
        <s v="プログレッソT-1.2（浜田健一）"/>
        <s v="パークタワー台原"/>
        <s v="南光台　櫻井邸"/>
        <s v="沖野　針生邸"/>
        <s v="サニービル"/>
        <s v="国見　戸建て"/>
        <s v="ジュネスM　202"/>
        <s v="国見　戸建て（表札高橋）"/>
        <s v="ライオンズマンション長町802"/>
        <s v="リバティーファクトリー"/>
        <s v="茂庭　大型コインランドリー"/>
        <s v="エクセレンスMAY"/>
        <s v="サンハイムサクライ"/>
        <s v="フォーブル杜　101.201"/>
        <s v="栗原　浴槽入替"/>
        <s v="シュッテンアンスバッハ　ABC"/>
        <s v="ホライズン"/>
        <s v="広瀬病院"/>
        <s v="涌谷　甲斐様"/>
        <s v="ダイトシティ愛宕橋　1203"/>
        <s v="シャーメゾンリベルタ"/>
        <s v="サンヒルズもみじが丘B201"/>
        <s v="人来田　鈴木邸"/>
        <s v="鈎取　戸建て"/>
        <s v="ドエルタカショーB"/>
        <s v="東九番丁パークマンション604"/>
        <s v="レーベンハウス206"/>
        <s v="関矢邸内装"/>
        <s v="東九番丁パークマンション708"/>
        <s v="鈎取戸建て　追加"/>
        <s v="T＆T　OKINO"/>
        <s v="ランブル山手（GHやまてまち）"/>
        <s v="油谷邸"/>
        <s v="大槻邸"/>
        <s v="星永邸"/>
        <s v="美田園　阿部邸"/>
        <s v="美田園　八幡邸"/>
        <s v="実家"/>
        <s v="エアリーフォートアクシスフォート511"/>
        <s v="マイハイツ富ヶ丘　塗装"/>
        <s v="レーベンハウス102"/>
        <s v="フォーブル楓201"/>
        <s v="エアリーフォートアクシスフォート511.411.311.211"/>
        <s v="コインランドリーmomo"/>
        <s v="八乙女　本郷邸"/>
        <s v="本町住宅801"/>
        <s v="明石台　内藤邸"/>
        <s v="310ビル"/>
        <s v="柏邸"/>
        <s v="シダーハイツ"/>
        <s v="松陵　渡邉邸"/>
        <s v="鷹の杜　菊池邸"/>
        <s v="遠見塚 西山邸"/>
        <s v="クロスロード"/>
        <s v="袋原　小泉邸"/>
        <s v="石巻　柏山邸"/>
        <s v="盛岡PJ"/>
        <s v="シャーメゾンシャングリラ"/>
        <s v="加美町 萩野邸"/>
        <s v="南光台 森谷邸"/>
        <s v="シャインコート苦竹"/>
        <s v="支倉パークホームズ1002"/>
        <s v="遠藤マタニティクリニック"/>
        <s v="フォーブル吉住"/>
        <s v="ヴィレッジグリーン"/>
        <s v="なんてん吉岡"/>
        <s v="連坊　パークハウスリシェルテ804"/>
        <s v="ネオハイツ中野栄202"/>
        <s v="ネオハイツ中野栄408"/>
        <s v="ふれあい富谷ホーム"/>
        <s v="桂　濱谷邸"/>
        <s v="コインランドリーじゃぶJOB"/>
        <s v="蒲生　小林邸"/>
        <s v="ほっこり"/>
        <s v="ハイツAB 3年目"/>
        <s v="ハイツAB 3年目　各部屋"/>
        <s v="塩釜　石川邸"/>
        <s v="柏邸　高山紹介"/>
        <s v="ジェネラスマンション上杉703"/>
        <s v="ピックアップ"/>
        <s v="館　佐藤邸"/>
        <s v="みやぎ台　佐藤邸"/>
        <s v="みやぎ台バルコニー交換"/>
        <s v="石川邸　漏水修理"/>
        <s v="小田原ライオンズ　103永田様"/>
        <s v="加茂　郷右近邸"/>
        <s v="吉成　大沼邸便器交換"/>
        <s v="-"/>
        <s v="八ファミール中島丁306　佐藤邸"/>
        <s v="ダイヤパレスいずみの杜南光台　佐藤邸"/>
        <s v="野のゆりホーム"/>
        <s v="ソファレ早川101"/>
        <s v="河西様邸"/>
        <s v="ふれあい　さつきホーム"/>
        <s v="シャーメゾングリーンフィールド"/>
        <s v="スナック美々"/>
        <s v="西中田　斎藤邸"/>
        <s v="ネオハイツ中野栄505"/>
        <s v="吉成　三浦邸　（佐々友人）"/>
        <s v="山田自由が丘　小川邸"/>
        <s v="西中田　荒木邸"/>
        <s v="亘理　オーニング電源"/>
        <s v="美里町　大石様"/>
        <s v="福室　及川邸"/>
        <s v="グリーンヒルズ　chida-F201"/>
        <s v="美里町　藤村邸"/>
        <s v="角田商店"/>
        <s v="シャーメゾンステージ広瀬通1104"/>
        <s v="緑ヶ丘　千葉様"/>
        <s v="大友邸（佐々友人）"/>
        <s v="那智が丘　鈴木邸"/>
        <s v="朝日プラザ柏木703号室"/>
        <s v="パークハウス米ケ袋305"/>
        <s v="西中田　井上邸　グランコート南仙台第一605"/>
        <s v="国見　茂木邸"/>
        <s v="柴田　青野邸"/>
        <s v="長命ヶ丘　室橋邸"/>
        <s v="上杉マンション　三浦邸"/>
        <s v="あたご住宅"/>
        <s v="鶴ケ谷 高橋邸"/>
        <s v="松陵　石黒邸"/>
        <s v="美里町　神寺不動尊松景院"/>
        <s v="大郷　糟川襌寺"/>
        <s v="小松島 レックスハイツ東照宮201"/>
        <s v="アポロシティ高砂壱番館305"/>
        <s v="石巻　佐藤邸"/>
        <s v="佐藤 広顕邸"/>
        <s v="シャーメゾンリジェ201"/>
        <s v="グランコート若林　401"/>
        <s v="吉成　アパート（平様）"/>
        <s v="しゃぼん柳生"/>
        <s v="八木山 大津邸"/>
        <s v="菊池邸（グランドメゾン）"/>
        <s v="ハイツAB3部屋"/>
        <s v="ハイツAB　14部屋　退去"/>
        <s v="サン工房"/>
        <s v="ふれあい事務所"/>
        <s v="成田邸　障子作成"/>
        <s v="六丁の目　小野邸　新築マンション"/>
        <s v="沖野 相原邸"/>
        <s v="シティハウス長町南ステーションコート301"/>
        <s v="黒松 藤原邸"/>
        <s v="明石台 大友邸"/>
        <s v="日吉台　伊藤邸"/>
        <s v="パールグレイス"/>
        <s v="グリーンヒルズ　chida-D201"/>
        <s v="大和町　福田邸"/>
        <s v="名取大手町　ガラスシート工事"/>
        <s v="ドエルポラリス"/>
        <s v="長町街苑パークマンション315号"/>
        <s v="パークハウスリシェルテ1501"/>
        <s v="加茂　松本邸"/>
        <s v="アップヒルズ泉ヶ丘"/>
        <s v="荒井　笠松邸"/>
        <s v="上杉　坂入邸"/>
        <s v="利府　田崎邸"/>
        <s v="ガッツレンタカー"/>
        <s v="登米宝江　北川さん"/>
        <s v="平地邸"/>
        <s v="山王　戸建て"/>
        <s v="シャーメゾン榴岡107"/>
        <s v="南明ハイツ206"/>
        <s v="あすと長町レジデンシャルタワー2008"/>
        <s v="パークハウスリシェルテ1507"/>
        <s v="パークハウスリシェルテ802"/>
        <s v="パークハウスリシェルテ1003"/>
        <s v="ウイングハイツA102"/>
        <s v="ウイングハイツA203"/>
        <s v="コートカノン106"/>
        <s v="ベルシャンブル103"/>
        <s v="サニーハイツ西原205"/>
        <s v="錦が丘　プラッツ"/>
        <s v="シティハウス北仙台ステーションコート601"/>
        <s v="門間邸"/>
        <s v="吉岡　菅原邸"/>
        <s v="グループホームきくた"/>
        <s v="グループホームやまて"/>
        <s v="メモリアルホール亘理"/>
        <s v="ホライゾン学園"/>
        <s v="ミスターランドリー"/>
        <s v="けやき薬局"/>
        <s v="ふれあい　とみやホーム"/>
        <s v="コージーアレイA201"/>
        <s v="コージーアレイB203"/>
        <s v="K`SCOM　101"/>
        <s v="丸光屋クリーニング"/>
        <s v="石川邸"/>
        <s v="マルヒロ"/>
        <s v="GHきくたまち"/>
        <s v="桂　斎藤邸"/>
        <s v="富ヶ丘　遠藤邸"/>
        <s v="ネオハイツ多賀城203"/>
        <s v="ルサンク仙台908"/>
        <s v="山本　田所邸"/>
        <s v="ネオハイツ多賀城103"/>
        <s v="名取　近江邸"/>
        <s v="台原 松橋邸"/>
        <s v="なないろの里　中島様"/>
        <s v="亘理 鈴木邸"/>
        <s v="コージーアレイA205"/>
        <s v="コージーアレイB205"/>
        <s v="美々　ひより台"/>
        <s v="コーポフィオレ　B102"/>
        <s v="ふれあい　ｺﾝｾﾝﾄ移設工事"/>
        <s v="コージーアレイB206"/>
        <s v="グループホームやまてまち104"/>
        <s v="パークアベニュー八乙女ガーデン305"/>
        <s v="GHかみやがり"/>
        <s v="藤本邸"/>
        <s v="紫山　中野邸"/>
        <s v="桜ヶ丘　武田様"/>
        <s v="パークアベニュー八乙女ガーデン　512木村邸"/>
        <s v="パークアベニュー八乙女ガーデン　513小嶋"/>
        <s v="パークアベニュー八乙女306"/>
        <s v="パークハウスリシェルテ409"/>
        <s v="光和工業サウナ施設"/>
        <s v="福田町倉庫"/>
        <s v="メゾンエスポワール"/>
        <s v="事務所床貼替"/>
        <s v="アップルタワー"/>
        <s v="サニーハイツ西原103"/>
        <s v="エコープラザⅡ105"/>
        <s v="グリーンヒルズ　chida-F101"/>
        <s v="ドエルタカショー"/>
        <s v="パークアベニュー八乙女811"/>
        <s v="　"/>
        <s v="パークハウス上杉リシェルテ402"/>
        <s v="福室　本田邸"/>
        <s v="小田原　本田邸"/>
        <s v="パークアベニュー八乙女601"/>
        <s v="グループホームきくたまち"/>
        <s v="ホライゾン学園　テナント"/>
        <s v="ラフォーレ八木山"/>
        <s v="赤間宅"/>
        <s v="朝見邸"/>
        <s v="ナイスアーバンステイツ南仙台"/>
        <s v="労災病院"/>
        <s v="東急ドエルアルス雨宮B208"/>
        <s v="ふれあい　とまとホーム"/>
      </sharedItems>
    </cacheField>
    <cacheField name="元請け" uniqueList="1" numFmtId="0" sqlType="0" hierarchy="0" level="0" databaseField="1">
      <sharedItems count="37" containsBlank="1">
        <m/>
        <s v="積水不動産"/>
        <s v="サステム"/>
        <s v="LIXIL"/>
        <s v="山一"/>
        <s v="日本ソービ"/>
        <s v="LIFE　UP"/>
        <s v="一心"/>
        <s v="ビルクラ"/>
        <s v="JA"/>
        <s v="山田"/>
        <s v="光和工業"/>
        <s v="カイト"/>
        <s v="佐信木材"/>
        <s v="マルマン"/>
        <s v="UB工事"/>
        <s v="カヤバ管材"/>
        <s v="積和建設"/>
        <s v="一心工芸"/>
        <s v="カスタマーズ"/>
        <s v="庄司コーポレーション"/>
        <s v="アイビーエス"/>
        <s v="随縁管財"/>
        <s v="山一・客"/>
        <s v="国立音楽院"/>
        <s v="TOSEI"/>
        <s v="ウェル"/>
        <s v="ふれあい"/>
        <s v="まるたん企業"/>
        <s v="ハイム"/>
        <s v="積水ハウス建設"/>
        <s v="仙台CC"/>
        <s v="積水ハウス不動産"/>
        <s v="壁紙革命"/>
        <s v="積水"/>
        <s v="ライフアップ"/>
        <s v="自社工事"/>
      </sharedItems>
    </cacheField>
    <cacheField name="施工内容" uniqueList="1" numFmtId="0" sqlType="0" hierarchy="0" level="0" databaseField="1">
      <sharedItems count="0" containsBlank="1"/>
    </cacheField>
    <cacheField name="施工日" uniqueList="1" numFmtId="0" sqlType="0" hierarchy="0" level="0" databaseField="1">
      <sharedItems count="31" containsBlank="1" containsDate="1" containsMixedTypes="1" minDate="2019-01-08T00:00:00" maxDate="2019-12-22T00:00:00">
        <s v="12月"/>
        <d v="2019-12-05T00:00:00"/>
        <d v="2019-12-17T00:00:00"/>
        <d v="2019-12-21T00:00:00"/>
        <d v="2019-01-08T00:00:00"/>
        <d v="2019-01-17T00:00:00"/>
        <d v="2019-01-16T00:00:00"/>
        <d v="2019-01-11T00:00:00"/>
        <d v="2019-01-23T00:00:00"/>
        <d v="2019-01-24T00:00:00"/>
        <d v="2019-12-07T00:00:00"/>
        <d v="2019-12-13T00:00:00"/>
        <m/>
        <s v="1月"/>
        <s v="2月"/>
        <s v="3月"/>
        <s v="4月"/>
        <s v="5月"/>
        <s v="6月"/>
        <s v="7月"/>
        <s v="8月"/>
        <s v="9月"/>
        <s v="10月"/>
        <s v="11月"/>
        <s v="2月-3月"/>
        <s v="4月-5月"/>
        <s v="1011月"/>
        <s v="12-1月"/>
        <s v="-"/>
        <s v="１１月"/>
        <s v="４月"/>
      </sharedItems>
    </cacheField>
    <cacheField name="受注金額 税抜" uniqueList="1" numFmtId="42" sqlType="0" hierarchy="0" level="0" databaseField="1">
      <sharedItems count="471" containsBlank="1" containsInteger="1" containsNumber="1" containsString="0" minValue="0" maxValue="23870578">
        <n v="2360000"/>
        <n v="1250000"/>
        <n v="326902"/>
        <n v="2447000"/>
        <n v="76000"/>
        <m/>
        <n v="10000"/>
        <n v="242000"/>
        <n v="162000"/>
        <n v="170000"/>
        <n v="1580000"/>
        <n v="180000"/>
        <n v="8803902"/>
        <n v="1150000"/>
        <n v="2030000"/>
        <n v="634000"/>
        <n v="3190000"/>
        <n v="1520000"/>
        <n v="8524000"/>
        <n v="1700000"/>
        <n v="3088000"/>
        <n v="2964000"/>
        <n v="3700000"/>
        <n v="11452000"/>
        <n v="1820000"/>
        <n v="1816000"/>
        <n v="2250000"/>
        <n v="1710000"/>
        <n v="7596000"/>
        <n v="1500000"/>
        <n v="2374262"/>
        <n v="1207000"/>
        <n v="1442000"/>
        <n v="1750000"/>
        <n v="1800000"/>
        <n v="1930000"/>
        <n v="2035000"/>
        <n v="15858262"/>
        <n v="11500000"/>
        <n v="2440000"/>
        <n v="1220000"/>
        <n v="1980000"/>
        <n v="542000"/>
        <n v="17682000"/>
        <n v="3000000"/>
        <n v="1490000"/>
        <n v="2100000"/>
        <n v="6590000"/>
        <n v="1473200"/>
        <n v="2390000"/>
        <n v="1839668"/>
        <n v="1710784"/>
        <n v="1729000"/>
        <n v="1665200"/>
        <n v="292000"/>
        <n v="376000"/>
        <n v="11475852"/>
        <n v="514000"/>
        <n v="546000"/>
        <n v="315000"/>
        <n v="1757200"/>
        <n v="1791349"/>
        <n v="199000"/>
        <n v="540000"/>
        <n v="968000"/>
        <n v="551000"/>
        <n v="1591600"/>
        <n v="11016149"/>
        <n v="1480000"/>
        <n v="1686000"/>
        <n v="372000"/>
        <n v="1140066"/>
        <n v="2050000"/>
        <n v="1644000"/>
        <n v="57000"/>
        <n v="14274266"/>
        <n v="1915050"/>
        <n v="733000"/>
        <n v="676000"/>
        <n v="5074050"/>
        <n v="2402000"/>
        <n v="2180000"/>
        <n v="1907500"/>
        <n v="8419500"/>
        <n v="1039000"/>
        <n v="590000"/>
        <n v="1629000"/>
        <n v="450000"/>
        <n v="628000"/>
        <n v="440000"/>
        <n v="3218000"/>
        <n v="1830000"/>
        <n v="155000"/>
        <n v="188000"/>
        <n v="2173000"/>
        <n v="1556000"/>
        <n v="1380000"/>
        <n v="1365450"/>
        <n v="1270950"/>
        <n v="629550"/>
        <n v="633050"/>
        <n v="66000"/>
        <n v="7081000"/>
        <n v="1913500"/>
        <n v="1828000"/>
        <n v="208000"/>
        <n v="1070000"/>
        <n v="392727"/>
        <n v="455000"/>
        <n v="220000"/>
        <n v="97000"/>
        <n v="439600"/>
        <n v="6623827"/>
        <n v="310000"/>
        <n v="525240"/>
        <n v="3835240"/>
        <n v="430000"/>
        <n v="690000"/>
        <n v="1457000"/>
        <n v="2840000"/>
        <n v="5417000"/>
        <n v="2370000"/>
        <n v="744700"/>
        <n v="3334700"/>
        <n v="1873000"/>
        <n v="1453000"/>
        <n v="711000"/>
        <n v="614000"/>
        <n v="4651000"/>
        <n v="1091000"/>
        <n v="153000"/>
        <n v="1540000"/>
        <n v="474300"/>
        <n v="167000"/>
        <n v="3743000"/>
        <n v="340000"/>
        <n v="216350"/>
        <n v="760000"/>
        <n v="1510000"/>
        <n v="3840000"/>
        <n v="965000"/>
        <n v="500000"/>
        <n v="554692"/>
        <n v="8686042"/>
        <n v="323000"/>
        <n v="846000"/>
        <n v="935100"/>
        <n v="488000"/>
        <n v="730000"/>
        <n v="3564100"/>
        <n v="717000"/>
        <n v="388000"/>
        <n v="422000"/>
        <n v="1092281"/>
        <n v="0"/>
        <n v="790000"/>
        <n v="3409281"/>
        <n v="1120000"/>
        <n v="2565000"/>
        <n v="3800000"/>
        <n v="338000"/>
        <n v="453200"/>
        <n v="2893110"/>
        <n v="3266630"/>
        <n v="288000"/>
        <n v="2485000"/>
        <n v="595000"/>
        <n v="1359000"/>
        <n v="173000"/>
        <n v="410000"/>
        <n v="390000"/>
        <n v="195600"/>
        <n v="20501540"/>
        <n v="795000"/>
        <n v="599000"/>
        <n v="403000"/>
        <n v="2592000"/>
        <n v="176570"/>
        <n v="168000"/>
        <n v="163000"/>
        <n v="2400000"/>
        <n v="1190000"/>
        <n v="900000"/>
        <n v="401000"/>
        <n v="403500"/>
        <n v="5955070"/>
        <n v="890000"/>
        <n v="1434550"/>
        <n v="380500"/>
        <n v="1480749"/>
        <n v="262900"/>
        <n v="81000"/>
        <n v="120000"/>
        <n v="6699699"/>
        <n v="2670000"/>
        <n v="368000"/>
        <n v="550000"/>
        <n v="100000"/>
        <n v="268000"/>
        <n v="4332000"/>
        <n v="7742000"/>
        <n v="650000"/>
        <n v="8392000"/>
        <n v="784000"/>
        <n v="1306000"/>
        <n v="2090000"/>
        <n v="480000"/>
        <n v="9499000"/>
        <n v="380000"/>
        <n v="6600000"/>
        <n v="880000"/>
        <n v="381000"/>
        <n v="17740000"/>
        <n v="302780"/>
        <n v="820138"/>
        <n v="2337000"/>
        <n v="294990"/>
        <n v="4575046"/>
        <n v="317034"/>
        <n v="988252"/>
        <n v="70000"/>
        <n v="3735286"/>
        <n v="1910000"/>
        <n v="1779000"/>
        <n v="2727273"/>
        <n v="147290"/>
        <n v="44400"/>
        <n v="172000"/>
        <n v="2434000"/>
        <n v="234000"/>
        <n v="1320000"/>
        <n v="1790000"/>
        <n v="1130000"/>
        <n v="267000"/>
        <n v="1650000"/>
        <n v="727273"/>
        <n v="142364"/>
        <n v="150000"/>
        <n v="264000"/>
        <n v="298000"/>
        <n v="516000"/>
        <n v="1145455"/>
        <n v="428000"/>
        <n v="556900"/>
        <n v="270000"/>
        <n v="282000"/>
        <n v="4190000"/>
        <n v="160500"/>
        <n v="566960"/>
        <n v="1196000"/>
        <n v="4786000"/>
        <n v="755000"/>
        <n v="3848000"/>
        <n v="1335000"/>
        <n v="750000"/>
        <n v="8058000"/>
        <n v="320000"/>
        <n v="1350000"/>
        <n v="704000"/>
        <n v="160000"/>
        <n v="764368"/>
        <n v="1859000"/>
        <n v="608000"/>
        <n v="1950000"/>
        <n v="802624"/>
        <n v="14000000"/>
        <n v="185000"/>
        <n v="107000"/>
        <n v="6200000"/>
        <n v="11340000"/>
        <n v="400000"/>
        <n v="179000"/>
        <n v="228000"/>
        <n v="710000"/>
        <n v="1068650"/>
        <n v="979000"/>
        <n v="224000"/>
        <n v="5530000"/>
        <n v="4214000"/>
        <n v="290400"/>
        <n v="2220000"/>
        <n v="800000"/>
        <n v="664000"/>
        <n v="315645"/>
        <n v="18000"/>
        <n v="2700000"/>
        <n v="968275"/>
        <n v="3050000"/>
        <n v="2052400"/>
        <n v="1890000"/>
        <n v="11767618"/>
        <n v="1010000"/>
        <n v="560000"/>
        <n v="60000"/>
        <n v="275460"/>
        <n v="711098"/>
        <n v="640000"/>
        <n v="123000"/>
        <n v="2540000"/>
        <n v="226000"/>
        <n v="2200000"/>
        <n v="1370000"/>
        <n v="1600000"/>
        <n v="980000"/>
        <n v="532378"/>
        <n v="143000"/>
        <n v="1900000"/>
        <n v="190000"/>
        <n v="124000"/>
        <n v="1050000"/>
        <n v="4000000"/>
        <n v="310618"/>
        <n v="350000"/>
        <n v="335000"/>
        <n v="1716000"/>
        <n v="104340"/>
        <n v="215000"/>
        <n v="145000"/>
        <n v="1440000"/>
        <n v="820000"/>
        <n v="495000"/>
        <n v="3790000"/>
        <n v="363000"/>
        <n v="286000"/>
        <n v="146000"/>
        <n v="9790000"/>
        <n v="4543000"/>
        <n v="1850000"/>
        <n v="668000"/>
        <n v="520000"/>
        <n v="366000"/>
        <n v="273100"/>
        <n v="75900"/>
        <n v="83250"/>
        <n v="78000"/>
        <n v="336100"/>
        <n v="86000"/>
        <n v="360000"/>
        <n v="2770000"/>
        <n v="280000"/>
        <n v="80000"/>
        <n v="165000"/>
        <n v="93000"/>
        <n v="212330"/>
        <n v="1021600"/>
        <n v="983000"/>
        <n v="1237700"/>
        <n v="359000"/>
        <n v="557375"/>
        <n v="462600"/>
        <n v="1879000"/>
        <n v="533000"/>
        <n v="970000"/>
        <n v="624400"/>
        <n v="3930000"/>
        <n v="260000"/>
        <n v="25000"/>
        <n v="2211267"/>
        <n v="494100"/>
        <n v="65710"/>
        <n v="75000"/>
        <n v="79570"/>
        <n v="811000"/>
        <n v="490000"/>
        <n v="342625"/>
        <n v="94000"/>
        <n v="102000"/>
        <n v="797000"/>
        <n v="4348000"/>
        <n v="274000"/>
        <n v="64000"/>
        <n v="88000"/>
        <n v="125000"/>
        <n v="218000"/>
        <n v="112000"/>
        <n v="155400"/>
        <n v="57170"/>
        <n v="630000"/>
        <n v="2466000"/>
        <n v="2503000"/>
        <n v="135000"/>
        <n v="1733000"/>
        <n v="451050"/>
        <n v="149000"/>
        <n v="565000"/>
        <n v="348300"/>
        <n v="61860"/>
        <n v="130000"/>
        <n v="22000"/>
        <n v="150700"/>
        <n v="334058"/>
        <n v="64902"/>
        <n v="288809"/>
        <n v="680000"/>
        <n v="327273"/>
        <n v="293000"/>
        <n v="74000"/>
        <n v="67000"/>
        <n v="99000"/>
        <n v="76150"/>
        <n v="436560"/>
        <n v="117902"/>
        <n v="74500"/>
        <n v="203082"/>
        <n v="987000"/>
        <n v="1096000"/>
        <n v="789000"/>
        <n v="1040000"/>
        <n v="1271000"/>
        <n v="58000"/>
        <n v="23870578"/>
        <n v="177000"/>
        <n v="250000"/>
        <n v="116000"/>
        <n v="85000"/>
        <n v="128000"/>
        <n v="446000"/>
        <n v="2523800"/>
        <n v="127000"/>
        <n v="16000"/>
        <n v="1437000"/>
        <n v="904000"/>
        <n v="575000"/>
        <n v="131000"/>
        <n v="171000"/>
        <n v="68000"/>
        <n v="27640"/>
        <n v="530000"/>
        <n v="1203614"/>
        <n v="385900"/>
        <n v="26064"/>
        <n v="1038800"/>
        <n v="38010"/>
        <n v="30236"/>
        <n v="241000"/>
        <n v="317000"/>
        <n v="1337000"/>
        <n v="1278020"/>
        <n v="969815"/>
        <n v="15000"/>
        <n v="1336800"/>
        <n v="216000"/>
        <n v="49950"/>
        <n v="62700"/>
        <n v="42000"/>
        <n v="580000"/>
        <n v="432090"/>
        <n v="107670"/>
        <n v="108780"/>
        <n v="124320"/>
        <n v="250833"/>
        <n v="463290"/>
        <n v="521000"/>
        <n v="67265"/>
        <n v="1425400"/>
        <n v="1646200"/>
        <n v="1303000"/>
        <n v="925000"/>
        <n v="239939"/>
        <n v="4150000"/>
        <n v="3500000"/>
        <n v="2900000"/>
        <n v="121560"/>
        <n v="200000"/>
        <n v="211000"/>
        <n v="1176189"/>
        <n v="105000"/>
        <n v="145450"/>
        <n v="434950"/>
        <n v="73000"/>
        <n v="139000"/>
      </sharedItems>
    </cacheField>
    <cacheField name="利益" uniqueList="1" numFmtId="42" sqlType="0" hierarchy="0" level="0" databaseField="1">
      <sharedItems count="524" containsBlank="1" containsInteger="1" containsMixedTypes="1" containsNumber="1" minValue="-6604794" maxValue="23435578">
        <n v="958700"/>
        <n v="256800"/>
        <n v="206902"/>
        <n v="284044"/>
        <n v="10000"/>
        <n v="-10000"/>
        <n v="-17000"/>
        <n v="-15000"/>
        <n v="-7000"/>
        <n v="-12000"/>
        <n v="-9000"/>
        <n v="-5000"/>
        <n v="-8000"/>
        <n v="5000"/>
        <n v="70000"/>
        <n v="-30000"/>
        <n v="42000"/>
        <n v="15000"/>
        <n v="486300"/>
        <n v="24000"/>
        <n v="2235746"/>
        <s v=""/>
        <n v="319200"/>
        <n v="696890"/>
        <n v="195260"/>
        <n v="583820"/>
        <n v="475000"/>
        <n v="2270170"/>
        <n v="417300"/>
        <n v="954300"/>
        <n v="734000"/>
        <n v="508483"/>
        <n v="2614083"/>
        <n v="465900"/>
        <n v="461200"/>
        <n v="644500"/>
        <n v="167300"/>
        <n v="1738900"/>
        <n v="433300"/>
        <n v="906762"/>
        <n v="181800"/>
        <n v="442640"/>
        <n v="520100"/>
        <n v="604290"/>
        <n v="624250"/>
        <n v="440500"/>
        <n v="476000"/>
        <n v="4629642"/>
        <n v="2338638"/>
        <n v="1088800"/>
        <n v="281520"/>
        <n v="690300"/>
        <n v="317000"/>
        <n v="4716258"/>
        <n v="785500"/>
        <n v="529200"/>
        <n v="777380"/>
        <n v="2092080"/>
        <n v="468200"/>
        <n v="468700"/>
        <n v="664208"/>
        <n v="578484"/>
        <n v="420100"/>
        <n v="481900"/>
        <n v="67000"/>
        <n v="163000"/>
        <n v="3311592"/>
        <n v="359000"/>
        <n v="391000"/>
        <n v="285000"/>
        <n v="545000"/>
        <n v="670049"/>
        <n v="199000"/>
        <n v="125000"/>
        <n v="291070"/>
        <n v="112040"/>
        <n v="367300"/>
        <n v="401900"/>
        <n v="185000"/>
        <n v="3931359"/>
        <n v="757800"/>
        <n v="207400"/>
        <n v="455400"/>
        <n v="19000"/>
        <n v="66000"/>
        <n v="119179"/>
        <n v="649340"/>
        <n v="396800"/>
        <n v="487200"/>
        <n v="482700"/>
        <n v="27000"/>
        <n v="3667819"/>
        <n v="465800"/>
        <n v="810650"/>
        <n v="252850"/>
        <n v="132550"/>
        <n v="1661850"/>
        <n v="843700"/>
        <n v="1589350"/>
        <n v="602554"/>
        <n v="358294"/>
        <n v="3393898"/>
        <m/>
        <n v="379832"/>
        <n v="234408"/>
        <n v="614240"/>
        <n v="90000"/>
        <n v="508500"/>
        <n v="408000"/>
        <n v="214840"/>
        <n v="1221340"/>
        <n v="330778"/>
        <n v="59000"/>
        <n v="83004"/>
        <n v="472782"/>
        <n v="443400"/>
        <n v="280900"/>
        <n v="446000"/>
        <n v="374600"/>
        <n v="42725"/>
        <n v="46225"/>
        <n v="9140"/>
        <n v="1708990"/>
        <n v="507580"/>
        <n v="616300"/>
        <n v="55000"/>
        <n v="272900"/>
        <n v="105911"/>
        <n v="239000"/>
        <n v="81404"/>
        <n v="54000"/>
        <n v="81100"/>
        <n v="2013195"/>
        <n v="100000"/>
        <n v="1001700"/>
        <n v="196240"/>
        <n v="1297940"/>
        <n v="133663"/>
        <n v="269600"/>
        <n v="959600"/>
        <n v="1417863"/>
        <n v="871400"/>
        <n v="41034"/>
        <n v="198100"/>
        <n v="1110534"/>
        <n v="642800"/>
        <n v="341000"/>
        <n v="276493"/>
        <n v="212445"/>
        <n v="1472738"/>
        <n v="205900"/>
        <n v="153000"/>
        <n v="539600"/>
        <n v="91225"/>
        <n v="363600"/>
        <n v="480050"/>
        <n v="16000"/>
        <n v="44000"/>
        <n v="903650"/>
        <n v="49830"/>
        <n v="59672"/>
        <n v="97981"/>
        <n v="638190"/>
        <n v="397702"/>
        <n v="233800"/>
        <n v="120000"/>
        <n v="122619"/>
        <n v="1719794"/>
        <n v="38000"/>
        <n v="526000"/>
        <n v="330100"/>
        <n v="121884"/>
        <n v="57000"/>
        <n v="479797"/>
        <n v="1552781"/>
        <n v="250844"/>
        <n v="153080"/>
        <n v="167000"/>
        <n v="475858"/>
        <n v="-50000"/>
        <n v="318850"/>
        <n v="1315632"/>
        <n v="261229"/>
        <n v="633196"/>
        <n v="292103"/>
        <n v="172759"/>
        <n v="275935"/>
        <n v="1054088"/>
        <n v="606630"/>
        <n v="99000"/>
        <n v="811600"/>
        <n v="180000"/>
        <n v="581376"/>
        <n v="63000"/>
        <n v="51000"/>
        <n v="80000"/>
        <n v="70424"/>
        <n v="56011"/>
        <n v="5288351"/>
        <n v="439700"/>
        <n v="189804"/>
        <n v="81307"/>
        <n v="365000"/>
        <n v="1075811"/>
        <n v="46851"/>
        <n v="89501"/>
        <n v="35000"/>
        <n v="86128"/>
        <n v="974300"/>
        <n v="880000"/>
        <n v="550000"/>
        <n v="151500"/>
        <n v="78500"/>
        <n v="2891780"/>
        <n v="510000"/>
        <n v="174438"/>
        <n v="85670"/>
        <n v="409820"/>
        <n v="264412"/>
        <n v="262900"/>
        <n v="31000"/>
        <n v="52000"/>
        <n v="1790240"/>
        <n v="944969"/>
        <n v="178000"/>
        <n v="283900"/>
        <n v="154000"/>
        <n v="230000"/>
        <n v="1845869"/>
        <n v="3025900"/>
        <n v="218484"/>
        <n v="3244384"/>
        <n v="234000"/>
        <n v="241400"/>
        <n v="475400"/>
        <n v="105870"/>
        <n v="3002500"/>
        <n v="2252742"/>
        <n v="264022"/>
        <n v="161441"/>
        <n v="5760705"/>
        <n v="109220"/>
        <n v="311073"/>
        <n v="744924"/>
        <n v="137150"/>
        <n v="1613440"/>
        <n v="60664"/>
        <n v="163675"/>
        <n v="468120"/>
        <n v="9000"/>
        <n v="701459"/>
        <n v="730300"/>
        <n v="465300"/>
        <n v="879827"/>
        <n v="45290"/>
        <n v="26400"/>
        <n v="-12638"/>
        <n v="1201794"/>
        <n v="21284"/>
        <n v="598313"/>
        <n v="353080"/>
        <n v="348900"/>
        <n v="111392"/>
        <n v="65986"/>
        <n v="764820"/>
        <n v="251273"/>
        <n v="92364"/>
        <n v="65000"/>
        <n v="99238"/>
        <n v="125159"/>
        <n v="535471"/>
        <n v="94360"/>
        <n v="354455"/>
        <n v="0"/>
        <n v="209900"/>
        <n v="839398"/>
        <n v="92000"/>
        <n v="89000"/>
        <n v="1666700"/>
        <n v="-9500"/>
        <n v="184204"/>
        <n v="117998"/>
        <n v="130228"/>
        <n v="1975153"/>
        <n v="199431"/>
        <n v="174742"/>
        <n v="903896"/>
        <n v="302550"/>
        <n v="95101"/>
        <n v="2016615"/>
        <n v="153900"/>
        <n v="383800"/>
        <n v="404770"/>
        <n v="-328"/>
        <n v="445230"/>
        <n v="43477"/>
        <n v="680800"/>
        <n v="221444"/>
        <n v="616010"/>
        <n v="2222235"/>
        <n v="70558"/>
        <n v="33000"/>
        <n v="1101483"/>
        <n v="3600786"/>
        <n v="260000"/>
        <n v="179000"/>
        <n v="57100"/>
        <n v="1680764"/>
        <n v="175448"/>
        <n v="95505"/>
        <n v="172210"/>
        <n v="87216"/>
        <n v="1149776"/>
        <n v="310000"/>
        <n v="230740"/>
        <n v="103378"/>
        <n v="-207152"/>
        <n v="265200"/>
        <n v="146237"/>
        <n v="55645"/>
        <n v="660394"/>
        <n v="285715"/>
        <n v="147908"/>
        <n v="550661"/>
        <n v="471100"/>
        <n v="1128194"/>
        <n v="-1777278"/>
        <n v="301682"/>
        <n v="195524"/>
        <n v="59749"/>
        <n v="160930"/>
        <n v="289112"/>
        <n v="27960"/>
        <n v="676400"/>
        <n v="111000"/>
        <n v="474465"/>
        <n v="230800"/>
        <n v="405800"/>
        <n v="49313"/>
        <n v="1783200"/>
        <n v="-69837"/>
        <n v="73000"/>
        <n v="350000"/>
        <n v="40000"/>
        <n v="113000"/>
        <n v="14000"/>
        <n v="510840"/>
        <n v="387597"/>
        <n v="59704"/>
        <n v="105544"/>
        <n v="704157"/>
        <n v="79287"/>
        <n v="32340"/>
        <n v="-43000"/>
        <n v="374700"/>
        <n v="76600"/>
        <n v="191536"/>
        <n v="740521"/>
        <n v="612501"/>
        <n v="226000"/>
        <n v="188000"/>
        <n v="84052"/>
        <n v="28800"/>
        <n v="2734150"/>
        <n v="1392350"/>
        <n v="651767"/>
        <n v="-27638"/>
        <n v="1024800"/>
        <n v="124255"/>
        <n v="157175"/>
        <n v="-4982"/>
        <n v="40900"/>
        <n v="20250"/>
        <n v="78000"/>
        <n v="109175"/>
        <n v="25368"/>
        <n v="34000"/>
        <n v="86516"/>
        <n v="767686"/>
        <n v="125410"/>
        <n v="43250"/>
        <n v="62498"/>
        <n v="33398"/>
        <n v="313206"/>
        <n v="321038"/>
        <n v="79051"/>
        <n v="425864"/>
        <n v="559069"/>
        <n v="419542"/>
        <n v="212000"/>
        <n v="25000"/>
        <n v="139507"/>
        <n v="106103"/>
        <n v="454442"/>
        <n v="72866"/>
        <n v="231975"/>
        <n v="263246"/>
        <n v="422339"/>
        <n v="92616"/>
        <n v="786284"/>
        <n v="187922"/>
        <n v="65710"/>
        <n v="22000"/>
        <n v="12000"/>
        <n v="64570"/>
        <n v="537018"/>
        <n v="93196"/>
        <n v="80928"/>
        <n v="60000"/>
        <n v="51477"/>
        <n v="40828"/>
        <n v="-5236075"/>
        <n v="269228"/>
        <n v="1486866"/>
        <n v="170000"/>
        <n v="125500"/>
        <n v="-6604794"/>
        <n v="88000"/>
        <n v="1003881"/>
        <n v="102000"/>
        <n v="490000"/>
        <n v="-28000"/>
        <n v="61000"/>
        <n v="75400"/>
        <n v="5170"/>
        <n v="108708"/>
        <n v="1275140"/>
        <n v="573360"/>
        <n v="1254574"/>
        <n v="587688"/>
        <n v="86974"/>
        <n v="222096"/>
        <n v="32450"/>
        <n v="61860"/>
        <n v="42700"/>
        <n v="130000"/>
        <n v="20129"/>
        <n v="-13410"/>
        <n v="-4486"/>
        <n v="52902"/>
        <n v="49114"/>
        <n v="-60000"/>
        <n v="145000"/>
        <n v="67828"/>
        <n v="107302"/>
        <n v="50000"/>
        <n v="31256"/>
        <n v="17724"/>
        <n v="57796"/>
        <n v="-18410"/>
        <n v="4500"/>
        <n v="64317"/>
        <n v="491424"/>
        <n v="519864"/>
        <n v="278941"/>
        <n v="400601"/>
        <n v="380203"/>
        <n v="12374"/>
        <n v="23435578"/>
        <n v="102468"/>
        <n v="46700"/>
        <n v="116000"/>
        <n v="45000"/>
        <n v="53000"/>
        <n v="59666"/>
        <n v="2373800"/>
        <n v="4000"/>
        <n v="400199"/>
        <n v="420199"/>
        <n v="343523"/>
        <n v="122000"/>
        <n v="5620"/>
        <n v="26000"/>
        <n v="15140"/>
        <n v="60180"/>
        <n v="4640"/>
        <n v="-19840"/>
        <n v="373648"/>
        <n v="-30621"/>
        <n v="-8936"/>
        <n v="307634"/>
        <n v="38010"/>
        <n v="4236"/>
        <n v="123776"/>
        <n v="140426"/>
        <n v="407862"/>
        <n v="374668"/>
        <n v="1214888"/>
        <n v="598655"/>
        <n v="813620"/>
        <n v="69241"/>
        <n v="-5050"/>
        <n v="37047"/>
        <n v="151600"/>
        <n v="108890"/>
        <n v="30070"/>
        <n v="20780"/>
        <n v="32320"/>
        <n v="-1109"/>
        <n v="18251"/>
        <n v="-1735973"/>
        <n v="-120000"/>
        <n v="-55000"/>
        <n v="181000"/>
        <n v="18725"/>
        <n v="674032"/>
        <n v="744415"/>
        <n v="665220"/>
        <n v="409000"/>
        <n v="-65760"/>
        <n v="907609"/>
        <n v="441059"/>
        <n v="592587"/>
        <n v="33808"/>
        <n v="39120"/>
        <n v="39200"/>
        <n v="52040"/>
        <n v="685704"/>
        <n v="-20028"/>
        <n v="56282"/>
        <n v="179950"/>
        <n v="83810"/>
        <n v="13000"/>
        <n v="112000"/>
      </sharedItems>
    </cacheField>
    <cacheField name="利率" uniqueList="1" numFmtId="9" sqlType="0" hierarchy="0" level="0" databaseField="1">
      <sharedItems count="0" containsBlank="1" containsMixedTypes="1" containsNumber="1" minValue="-0.3428483732351136" maxValue="1"/>
    </cacheField>
    <cacheField name="支払計 税抜2" uniqueList="1" numFmtId="42" sqlType="0" hierarchy="0" level="0" databaseField="1">
      <sharedItems count="0" containsBlank="1" containsInteger="1" containsNumber="1" containsString="0" minValue="0" maxValue="15213189"/>
    </cacheField>
    <cacheField name="五大" uniqueList="1" numFmtId="41" sqlType="0" hierarchy="0" level="0" databaseField="1">
      <sharedItems count="0" containsBlank="1" containsInteger="1" containsNumber="1" containsString="0" minValue="0" maxValue="2550000"/>
    </cacheField>
    <cacheField name="アシバックス" uniqueList="1" numFmtId="41" sqlType="0" hierarchy="0" level="0" databaseField="1">
      <sharedItems count="0" containsBlank="1" containsInteger="1" containsNumber="1" containsString="0" minValue="30000" maxValue="474300"/>
    </cacheField>
    <cacheField name="稲村仮設" uniqueList="1" numFmtId="41" sqlType="0" hierarchy="0" level="0" databaseField="1">
      <sharedItems count="0" containsBlank="1" containsInteger="1" containsNumber="1" containsString="0" minValue="0" maxValue="144000"/>
    </cacheField>
    <cacheField name="スタック" uniqueList="1" numFmtId="41" sqlType="0" hierarchy="0" level="0" databaseField="1">
      <sharedItems count="0" containsBlank="1" containsInteger="1" containsMixedTypes="1" containsNumber="1" minValue="160800" maxValue="400000"/>
    </cacheField>
    <cacheField name="MS塗装" uniqueList="1" numFmtId="41" sqlType="0" hierarchy="0" level="0" databaseField="1">
      <sharedItems count="0" containsBlank="1" containsInteger="1" containsNumber="1" containsString="0" minValue="8000" maxValue="240000"/>
    </cacheField>
    <cacheField name="安井" uniqueList="1" numFmtId="41" sqlType="0" hierarchy="0" level="0" databaseField="1">
      <sharedItems count="0" containsBlank="1" containsInteger="1" containsMixedTypes="1" containsNumber="1" minValue="5000" maxValue="3000000"/>
    </cacheField>
    <cacheField name="大宮" uniqueList="1" numFmtId="41" sqlType="0" hierarchy="0" level="0" databaseField="1">
      <sharedItems count="0" containsBlank="1" containsInteger="1" containsNumber="1" containsString="0" minValue="20000" maxValue="1400000"/>
    </cacheField>
    <cacheField name="鎌田" uniqueList="1" numFmtId="41" sqlType="0" hierarchy="0" level="0" databaseField="1">
      <sharedItems count="0" containsBlank="1" containsInteger="1" containsNumber="1" containsString="0" minValue="400000" maxValue="400000"/>
    </cacheField>
    <cacheField name="KSシール" uniqueList="1" numFmtId="41" sqlType="0" hierarchy="0" level="0" databaseField="1">
      <sharedItems count="0" containsBlank="1" containsInteger="1" containsNumber="1" containsString="0" minValue="6300" maxValue="1560000"/>
    </cacheField>
    <cacheField name="光輝美装" uniqueList="1" numFmtId="41" sqlType="0" hierarchy="0" level="0" databaseField="1">
      <sharedItems count="0" containsBlank="1" containsInteger="1" containsNumber="1" containsString="0" minValue="8000" maxValue="70000"/>
    </cacheField>
    <cacheField name="ｸﾘｰﾝｱｯﾌﾟ" uniqueList="1" numFmtId="41" sqlType="0" hierarchy="0" level="0" databaseField="1">
      <sharedItems count="0" containsBlank="1" containsInteger="1" containsNumber="1" containsString="0" minValue="25000" maxValue="196000"/>
    </cacheField>
    <cacheField name="ケミカル" uniqueList="1" numFmtId="41" sqlType="0" hierarchy="0" level="0" databaseField="1">
      <sharedItems count="0" containsBlank="1" containsInteger="1" containsMixedTypes="1" containsNumber="1" minValue="3500" maxValue="656500"/>
    </cacheField>
    <cacheField name="ビルクラ" uniqueList="1" numFmtId="41" sqlType="0" hierarchy="0" level="0" databaseField="1">
      <sharedItems count="0" containsBlank="1" containsInteger="1" containsNumber="1" containsString="0" minValue="50000" maxValue="3506460"/>
    </cacheField>
    <cacheField name="伊藤建装" uniqueList="1" numFmtId="41" sqlType="0" hierarchy="0" level="0" databaseField="1">
      <sharedItems count="0" containsBlank="1" containsInteger="1" containsMixedTypes="1" containsNumber="1" minValue="5000" maxValue="4700000"/>
    </cacheField>
    <cacheField name="部材購入費" uniqueList="1" numFmtId="41" sqlType="0" hierarchy="0" level="0" databaseField="1">
      <sharedItems count="0" containsBlank="1" containsInteger="1" containsNumber="1" containsString="0" minValue="1925" maxValue="1670910"/>
    </cacheField>
    <cacheField name="前野木工" uniqueList="1" numFmtId="41" sqlType="0" hierarchy="0" level="0" databaseField="1">
      <sharedItems count="0" containsBlank="1" containsInteger="1" containsNumber="1" containsString="0" minValue="40000" maxValue="352000"/>
    </cacheField>
    <cacheField name="加藤テクニカ" uniqueList="1" numFmtId="41" sqlType="0" hierarchy="0" level="0" databaseField="1">
      <sharedItems count="0" containsBlank="1" containsInteger="1" containsNumber="1" containsString="0" minValue="550" maxValue="371000"/>
    </cacheField>
    <cacheField name="はやでん" uniqueList="1" numFmtId="41" sqlType="0" hierarchy="0" level="0" databaseField="1">
      <sharedItems count="0" containsBlank="1" containsInteger="1" containsMixedTypes="1" containsNumber="1" minValue="0" maxValue="1523200"/>
    </cacheField>
    <cacheField name="霞興業" uniqueList="1" numFmtId="41" sqlType="0" hierarchy="0" level="0" databaseField="1">
      <sharedItems count="0" containsBlank="1" containsInteger="1" containsMixedTypes="1" containsNumber="1" minValue="7000" maxValue="1292500"/>
    </cacheField>
    <cacheField name="ヒラヤマ設備" uniqueList="1" numFmtId="41" sqlType="0" hierarchy="0" level="0" databaseField="1">
      <sharedItems count="0" containsBlank="1" containsInteger="1" containsNumber="1" containsString="0" minValue="14700" maxValue="142000"/>
    </cacheField>
    <cacheField name="千葉住建" uniqueList="1" numFmtId="0" sqlType="0" hierarchy="0" level="0" databaseField="1">
      <sharedItems count="0" containsBlank="1" containsInteger="1" containsNumber="1" containsString="0" minValue="6000" maxValue="4405675"/>
    </cacheField>
    <cacheField name="lifeairworks" uniqueList="1" numFmtId="41" sqlType="0" hierarchy="0" level="0" databaseField="1">
      <sharedItems count="0" containsBlank="1" containsInteger="1" containsNumber="1" containsString="0" minValue="150000" maxValue="1550000"/>
    </cacheField>
    <cacheField name="杜風" uniqueList="1" numFmtId="41" sqlType="0" hierarchy="0" level="0" databaseField="1">
      <sharedItems count="0" containsBlank="1" containsInteger="1" containsNumber="1" containsString="0" minValue="32800" maxValue="761680"/>
    </cacheField>
    <cacheField name="BLUE" uniqueList="1" numFmtId="41" sqlType="0" hierarchy="0" level="0" databaseField="1">
      <sharedItems count="0" containsBlank="1" containsInteger="1" containsNumber="1" containsString="0" minValue="8000" maxValue="2215940"/>
    </cacheField>
    <cacheField name="HC塩釜" uniqueList="1" numFmtId="0" sqlType="0" hierarchy="0" level="0" databaseField="1">
      <sharedItems count="0" containsBlank="1" containsInteger="1" containsNumber="1" containsString="0" minValue="15000" maxValue="420000"/>
    </cacheField>
    <cacheField name="MCB" uniqueList="1" numFmtId="0" sqlType="0" hierarchy="0" level="0" databaseField="1">
      <sharedItems count="0" containsBlank="1" containsInteger="1" containsNumber="1" containsString="0" minValue="12500" maxValue="225000"/>
    </cacheField>
    <cacheField name="戸引製畳" uniqueList="1" numFmtId="41" sqlType="0" hierarchy="0" level="0" databaseField="1">
      <sharedItems count="0" containsBlank="1" containsInteger="1" containsNumber="1" containsString="0" minValue="10500" maxValue="192000"/>
    </cacheField>
    <cacheField name="創イングK" uniqueList="1" numFmtId="41" sqlType="0" hierarchy="0" level="0" databaseField="1">
      <sharedItems count="0" containsBlank="1" containsInteger="1" containsNumber="1" containsString="0" minValue="154740" maxValue="545000"/>
    </cacheField>
    <cacheField name="ニュークリーン" uniqueList="1" numFmtId="41" sqlType="0" hierarchy="0" level="0" databaseField="1">
      <sharedItems count="0" containsBlank="1" containsInteger="1" containsNumber="1" containsString="0" minValue="7500" maxValue="15000"/>
    </cacheField>
    <cacheField name="アドバンス" uniqueList="1" numFmtId="41" sqlType="0" hierarchy="0" level="0" databaseField="1">
      <sharedItems count="0" containsBlank="1" containsInteger="1" containsNumber="1" containsString="0" minValue="15000" maxValue="313000"/>
    </cacheField>
    <cacheField name="小泉" uniqueList="1" numFmtId="41" sqlType="0" hierarchy="0" level="0" databaseField="1">
      <sharedItems count="0" containsBlank="1" containsInteger="1" containsNumber="1" containsString="0" minValue="1185" maxValue="2355395"/>
    </cacheField>
    <cacheField name="サステム" uniqueList="1" numFmtId="41" sqlType="0" hierarchy="0" level="0" databaseField="1">
      <sharedItems count="0" containsBlank="1" containsInteger="1" containsNumber="1" containsString="0" minValue="12470" maxValue="4580443"/>
    </cacheField>
    <cacheField name="ヤマリョー" uniqueList="1" numFmtId="41" sqlType="0" hierarchy="0" level="0" databaseField="1">
      <sharedItems count="0" containsBlank="1" containsInteger="1" containsNumber="1" containsString="0" minValue="125380" maxValue="125380"/>
    </cacheField>
    <cacheField name="タゼン" uniqueList="1" numFmtId="41" sqlType="0" hierarchy="0" level="0" databaseField="1">
      <sharedItems count="0" containsBlank="1" containsInteger="1" containsNumber="1" containsString="0" minValue="8000" maxValue="303600"/>
    </cacheField>
    <cacheField name="オーカム" uniqueList="1" numFmtId="41" sqlType="0" hierarchy="0" level="0" databaseField="1">
      <sharedItems count="0" containsBlank="1" containsInteger="1" containsNumber="1" containsString="0" minValue="63485" maxValue="938660"/>
    </cacheField>
    <cacheField name="ナスラック" uniqueList="1" numFmtId="41" sqlType="0" hierarchy="0" level="0" databaseField="1">
      <sharedItems count="0" containsBlank="1" containsInteger="1" containsNumber="1" containsString="0" minValue="59709" maxValue="184383"/>
    </cacheField>
    <cacheField name="ゲットクリ-ンコート" uniqueList="1" numFmtId="41" sqlType="0" hierarchy="0" level="0" databaseField="1">
      <sharedItems count="0" containsBlank="1" containsInteger="1" containsNumber="1" containsString="0" minValue="35000" maxValue="408000"/>
    </cacheField>
    <cacheField name="マジカル" uniqueList="1" numFmtId="41" sqlType="0" hierarchy="0" level="0" databaseField="1">
      <sharedItems count="0" containsBlank="1" containsInteger="1" containsNumber="1" containsString="0" minValue="55000" maxValue="55000"/>
    </cacheField>
    <cacheField name="ハルノデザイン" uniqueList="1" numFmtId="41" sqlType="0" hierarchy="0" level="0" databaseField="1">
      <sharedItems count="0" containsBlank="1" containsInteger="1" containsNumber="1" containsString="0" minValue="20000" maxValue="390000"/>
    </cacheField>
    <cacheField name="ワイエス" uniqueList="1" numFmtId="41" sqlType="0" hierarchy="0" level="0" databaseField="1">
      <sharedItems count="0" containsBlank="1" containsInteger="1" containsNumber="1" containsString="0" minValue="27000" maxValue="44800"/>
    </cacheField>
    <cacheField name="シンコール" uniqueList="1" numFmtId="41" sqlType="0" hierarchy="0" level="0" databaseField="1">
      <sharedItems count="0" containsBlank="1" containsInteger="1" containsNumber="1" containsString="0" minValue="276500" maxValue="276500"/>
    </cacheField>
    <cacheField name="ゴミ　他" uniqueList="1" numFmtId="41" sqlType="0" hierarchy="0" level="0" databaseField="1">
      <sharedItems count="0" containsBlank="1" containsInteger="1" containsNumber="1" containsString="0" minValue="3000" maxValue="930710"/>
    </cacheField>
    <cacheField name="リビングガーデン" uniqueList="1" numFmtId="41" sqlType="0" hierarchy="0" level="0" databaseField="1">
      <sharedItems count="0" containsBlank="1" containsInteger="1" containsNumber="1" containsString="0" minValue="55000" maxValue="330000"/>
    </cacheField>
    <cacheField name="クラブネッツ" uniqueList="1" numFmtId="41" sqlType="0" hierarchy="0" level="0" databaseField="1">
      <sharedItems count="0" containsBlank="1" containsInteger="1" containsNumber="1" containsString="0" minValue="100000" maxValue="100000"/>
    </cacheField>
    <cacheField name="ナスラック2" uniqueList="1" numFmtId="41" sqlType="0" hierarchy="0" level="0" databaseField="1">
      <sharedItems count="0" containsBlank="1" containsInteger="1" containsNumber="1" containsString="0" minValue="149000" maxValue="149000"/>
    </cacheField>
    <cacheField name="アライク" uniqueList="1" numFmtId="41" sqlType="0" hierarchy="0" level="0" databaseField="1">
      <sharedItems count="0" containsBlank="1" containsInteger="1" containsNumber="1" containsString="0" minValue="107000" maxValue="200000"/>
    </cacheField>
    <cacheField name="庭や　ただ" uniqueList="1" numFmtId="41" sqlType="0" hierarchy="0" level="0" databaseField="1">
      <sharedItems count="0" containsBlank="1" containsInteger="1" containsNumber="1" containsString="0" minValue="535000" maxValue="535000"/>
    </cacheField>
    <cacheField name="工場材" uniqueList="1" numFmtId="41" sqlType="0" hierarchy="0" level="0" databaseField="1">
      <sharedItems count="0" containsBlank="1" containsInteger="1" containsNumber="1" containsString="0" minValue="-81900" maxValue="10833900"/>
    </cacheField>
  </cacheFields>
</pivotCacheDefinition>
</file>

<file path=xl/pivotCache/pivotCacheRecords1.xml><?xml version="1.0" encoding="utf-8"?>
<pivotCacheRecords xmlns="http://schemas.openxmlformats.org/spreadsheetml/2006/main" count="1101">
  <r>
    <s v="H31.1"/>
    <x v="0"/>
    <x v="0"/>
    <s v="塗装"/>
    <x v="0"/>
    <x v="0"/>
    <x v="0"/>
    <n v="0.4062288135593221"/>
    <n v="1401300"/>
    <n v="388000"/>
    <m/>
    <m/>
    <m/>
    <m/>
    <n v="500000"/>
    <m/>
    <n v="400000"/>
    <n v="25900"/>
    <n v="35000"/>
    <m/>
    <n v="52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"/>
    <x v="0"/>
    <s v="塗装"/>
    <x v="0"/>
    <x v="1"/>
    <x v="1"/>
    <n v="0.20544"/>
    <n v="993200"/>
    <m/>
    <n v="214500"/>
    <m/>
    <m/>
    <m/>
    <n v="600000"/>
    <m/>
    <m/>
    <m/>
    <n v="35000"/>
    <m/>
    <n v="1212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n v="7500"/>
  </r>
  <r>
    <m/>
    <x v="2"/>
    <x v="0"/>
    <s v="外構塗装"/>
    <x v="0"/>
    <x v="2"/>
    <x v="2"/>
    <n v="0.6329175104465559"/>
    <n v="120000"/>
    <m/>
    <m/>
    <m/>
    <m/>
    <m/>
    <n v="1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"/>
    <x v="0"/>
    <s v="塗装"/>
    <x v="0"/>
    <x v="3"/>
    <x v="3"/>
    <n v="0.1160784634246016"/>
    <n v="2162956"/>
    <n v="115000"/>
    <m/>
    <m/>
    <m/>
    <m/>
    <n v="150000"/>
    <m/>
    <m/>
    <m/>
    <m/>
    <m/>
    <m/>
    <m/>
    <n v="625551"/>
    <m/>
    <m/>
    <m/>
    <n v="80000"/>
    <m/>
    <m/>
    <m/>
    <m/>
    <m/>
    <m/>
    <m/>
    <m/>
    <m/>
    <m/>
    <m/>
    <m/>
    <n v="1192405"/>
    <m/>
    <m/>
    <m/>
    <m/>
    <m/>
    <m/>
    <m/>
    <m/>
    <m/>
    <m/>
    <m/>
    <m/>
    <m/>
    <m/>
    <m/>
    <m/>
    <m/>
  </r>
  <r>
    <m/>
    <x v="4"/>
    <x v="0"/>
    <s v="樋交換"/>
    <x v="0"/>
    <x v="4"/>
    <x v="4"/>
    <n v="0.131578947368421"/>
    <n v="66000"/>
    <n v="35000"/>
    <m/>
    <m/>
    <m/>
    <m/>
    <n v="8000"/>
    <m/>
    <m/>
    <m/>
    <m/>
    <m/>
    <m/>
    <m/>
    <n v="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"/>
  </r>
  <r>
    <m/>
    <x v="5"/>
    <x v="0"/>
    <s v="カウンター塗装敷居*2"/>
    <x v="1"/>
    <x v="5"/>
    <x v="5"/>
    <e v="#DIV/0!"/>
    <n v="10000"/>
    <m/>
    <m/>
    <m/>
    <m/>
    <m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"/>
    <x v="0"/>
    <s v="窓枠四方"/>
    <x v="2"/>
    <x v="5"/>
    <x v="6"/>
    <e v="#DIV/0!"/>
    <n v="17000"/>
    <m/>
    <m/>
    <m/>
    <m/>
    <m/>
    <n v="1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"/>
    <x v="0"/>
    <s v="敷居・引戸枠 洗面底板"/>
    <x v="2"/>
    <x v="5"/>
    <x v="5"/>
    <e v="#DIV/0!"/>
    <n v="10000"/>
    <m/>
    <m/>
    <m/>
    <m/>
    <m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8"/>
    <x v="0"/>
    <s v="浴室天井"/>
    <x v="3"/>
    <x v="5"/>
    <x v="7"/>
    <e v="#DIV/0!"/>
    <n v="15000"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9"/>
    <x v="0"/>
    <s v="レンジフード"/>
    <x v="4"/>
    <x v="5"/>
    <x v="8"/>
    <e v="#DIV/0!"/>
    <n v="7000"/>
    <m/>
    <m/>
    <m/>
    <m/>
    <m/>
    <n v="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0"/>
    <x v="0"/>
    <s v="レンジフード"/>
    <x v="5"/>
    <x v="5"/>
    <x v="9"/>
    <e v="#DIV/0!"/>
    <n v="12000"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"/>
    <x v="0"/>
    <s v="カウンター"/>
    <x v="6"/>
    <x v="5"/>
    <x v="10"/>
    <e v="#DIV/0!"/>
    <n v="9000"/>
    <m/>
    <m/>
    <m/>
    <m/>
    <m/>
    <n v="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2"/>
    <x v="0"/>
    <s v="レンジフード"/>
    <x v="6"/>
    <x v="5"/>
    <x v="11"/>
    <e v="#DIV/0!"/>
    <n v="5000"/>
    <m/>
    <m/>
    <m/>
    <m/>
    <m/>
    <n v="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3"/>
    <x v="0"/>
    <s v="玄関ドア　部分"/>
    <x v="7"/>
    <x v="5"/>
    <x v="12"/>
    <e v="#DIV/0!"/>
    <n v="8000"/>
    <m/>
    <m/>
    <m/>
    <m/>
    <m/>
    <n v="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4"/>
    <x v="0"/>
    <s v="給湯器　タッチアップ"/>
    <x v="7"/>
    <x v="6"/>
    <x v="13"/>
    <n v="0.5"/>
    <n v="5000"/>
    <m/>
    <m/>
    <m/>
    <m/>
    <m/>
    <n v="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0"/>
    <s v="配管塗装（シルバ）"/>
    <x v="8"/>
    <x v="7"/>
    <x v="14"/>
    <n v="0.2892561983471074"/>
    <n v="172000"/>
    <m/>
    <m/>
    <m/>
    <m/>
    <m/>
    <n v="12000"/>
    <m/>
    <m/>
    <m/>
    <m/>
    <m/>
    <m/>
    <m/>
    <m/>
    <m/>
    <m/>
    <m/>
    <n v="80000"/>
    <n v="8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"/>
    <x v="0"/>
    <s v="窓枠　手摺梯子"/>
    <x v="9"/>
    <x v="5"/>
    <x v="15"/>
    <e v="#DIV/0!"/>
    <n v="30000"/>
    <m/>
    <m/>
    <m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7"/>
    <x v="0"/>
    <s v="ロスナイ工事"/>
    <x v="10"/>
    <x v="8"/>
    <x v="16"/>
    <n v="0.2592592592592592"/>
    <n v="120000"/>
    <m/>
    <m/>
    <m/>
    <m/>
    <m/>
    <m/>
    <m/>
    <m/>
    <m/>
    <m/>
    <n v="30000"/>
    <m/>
    <m/>
    <n v="20000"/>
    <m/>
    <m/>
    <m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8"/>
    <x v="0"/>
    <s v="トイレ工事"/>
    <x v="11"/>
    <x v="9"/>
    <x v="17"/>
    <n v="0.08823529411764706"/>
    <n v="155000"/>
    <m/>
    <m/>
    <m/>
    <m/>
    <m/>
    <m/>
    <m/>
    <m/>
    <m/>
    <m/>
    <n v="25000"/>
    <m/>
    <m/>
    <n v="35000"/>
    <m/>
    <m/>
    <m/>
    <n v="32000"/>
    <n v="63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"/>
    <x v="0"/>
    <s v="塗装"/>
    <x v="12"/>
    <x v="10"/>
    <x v="18"/>
    <n v="0.3077848101265823"/>
    <n v="1093700"/>
    <n v="250000"/>
    <m/>
    <m/>
    <m/>
    <m/>
    <m/>
    <n v="750000"/>
    <m/>
    <n v="6300"/>
    <n v="35000"/>
    <m/>
    <n v="52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0"/>
    <x v="0"/>
    <s v="苔洗浄　12件"/>
    <x v="0"/>
    <x v="11"/>
    <x v="19"/>
    <n v="0.1333333333333333"/>
    <n v="156000"/>
    <m/>
    <m/>
    <m/>
    <m/>
    <m/>
    <m/>
    <n v="1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2"/>
    <x v="20"/>
    <n v="0.2539494419633476"/>
    <n v="65681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31.2"/>
    <x v="23"/>
    <x v="0"/>
    <s v="塗装"/>
    <x v="13"/>
    <x v="13"/>
    <x v="22"/>
    <n v="0.2775652173913044"/>
    <n v="830800"/>
    <m/>
    <n v="189300"/>
    <m/>
    <s v="式"/>
    <m/>
    <n v="600000"/>
    <m/>
    <m/>
    <m/>
    <n v="35000"/>
    <m/>
    <s v="在庫使用0円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00"/>
  </r>
  <r>
    <m/>
    <x v="24"/>
    <x v="0"/>
    <s v="塗装"/>
    <x v="13"/>
    <x v="14"/>
    <x v="23"/>
    <n v="0.3432955665024631"/>
    <n v="1333110"/>
    <n v="220000"/>
    <m/>
    <m/>
    <m/>
    <m/>
    <m/>
    <n v="700000"/>
    <m/>
    <n v="27720"/>
    <n v="35000"/>
    <m/>
    <n v="170900"/>
    <m/>
    <m/>
    <m/>
    <m/>
    <n v="27000"/>
    <n v="69000"/>
    <m/>
    <m/>
    <m/>
    <m/>
    <m/>
    <m/>
    <m/>
    <m/>
    <m/>
    <m/>
    <m/>
    <m/>
    <m/>
    <m/>
    <m/>
    <m/>
    <m/>
    <m/>
    <m/>
    <m/>
    <m/>
    <m/>
    <m/>
    <m/>
    <m/>
    <m/>
    <m/>
    <m/>
    <m/>
    <n v="83490"/>
  </r>
  <r>
    <m/>
    <x v="25"/>
    <x v="0"/>
    <s v="改装"/>
    <x v="13"/>
    <x v="15"/>
    <x v="24"/>
    <n v="0.3079810725552051"/>
    <n v="438740"/>
    <m/>
    <m/>
    <m/>
    <m/>
    <m/>
    <n v="65000"/>
    <m/>
    <m/>
    <m/>
    <m/>
    <m/>
    <m/>
    <m/>
    <m/>
    <m/>
    <m/>
    <m/>
    <n v="93000"/>
    <n v="30000"/>
    <m/>
    <n v="63000"/>
    <m/>
    <m/>
    <m/>
    <m/>
    <m/>
    <m/>
    <n v="154740"/>
    <m/>
    <m/>
    <m/>
    <m/>
    <m/>
    <m/>
    <m/>
    <m/>
    <m/>
    <m/>
    <m/>
    <m/>
    <m/>
    <n v="30000"/>
    <m/>
    <m/>
    <m/>
    <m/>
    <m/>
    <n v="3000"/>
  </r>
  <r>
    <m/>
    <x v="26"/>
    <x v="0"/>
    <s v="塗装"/>
    <x v="13"/>
    <x v="16"/>
    <x v="25"/>
    <n v="0.1830156739811912"/>
    <n v="2606180"/>
    <m/>
    <m/>
    <m/>
    <n v="400000"/>
    <m/>
    <n v="1600000"/>
    <m/>
    <m/>
    <n v="74550"/>
    <n v="35000"/>
    <m/>
    <n v="334630"/>
    <m/>
    <n v="15000"/>
    <m/>
    <m/>
    <m/>
    <n v="75000"/>
    <m/>
    <m/>
    <m/>
    <m/>
    <m/>
    <m/>
    <m/>
    <m/>
    <m/>
    <m/>
    <m/>
    <m/>
    <m/>
    <m/>
    <m/>
    <m/>
    <m/>
    <m/>
    <m/>
    <m/>
    <m/>
    <m/>
    <m/>
    <n v="37000"/>
    <m/>
    <m/>
    <m/>
    <m/>
    <m/>
    <n v="35000"/>
  </r>
  <r>
    <m/>
    <x v="27"/>
    <x v="0"/>
    <s v="塗装"/>
    <x v="13"/>
    <x v="17"/>
    <x v="26"/>
    <n v="0.3125"/>
    <n v="1045000"/>
    <n v="230000"/>
    <m/>
    <m/>
    <m/>
    <m/>
    <n v="650000"/>
    <m/>
    <m/>
    <n v="16100"/>
    <n v="35000"/>
    <m/>
    <n v="97900"/>
    <m/>
    <m/>
    <m/>
    <m/>
    <m/>
    <n v="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8"/>
    <x v="27"/>
    <n v="0.2663268418582825"/>
    <n v="62538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H31.3"/>
    <x v="28"/>
    <x v="0"/>
    <s v="塗装"/>
    <x v="14"/>
    <x v="19"/>
    <x v="28"/>
    <n v="0.2454705882352941"/>
    <n v="1282700"/>
    <n v="250000"/>
    <m/>
    <m/>
    <m/>
    <m/>
    <n v="700000"/>
    <m/>
    <m/>
    <n v="21000"/>
    <n v="35000"/>
    <m/>
    <n v="98200"/>
    <m/>
    <n v="122500"/>
    <m/>
    <m/>
    <m/>
    <m/>
    <m/>
    <m/>
    <m/>
    <m/>
    <m/>
    <m/>
    <m/>
    <m/>
    <m/>
    <m/>
    <m/>
    <m/>
    <m/>
    <m/>
    <m/>
    <m/>
    <m/>
    <m/>
    <n v="56000"/>
    <m/>
    <m/>
    <m/>
    <m/>
    <m/>
    <m/>
    <m/>
    <m/>
    <m/>
    <m/>
    <m/>
  </r>
  <r>
    <m/>
    <x v="29"/>
    <x v="0"/>
    <s v="塗装"/>
    <x v="14"/>
    <x v="20"/>
    <x v="29"/>
    <n v="0.3090349740932642"/>
    <n v="2133700"/>
    <m/>
    <m/>
    <m/>
    <n v="320000"/>
    <m/>
    <n v="1500000"/>
    <m/>
    <m/>
    <n v="82600"/>
    <n v="35000"/>
    <m/>
    <n v="116100"/>
    <m/>
    <m/>
    <m/>
    <m/>
    <m/>
    <n v="6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"/>
  </r>
  <r>
    <m/>
    <x v="30"/>
    <x v="0"/>
    <s v="塗装"/>
    <x v="14"/>
    <x v="21"/>
    <x v="30"/>
    <n v="0.247638326585695"/>
    <n v="2230000"/>
    <m/>
    <n v="440000"/>
    <m/>
    <m/>
    <m/>
    <m/>
    <n v="1400000"/>
    <m/>
    <n v="137200"/>
    <m/>
    <m/>
    <n v="2378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31"/>
    <x v="0"/>
    <s v="新築"/>
    <x v="14"/>
    <x v="22"/>
    <x v="31"/>
    <n v="0.1374278378378378"/>
    <n v="3191517"/>
    <m/>
    <m/>
    <m/>
    <m/>
    <m/>
    <n v="60000"/>
    <m/>
    <m/>
    <m/>
    <n v="8000"/>
    <m/>
    <m/>
    <m/>
    <n v="674749"/>
    <m/>
    <m/>
    <m/>
    <n v="1042800"/>
    <n v="151500"/>
    <m/>
    <n v="256718"/>
    <m/>
    <m/>
    <n v="454750"/>
    <m/>
    <m/>
    <m/>
    <m/>
    <m/>
    <n v="313000"/>
    <m/>
    <m/>
    <m/>
    <m/>
    <m/>
    <m/>
    <m/>
    <m/>
    <m/>
    <m/>
    <m/>
    <n v="100000"/>
    <m/>
    <m/>
    <m/>
    <m/>
    <m/>
    <n v="130000"/>
  </r>
  <r>
    <m/>
    <x v="21"/>
    <x v="0"/>
    <m/>
    <x v="12"/>
    <x v="23"/>
    <x v="32"/>
    <n v="0.2282643206426825"/>
    <n v="88379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Ｈ31.4"/>
    <x v="32"/>
    <x v="0"/>
    <s v="塗装"/>
    <x v="15"/>
    <x v="24"/>
    <x v="33"/>
    <n v="0.255989010989011"/>
    <n v="1354100"/>
    <m/>
    <n v="276000"/>
    <m/>
    <m/>
    <m/>
    <m/>
    <n v="850000"/>
    <m/>
    <n v="45000"/>
    <n v="35000"/>
    <m/>
    <n v="82100"/>
    <m/>
    <m/>
    <m/>
    <m/>
    <m/>
    <n v="21000"/>
    <m/>
    <m/>
    <m/>
    <m/>
    <m/>
    <m/>
    <m/>
    <m/>
    <m/>
    <m/>
    <m/>
    <m/>
    <m/>
    <m/>
    <m/>
    <m/>
    <m/>
    <m/>
    <m/>
    <m/>
    <m/>
    <m/>
    <m/>
    <m/>
    <m/>
    <m/>
    <m/>
    <m/>
    <m/>
    <n v="45000"/>
  </r>
  <r>
    <m/>
    <x v="33"/>
    <x v="0"/>
    <s v="塗装"/>
    <x v="15"/>
    <x v="25"/>
    <x v="34"/>
    <n v="0.2539647577092511"/>
    <n v="1354800"/>
    <m/>
    <m/>
    <m/>
    <n v="245000"/>
    <m/>
    <n v="950000"/>
    <m/>
    <m/>
    <n v="27300"/>
    <m/>
    <m/>
    <n v="52500"/>
    <m/>
    <m/>
    <m/>
    <m/>
    <m/>
    <n v="28000"/>
    <m/>
    <m/>
    <m/>
    <m/>
    <m/>
    <m/>
    <m/>
    <m/>
    <m/>
    <m/>
    <m/>
    <m/>
    <m/>
    <m/>
    <m/>
    <m/>
    <m/>
    <m/>
    <m/>
    <m/>
    <m/>
    <m/>
    <m/>
    <m/>
    <m/>
    <m/>
    <m/>
    <m/>
    <m/>
    <n v="52000"/>
  </r>
  <r>
    <m/>
    <x v="34"/>
    <x v="0"/>
    <s v="塗装"/>
    <x v="15"/>
    <x v="26"/>
    <x v="35"/>
    <n v="0.2864444444444444"/>
    <n v="1605500"/>
    <n v="265200"/>
    <m/>
    <m/>
    <m/>
    <m/>
    <n v="900000"/>
    <m/>
    <m/>
    <n v="53200"/>
    <n v="35000"/>
    <m/>
    <n v="122100"/>
    <m/>
    <m/>
    <m/>
    <m/>
    <m/>
    <n v="14000"/>
    <m/>
    <m/>
    <m/>
    <m/>
    <m/>
    <m/>
    <m/>
    <m/>
    <m/>
    <m/>
    <m/>
    <m/>
    <m/>
    <m/>
    <m/>
    <m/>
    <m/>
    <m/>
    <n v="112000"/>
    <m/>
    <m/>
    <m/>
    <m/>
    <n v="6000"/>
    <m/>
    <m/>
    <m/>
    <m/>
    <m/>
    <n v="98000"/>
  </r>
  <r>
    <m/>
    <x v="35"/>
    <x v="0"/>
    <s v="改修"/>
    <x v="15"/>
    <x v="27"/>
    <x v="36"/>
    <n v="0.09783625730994153"/>
    <n v="1542700"/>
    <m/>
    <m/>
    <m/>
    <m/>
    <m/>
    <m/>
    <m/>
    <m/>
    <m/>
    <m/>
    <m/>
    <m/>
    <m/>
    <m/>
    <m/>
    <m/>
    <m/>
    <n v="250200"/>
    <n v="12925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28"/>
    <x v="37"/>
    <n v="0.2289231174302264"/>
    <n v="5857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5"/>
    <x v="36"/>
    <x v="0"/>
    <s v="塗装"/>
    <x v="16"/>
    <x v="29"/>
    <x v="38"/>
    <n v="0.2888666666666667"/>
    <n v="1066700"/>
    <n v="230000"/>
    <m/>
    <m/>
    <m/>
    <m/>
    <n v="650000"/>
    <m/>
    <m/>
    <n v="25200"/>
    <n v="35000"/>
    <m/>
    <n v="94500"/>
    <m/>
    <m/>
    <m/>
    <m/>
    <m/>
    <n v="3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"/>
    <x v="0"/>
    <s v="塗装"/>
    <x v="15"/>
    <x v="30"/>
    <x v="39"/>
    <n v="0.3819132008177699"/>
    <n v="1467500"/>
    <m/>
    <n v="322000"/>
    <m/>
    <m/>
    <m/>
    <n v="900000"/>
    <m/>
    <m/>
    <n v="10500"/>
    <m/>
    <m/>
    <n v="119000"/>
    <m/>
    <m/>
    <m/>
    <m/>
    <m/>
    <n v="32000"/>
    <m/>
    <m/>
    <m/>
    <m/>
    <m/>
    <m/>
    <m/>
    <m/>
    <m/>
    <m/>
    <m/>
    <m/>
    <m/>
    <m/>
    <m/>
    <m/>
    <m/>
    <m/>
    <m/>
    <m/>
    <m/>
    <m/>
    <m/>
    <m/>
    <m/>
    <m/>
    <m/>
    <m/>
    <m/>
    <n v="84000"/>
  </r>
  <r>
    <m/>
    <x v="38"/>
    <x v="0"/>
    <s v="塗装"/>
    <x v="16"/>
    <x v="31"/>
    <x v="40"/>
    <n v="0.1506213753106876"/>
    <n v="1025200"/>
    <n v="220000"/>
    <m/>
    <m/>
    <m/>
    <m/>
    <n v="611800"/>
    <m/>
    <m/>
    <m/>
    <m/>
    <m/>
    <n v="193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"/>
    <x v="0"/>
    <s v="塗装"/>
    <x v="16"/>
    <x v="32"/>
    <x v="41"/>
    <n v="0.3069625520110957"/>
    <n v="999360"/>
    <m/>
    <n v="214000"/>
    <m/>
    <m/>
    <m/>
    <n v="650000"/>
    <m/>
    <m/>
    <n v="37660"/>
    <n v="35000"/>
    <m/>
    <n v="62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0"/>
    <x v="0"/>
    <s v="塗装"/>
    <x v="16"/>
    <x v="24"/>
    <x v="42"/>
    <n v="0.2857692307692308"/>
    <n v="1299900"/>
    <m/>
    <m/>
    <m/>
    <n v="245000"/>
    <m/>
    <n v="950000"/>
    <m/>
    <m/>
    <n v="27300"/>
    <n v="35000"/>
    <m/>
    <n v="22600"/>
    <m/>
    <m/>
    <m/>
    <m/>
    <m/>
    <n v="14000"/>
    <m/>
    <m/>
    <m/>
    <m/>
    <m/>
    <m/>
    <m/>
    <m/>
    <m/>
    <m/>
    <m/>
    <m/>
    <m/>
    <m/>
    <m/>
    <m/>
    <m/>
    <m/>
    <m/>
    <m/>
    <m/>
    <m/>
    <m/>
    <n v="6000"/>
    <m/>
    <m/>
    <m/>
    <m/>
    <m/>
    <m/>
  </r>
  <r>
    <m/>
    <x v="41"/>
    <x v="0"/>
    <s v="塗装"/>
    <x v="16"/>
    <x v="33"/>
    <x v="43"/>
    <n v="0.3453085714285714"/>
    <n v="1145710"/>
    <n v="240000"/>
    <m/>
    <m/>
    <m/>
    <m/>
    <n v="650000"/>
    <m/>
    <m/>
    <n v="40110"/>
    <n v="35000"/>
    <m/>
    <n v="64100"/>
    <m/>
    <m/>
    <m/>
    <m/>
    <m/>
    <n v="11500"/>
    <m/>
    <m/>
    <m/>
    <m/>
    <m/>
    <m/>
    <m/>
    <m/>
    <m/>
    <m/>
    <m/>
    <m/>
    <m/>
    <m/>
    <m/>
    <m/>
    <m/>
    <m/>
    <n v="56000"/>
    <m/>
    <m/>
    <m/>
    <m/>
    <n v="15000"/>
    <m/>
    <m/>
    <m/>
    <m/>
    <m/>
    <n v="34000"/>
  </r>
  <r>
    <m/>
    <x v="42"/>
    <x v="0"/>
    <s v="塗装"/>
    <x v="15"/>
    <x v="34"/>
    <x v="44"/>
    <n v="0.3468055555555555"/>
    <n v="1175750"/>
    <n v="220000"/>
    <m/>
    <m/>
    <m/>
    <m/>
    <n v="750000"/>
    <m/>
    <m/>
    <n v="45850"/>
    <m/>
    <m/>
    <n v="50400"/>
    <m/>
    <m/>
    <m/>
    <m/>
    <m/>
    <n v="25500"/>
    <m/>
    <m/>
    <m/>
    <m/>
    <m/>
    <m/>
    <m/>
    <m/>
    <m/>
    <m/>
    <m/>
    <m/>
    <m/>
    <m/>
    <m/>
    <m/>
    <m/>
    <m/>
    <m/>
    <m/>
    <m/>
    <m/>
    <m/>
    <m/>
    <m/>
    <m/>
    <m/>
    <m/>
    <m/>
    <n v="84000"/>
  </r>
  <r>
    <m/>
    <x v="43"/>
    <x v="0"/>
    <s v="塗装"/>
    <x v="16"/>
    <x v="35"/>
    <x v="45"/>
    <n v="0.2282383419689119"/>
    <n v="1489500"/>
    <n v="283000"/>
    <m/>
    <m/>
    <m/>
    <m/>
    <n v="950000"/>
    <m/>
    <m/>
    <n v="40000"/>
    <m/>
    <m/>
    <n v="216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"/>
    <x v="0"/>
    <s v="リフォーム"/>
    <x v="16"/>
    <x v="36"/>
    <x v="46"/>
    <n v="0.1950819672131147"/>
    <n v="1559000"/>
    <m/>
    <m/>
    <m/>
    <m/>
    <m/>
    <n v="50000"/>
    <m/>
    <m/>
    <m/>
    <m/>
    <m/>
    <m/>
    <m/>
    <n v="500000"/>
    <m/>
    <m/>
    <m/>
    <n v="200000"/>
    <n v="420000"/>
    <m/>
    <m/>
    <m/>
    <m/>
    <n v="235000"/>
    <m/>
    <m/>
    <m/>
    <m/>
    <m/>
    <m/>
    <n v="40000"/>
    <m/>
    <m/>
    <m/>
    <m/>
    <m/>
    <m/>
    <m/>
    <m/>
    <m/>
    <m/>
    <n v="114000"/>
    <m/>
    <m/>
    <m/>
    <m/>
    <m/>
    <m/>
  </r>
  <r>
    <m/>
    <x v="21"/>
    <x v="0"/>
    <m/>
    <x v="12"/>
    <x v="37"/>
    <x v="47"/>
    <n v="0.2919388013642352"/>
    <n v="112286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s v="※塗装単価県内2300円/㎡県外2500円/㎡妥当か5/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6"/>
    <x v="45"/>
    <x v="0"/>
    <s v="リフォーム"/>
    <x v="17"/>
    <x v="38"/>
    <x v="48"/>
    <n v="0.2033598260869565"/>
    <n v="9161362"/>
    <m/>
    <m/>
    <m/>
    <m/>
    <m/>
    <n v="200000"/>
    <m/>
    <m/>
    <m/>
    <m/>
    <m/>
    <m/>
    <m/>
    <n v="1500000"/>
    <m/>
    <n v="85000"/>
    <m/>
    <n v="1523200"/>
    <n v="430500"/>
    <m/>
    <n v="1013267"/>
    <m/>
    <m/>
    <n v="915000"/>
    <m/>
    <m/>
    <m/>
    <n v="545000"/>
    <n v="15000"/>
    <m/>
    <n v="2355395"/>
    <m/>
    <m/>
    <m/>
    <m/>
    <m/>
    <m/>
    <m/>
    <m/>
    <m/>
    <m/>
    <n v="165000"/>
    <m/>
    <m/>
    <m/>
    <m/>
    <m/>
    <n v="414000"/>
  </r>
  <r>
    <m/>
    <x v="46"/>
    <x v="0"/>
    <s v="塗装"/>
    <x v="17"/>
    <x v="39"/>
    <x v="49"/>
    <n v="0.4462295081967213"/>
    <n v="1351200"/>
    <n v="340000"/>
    <m/>
    <m/>
    <m/>
    <m/>
    <m/>
    <n v="800000"/>
    <m/>
    <n v="87000"/>
    <m/>
    <m/>
    <n v="109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"/>
  </r>
  <r>
    <m/>
    <x v="47"/>
    <x v="0"/>
    <s v="塗装"/>
    <x v="17"/>
    <x v="40"/>
    <x v="50"/>
    <n v="0.2307540983606557"/>
    <n v="938480"/>
    <m/>
    <m/>
    <m/>
    <n v="240000"/>
    <m/>
    <n v="600000"/>
    <m/>
    <m/>
    <n v="45780"/>
    <m/>
    <m/>
    <n v="52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8"/>
    <x v="0"/>
    <s v="塗装"/>
    <x v="17"/>
    <x v="41"/>
    <x v="51"/>
    <n v="0.3486363636363636"/>
    <n v="1289700"/>
    <m/>
    <n v="279500"/>
    <m/>
    <m/>
    <m/>
    <n v="800000"/>
    <m/>
    <m/>
    <n v="56700"/>
    <n v="35000"/>
    <m/>
    <n v="11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9"/>
    <x v="0"/>
    <s v="キッチン交換"/>
    <x v="17"/>
    <x v="42"/>
    <x v="52"/>
    <n v="0.584870848708487"/>
    <n v="225000"/>
    <m/>
    <m/>
    <m/>
    <m/>
    <m/>
    <m/>
    <m/>
    <m/>
    <m/>
    <m/>
    <m/>
    <m/>
    <m/>
    <m/>
    <m/>
    <m/>
    <m/>
    <n v="160000"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43"/>
    <x v="53"/>
    <n v="0.2667265015269766"/>
    <n v="129657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7"/>
    <x v="50"/>
    <x v="0"/>
    <s v="塗装"/>
    <x v="18"/>
    <x v="44"/>
    <x v="54"/>
    <n v="0.2618333333333333"/>
    <n v="2214500"/>
    <m/>
    <n v="474300"/>
    <m/>
    <m/>
    <m/>
    <n v="1400000"/>
    <m/>
    <m/>
    <n v="80000"/>
    <n v="35000"/>
    <m/>
    <n v="211800"/>
    <m/>
    <m/>
    <m/>
    <m/>
    <m/>
    <m/>
    <m/>
    <m/>
    <m/>
    <m/>
    <m/>
    <m/>
    <m/>
    <m/>
    <m/>
    <m/>
    <m/>
    <m/>
    <m/>
    <m/>
    <m/>
    <m/>
    <m/>
    <m/>
    <m/>
    <m/>
    <m/>
    <m/>
    <m/>
    <n v="18000"/>
    <m/>
    <m/>
    <m/>
    <m/>
    <m/>
    <m/>
  </r>
  <r>
    <m/>
    <x v="51"/>
    <x v="0"/>
    <s v="塗装"/>
    <x v="18"/>
    <x v="45"/>
    <x v="55"/>
    <n v="0.3551677852348993"/>
    <n v="960800"/>
    <n v="250000"/>
    <m/>
    <m/>
    <m/>
    <m/>
    <m/>
    <n v="600000"/>
    <m/>
    <n v="60000"/>
    <m/>
    <m/>
    <n v="50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2"/>
    <x v="0"/>
    <s v="塗装"/>
    <x v="18"/>
    <x v="46"/>
    <x v="56"/>
    <n v="0.3701809523809524"/>
    <n v="1322620"/>
    <m/>
    <n v="260000"/>
    <m/>
    <m/>
    <m/>
    <n v="850000"/>
    <m/>
    <m/>
    <n v="40320"/>
    <n v="35000"/>
    <m/>
    <n v="1223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21"/>
    <x v="0"/>
    <m/>
    <x v="12"/>
    <x v="47"/>
    <x v="57"/>
    <n v="0.3174628224582701"/>
    <n v="44979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8"/>
    <x v="53"/>
    <x v="0"/>
    <s v="塗装"/>
    <x v="19"/>
    <x v="48"/>
    <x v="58"/>
    <n v="0.3178115666576161"/>
    <n v="1005000"/>
    <n v="255000"/>
    <m/>
    <m/>
    <m/>
    <m/>
    <n v="700000"/>
    <m/>
    <m/>
    <m/>
    <n v="35000"/>
    <m/>
    <m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54"/>
    <x v="0"/>
    <s v="塗装　福島"/>
    <x v="18"/>
    <x v="49"/>
    <x v="59"/>
    <n v="0.1961087866108787"/>
    <n v="1921300"/>
    <m/>
    <n v="442000"/>
    <m/>
    <m/>
    <m/>
    <m/>
    <n v="1200000"/>
    <m/>
    <m/>
    <n v="35000"/>
    <m/>
    <n v="244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5"/>
    <x v="0"/>
    <s v="塗装"/>
    <x v="19"/>
    <x v="50"/>
    <x v="60"/>
    <n v="0.361047754268705"/>
    <n v="1175460"/>
    <n v="250000"/>
    <m/>
    <m/>
    <m/>
    <m/>
    <n v="700000"/>
    <m/>
    <m/>
    <n v="48160"/>
    <m/>
    <m/>
    <n v="177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6"/>
    <x v="0"/>
    <s v="塗装"/>
    <x v="19"/>
    <x v="51"/>
    <x v="61"/>
    <n v="0.338139706707568"/>
    <n v="1132300"/>
    <n v="255000"/>
    <m/>
    <m/>
    <m/>
    <m/>
    <n v="700000"/>
    <m/>
    <m/>
    <n v="49000"/>
    <m/>
    <m/>
    <n v="177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7"/>
    <x v="0"/>
    <s v="塗装"/>
    <x v="19"/>
    <x v="52"/>
    <x v="62"/>
    <n v="0.2429728166570272"/>
    <n v="1308900"/>
    <m/>
    <n v="260000"/>
    <m/>
    <m/>
    <m/>
    <n v="900000"/>
    <m/>
    <m/>
    <n v="42700"/>
    <n v="35000"/>
    <m/>
    <n v="562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58"/>
    <x v="0"/>
    <s v="塗装"/>
    <x v="19"/>
    <x v="53"/>
    <x v="63"/>
    <n v="0.2893946673072303"/>
    <n v="1183300"/>
    <m/>
    <n v="253500"/>
    <m/>
    <m/>
    <m/>
    <n v="700000"/>
    <m/>
    <m/>
    <n v="29400"/>
    <n v="35000"/>
    <m/>
    <n v="1504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59"/>
    <x v="0"/>
    <s v="雪止め設置"/>
    <x v="19"/>
    <x v="54"/>
    <x v="64"/>
    <n v="0.2294520547945205"/>
    <n v="225000"/>
    <m/>
    <m/>
    <m/>
    <m/>
    <m/>
    <m/>
    <m/>
    <m/>
    <m/>
    <m/>
    <m/>
    <m/>
    <m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"/>
  </r>
  <r>
    <m/>
    <x v="60"/>
    <x v="0"/>
    <s v="撤去工事"/>
    <x v="19"/>
    <x v="55"/>
    <x v="65"/>
    <n v="0.4335106382978723"/>
    <n v="213000"/>
    <m/>
    <m/>
    <m/>
    <m/>
    <m/>
    <m/>
    <m/>
    <m/>
    <m/>
    <m/>
    <m/>
    <m/>
    <m/>
    <m/>
    <m/>
    <m/>
    <m/>
    <n v="20000"/>
    <n v="18000"/>
    <m/>
    <n v="50000"/>
    <m/>
    <m/>
    <m/>
    <n v="50000"/>
    <m/>
    <m/>
    <m/>
    <m/>
    <n v="57000"/>
    <m/>
    <m/>
    <m/>
    <m/>
    <m/>
    <m/>
    <m/>
    <m/>
    <m/>
    <m/>
    <m/>
    <n v="18000"/>
    <m/>
    <m/>
    <m/>
    <m/>
    <m/>
    <m/>
  </r>
  <r>
    <m/>
    <x v="21"/>
    <x v="0"/>
    <m/>
    <x v="12"/>
    <x v="56"/>
    <x v="66"/>
    <n v="0.2885704695389937"/>
    <n v="81642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9月"/>
    <x v="61"/>
    <x v="0"/>
    <s v="屋根塗装"/>
    <x v="19"/>
    <x v="57"/>
    <x v="67"/>
    <n v="0.6984435797665369"/>
    <n v="155000"/>
    <n v="15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2"/>
    <x v="0"/>
    <s v="屋根塗装"/>
    <x v="19"/>
    <x v="58"/>
    <x v="68"/>
    <n v="0.7161172161172161"/>
    <n v="155000"/>
    <n v="15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2"/>
    <x v="0"/>
    <s v="外壁交換"/>
    <x v="19"/>
    <x v="59"/>
    <x v="69"/>
    <n v="0.9047619047619048"/>
    <n v="30000"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3"/>
    <x v="0"/>
    <s v="塗装"/>
    <x v="19"/>
    <x v="60"/>
    <x v="70"/>
    <n v="0.310152515365354"/>
    <n v="1212200"/>
    <m/>
    <n v="221000"/>
    <m/>
    <m/>
    <m/>
    <n v="700000"/>
    <m/>
    <m/>
    <n v="70700"/>
    <n v="35000"/>
    <m/>
    <n v="1625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n v="8000"/>
    <m/>
    <m/>
    <m/>
    <m/>
    <m/>
    <m/>
  </r>
  <r>
    <m/>
    <x v="64"/>
    <x v="0"/>
    <s v="塗装"/>
    <x v="19"/>
    <x v="61"/>
    <x v="71"/>
    <n v="0.3740471566400517"/>
    <n v="1121300"/>
    <m/>
    <n v="230000"/>
    <m/>
    <m/>
    <m/>
    <m/>
    <n v="800000"/>
    <m/>
    <n v="60000"/>
    <m/>
    <m/>
    <n v="31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5"/>
    <x v="0"/>
    <s v="アスロック交換"/>
    <x v="19"/>
    <x v="62"/>
    <x v="72"/>
    <n v="1"/>
    <m/>
    <m/>
    <m/>
    <m/>
    <m/>
    <m/>
    <m/>
    <m/>
    <m/>
    <n v="361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6"/>
    <x v="0"/>
    <s v="浴室工事"/>
    <x v="20"/>
    <x v="63"/>
    <x v="73"/>
    <n v="0.2314814814814815"/>
    <n v="415000"/>
    <m/>
    <m/>
    <m/>
    <m/>
    <m/>
    <m/>
    <m/>
    <m/>
    <m/>
    <m/>
    <m/>
    <m/>
    <m/>
    <n v="200000"/>
    <m/>
    <m/>
    <m/>
    <n v="40000"/>
    <n v="60000"/>
    <m/>
    <m/>
    <m/>
    <m/>
    <m/>
    <n v="60000"/>
    <m/>
    <n v="55000"/>
    <m/>
    <m/>
    <m/>
    <m/>
    <m/>
    <m/>
    <m/>
    <m/>
    <m/>
    <m/>
    <m/>
    <m/>
    <m/>
    <m/>
    <m/>
    <m/>
    <m/>
    <m/>
    <m/>
    <m/>
    <m/>
  </r>
  <r>
    <m/>
    <x v="67"/>
    <x v="0"/>
    <s v="内装・手すり・クロス"/>
    <x v="20"/>
    <x v="64"/>
    <x v="74"/>
    <n v="0.3006921487603306"/>
    <n v="676930"/>
    <m/>
    <m/>
    <m/>
    <m/>
    <m/>
    <m/>
    <m/>
    <m/>
    <m/>
    <m/>
    <m/>
    <m/>
    <m/>
    <m/>
    <m/>
    <m/>
    <m/>
    <n v="60000"/>
    <m/>
    <m/>
    <n v="516930"/>
    <m/>
    <m/>
    <m/>
    <n v="100000"/>
    <m/>
    <m/>
    <m/>
    <m/>
    <m/>
    <m/>
    <m/>
    <m/>
    <m/>
    <m/>
    <m/>
    <m/>
    <m/>
    <m/>
    <m/>
    <m/>
    <m/>
    <m/>
    <m/>
    <m/>
    <m/>
    <m/>
    <m/>
  </r>
  <r>
    <m/>
    <x v="68"/>
    <x v="0"/>
    <s v="キッチン交換"/>
    <x v="20"/>
    <x v="65"/>
    <x v="75"/>
    <n v="0.2033393829401089"/>
    <n v="438960"/>
    <m/>
    <m/>
    <m/>
    <m/>
    <m/>
    <m/>
    <m/>
    <m/>
    <m/>
    <m/>
    <m/>
    <m/>
    <m/>
    <n v="125960"/>
    <m/>
    <m/>
    <m/>
    <n v="83000"/>
    <n v="65000"/>
    <m/>
    <m/>
    <m/>
    <m/>
    <m/>
    <n v="135000"/>
    <m/>
    <m/>
    <m/>
    <m/>
    <m/>
    <m/>
    <m/>
    <m/>
    <m/>
    <m/>
    <m/>
    <m/>
    <m/>
    <m/>
    <m/>
    <m/>
    <n v="30000"/>
    <m/>
    <m/>
    <m/>
    <m/>
    <m/>
    <m/>
  </r>
  <r>
    <m/>
    <x v="69"/>
    <x v="0"/>
    <s v="塗装"/>
    <x v="20"/>
    <x v="52"/>
    <x v="76"/>
    <n v="0.2124349334875651"/>
    <n v="1361700"/>
    <m/>
    <n v="260000"/>
    <m/>
    <m/>
    <m/>
    <n v="900000"/>
    <m/>
    <m/>
    <n v="42700"/>
    <n v="35000"/>
    <m/>
    <n v="1090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70"/>
    <x v="0"/>
    <s v="塗装"/>
    <x v="20"/>
    <x v="66"/>
    <x v="77"/>
    <n v="0.2525131942699171"/>
    <n v="1189700"/>
    <m/>
    <n v="253500"/>
    <m/>
    <m/>
    <m/>
    <n v="700000"/>
    <m/>
    <m/>
    <n v="32200"/>
    <n v="35000"/>
    <m/>
    <n v="1540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62"/>
    <x v="0"/>
    <s v="塗装"/>
    <x v="20"/>
    <x v="57"/>
    <x v="78"/>
    <n v="0.3599221789883268"/>
    <n v="329000"/>
    <n v="155000"/>
    <m/>
    <m/>
    <m/>
    <m/>
    <m/>
    <n v="120000"/>
    <m/>
    <m/>
    <m/>
    <m/>
    <n v="5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67"/>
    <x v="79"/>
    <n v="0.356872351672077"/>
    <n v="70847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10月"/>
    <x v="71"/>
    <x v="0"/>
    <s v="塗装"/>
    <x v="21"/>
    <x v="41"/>
    <x v="80"/>
    <n v="0.3827272727272727"/>
    <n v="1222200"/>
    <m/>
    <m/>
    <m/>
    <n v="230000"/>
    <m/>
    <m/>
    <n v="800000"/>
    <m/>
    <n v="25000"/>
    <n v="35000"/>
    <m/>
    <n v="132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2"/>
    <x v="0"/>
    <s v="塗装"/>
    <x v="21"/>
    <x v="68"/>
    <x v="81"/>
    <n v="0.1401351351351351"/>
    <n v="1272600"/>
    <m/>
    <m/>
    <m/>
    <n v="230000"/>
    <m/>
    <m/>
    <n v="750000"/>
    <m/>
    <m/>
    <n v="35000"/>
    <m/>
    <n v="257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3"/>
    <x v="0"/>
    <s v="塗装"/>
    <x v="21"/>
    <x v="69"/>
    <x v="82"/>
    <n v="0.2701067615658363"/>
    <n v="1230600"/>
    <m/>
    <m/>
    <m/>
    <n v="260000"/>
    <m/>
    <m/>
    <n v="750000"/>
    <m/>
    <m/>
    <n v="35000"/>
    <m/>
    <n v="185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61"/>
    <x v="0"/>
    <s v="塗装"/>
    <x v="21"/>
    <x v="57"/>
    <x v="83"/>
    <n v="0.03696498054474708"/>
    <n v="495000"/>
    <n v="375000"/>
    <m/>
    <m/>
    <m/>
    <m/>
    <m/>
    <n v="1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4"/>
    <x v="0"/>
    <s v="キッチン交換　他"/>
    <x v="21"/>
    <x v="70"/>
    <x v="84"/>
    <n v="0.1774193548387097"/>
    <n v="306000"/>
    <m/>
    <m/>
    <m/>
    <m/>
    <m/>
    <n v="30000"/>
    <m/>
    <m/>
    <m/>
    <m/>
    <m/>
    <m/>
    <m/>
    <n v="150000"/>
    <m/>
    <m/>
    <m/>
    <n v="75000"/>
    <m/>
    <n v="51000"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5"/>
    <x v="0"/>
    <s v="トイレユニット工事"/>
    <x v="21"/>
    <x v="71"/>
    <x v="85"/>
    <n v="0.1045369303180693"/>
    <n v="1020887"/>
    <m/>
    <m/>
    <m/>
    <m/>
    <m/>
    <m/>
    <m/>
    <m/>
    <m/>
    <m/>
    <m/>
    <m/>
    <m/>
    <m/>
    <m/>
    <m/>
    <m/>
    <m/>
    <n v="580887"/>
    <m/>
    <m/>
    <m/>
    <m/>
    <m/>
    <m/>
    <m/>
    <m/>
    <m/>
    <m/>
    <m/>
    <m/>
    <m/>
    <m/>
    <m/>
    <m/>
    <m/>
    <m/>
    <m/>
    <m/>
    <m/>
    <m/>
    <n v="300000"/>
    <m/>
    <m/>
    <m/>
    <m/>
    <m/>
    <n v="140000"/>
  </r>
  <r>
    <m/>
    <x v="76"/>
    <x v="0"/>
    <s v="塗装"/>
    <x v="21"/>
    <x v="72"/>
    <x v="86"/>
    <n v="0.3167512195121951"/>
    <n v="1400660"/>
    <n v="220000"/>
    <m/>
    <m/>
    <m/>
    <m/>
    <n v="700000"/>
    <m/>
    <m/>
    <n v="43260"/>
    <n v="35000"/>
    <m/>
    <n v="79400"/>
    <m/>
    <m/>
    <m/>
    <m/>
    <m/>
    <m/>
    <m/>
    <m/>
    <m/>
    <m/>
    <m/>
    <m/>
    <m/>
    <m/>
    <m/>
    <m/>
    <n v="15000"/>
    <m/>
    <m/>
    <m/>
    <m/>
    <m/>
    <m/>
    <m/>
    <n v="220000"/>
    <m/>
    <m/>
    <m/>
    <m/>
    <m/>
    <m/>
    <m/>
    <m/>
    <m/>
    <m/>
    <n v="88000"/>
  </r>
  <r>
    <m/>
    <x v="77"/>
    <x v="0"/>
    <s v="塗装"/>
    <x v="21"/>
    <x v="69"/>
    <x v="87"/>
    <n v="0.235349940688019"/>
    <n v="1289200"/>
    <n v="255000"/>
    <m/>
    <m/>
    <m/>
    <m/>
    <n v="750000"/>
    <m/>
    <m/>
    <n v="47600"/>
    <n v="35000"/>
    <m/>
    <n v="1836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n v="3000"/>
  </r>
  <r>
    <m/>
    <x v="78"/>
    <x v="0"/>
    <s v="塗装"/>
    <x v="21"/>
    <x v="73"/>
    <x v="88"/>
    <n v="0.2963503649635036"/>
    <n v="1156800"/>
    <m/>
    <n v="253500"/>
    <m/>
    <m/>
    <m/>
    <n v="850000"/>
    <m/>
    <m/>
    <m/>
    <m/>
    <m/>
    <n v="53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79"/>
    <x v="0"/>
    <s v="塗装"/>
    <x v="21"/>
    <x v="53"/>
    <x v="89"/>
    <n v="0.2898750900792698"/>
    <n v="1182500"/>
    <m/>
    <m/>
    <m/>
    <n v="221000"/>
    <m/>
    <n v="850000"/>
    <m/>
    <m/>
    <n v="42700"/>
    <m/>
    <m/>
    <n v="68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80"/>
    <x v="0"/>
    <s v="塗装"/>
    <x v="21"/>
    <x v="74"/>
    <x v="90"/>
    <n v="0.4736842105263158"/>
    <n v="30000"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75"/>
    <x v="91"/>
    <n v="0.2569532471932357"/>
    <n v="106064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11月"/>
    <x v="81"/>
    <x v="0"/>
    <s v="塗装"/>
    <x v="22"/>
    <x v="33"/>
    <x v="92"/>
    <n v="0.2661714285714286"/>
    <n v="1284200"/>
    <n v="230000"/>
    <m/>
    <m/>
    <m/>
    <m/>
    <n v="750000"/>
    <m/>
    <m/>
    <n v="41300"/>
    <m/>
    <m/>
    <n v="126900"/>
    <m/>
    <m/>
    <m/>
    <m/>
    <m/>
    <n v="34000"/>
    <m/>
    <m/>
    <m/>
    <m/>
    <m/>
    <m/>
    <m/>
    <m/>
    <m/>
    <m/>
    <m/>
    <n v="64000"/>
    <m/>
    <m/>
    <m/>
    <m/>
    <m/>
    <m/>
    <m/>
    <m/>
    <m/>
    <m/>
    <m/>
    <n v="10000"/>
    <m/>
    <m/>
    <m/>
    <m/>
    <m/>
    <n v="28000"/>
  </r>
  <r>
    <m/>
    <x v="82"/>
    <x v="0"/>
    <s v="塗装"/>
    <x v="22"/>
    <x v="76"/>
    <x v="93"/>
    <n v="0.4233048745463565"/>
    <n v="1104400"/>
    <m/>
    <m/>
    <m/>
    <n v="230000"/>
    <m/>
    <m/>
    <n v="800000"/>
    <m/>
    <n v="25000"/>
    <m/>
    <m/>
    <n v="49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83"/>
    <x v="0"/>
    <s v="屋根塗装"/>
    <x v="22"/>
    <x v="77"/>
    <x v="94"/>
    <n v="0.3449522510231924"/>
    <n v="480150"/>
    <n v="200000"/>
    <m/>
    <m/>
    <m/>
    <m/>
    <m/>
    <n v="200000"/>
    <m/>
    <m/>
    <m/>
    <m/>
    <n v="6515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84"/>
    <x v="0"/>
    <s v="屋根塗装"/>
    <x v="22"/>
    <x v="78"/>
    <x v="95"/>
    <n v="0.1960798816568047"/>
    <n v="543450"/>
    <n v="200000"/>
    <m/>
    <m/>
    <m/>
    <m/>
    <m/>
    <n v="278300"/>
    <m/>
    <m/>
    <m/>
    <m/>
    <n v="651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79"/>
    <x v="96"/>
    <n v="0.3275194371360156"/>
    <n v="3412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1.12月"/>
    <x v="85"/>
    <x v="0"/>
    <s v="塗装"/>
    <x v="23"/>
    <x v="35"/>
    <x v="97"/>
    <n v="0.4371502590673575"/>
    <n v="1086300"/>
    <m/>
    <n v="227500"/>
    <m/>
    <m/>
    <m/>
    <m/>
    <n v="800000"/>
    <m/>
    <n v="58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86"/>
    <x v="0"/>
    <s v="塗装"/>
    <x v="23"/>
    <x v="80"/>
    <x v="98"/>
    <n v="0.6616777685262282"/>
    <n v="812650"/>
    <m/>
    <m/>
    <m/>
    <m/>
    <m/>
    <n v="750000"/>
    <m/>
    <m/>
    <n v="626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87"/>
    <x v="0"/>
    <s v="浸水復旧"/>
    <x v="23"/>
    <x v="81"/>
    <x v="99"/>
    <n v="0.2764009174311927"/>
    <n v="1577446"/>
    <m/>
    <m/>
    <m/>
    <m/>
    <m/>
    <n v="20000"/>
    <m/>
    <m/>
    <m/>
    <m/>
    <m/>
    <m/>
    <m/>
    <n v="600000"/>
    <n v="180408"/>
    <m/>
    <m/>
    <m/>
    <n v="70000"/>
    <m/>
    <n v="50000"/>
    <m/>
    <m/>
    <m/>
    <n v="210000"/>
    <m/>
    <n v="192000"/>
    <m/>
    <m/>
    <m/>
    <n v="255038"/>
    <m/>
    <m/>
    <m/>
    <m/>
    <m/>
    <m/>
    <m/>
    <m/>
    <m/>
    <m/>
    <m/>
    <m/>
    <m/>
    <m/>
    <m/>
    <m/>
    <m/>
  </r>
  <r>
    <m/>
    <x v="88"/>
    <x v="0"/>
    <s v="リフォーム"/>
    <x v="23"/>
    <x v="82"/>
    <x v="100"/>
    <n v="0.1878343381389253"/>
    <n v="1549206"/>
    <m/>
    <m/>
    <m/>
    <m/>
    <m/>
    <n v="40000"/>
    <m/>
    <m/>
    <m/>
    <m/>
    <m/>
    <m/>
    <m/>
    <n v="450000"/>
    <n v="77206"/>
    <m/>
    <m/>
    <n v="200000"/>
    <n v="360000"/>
    <m/>
    <m/>
    <m/>
    <m/>
    <m/>
    <n v="150000"/>
    <m/>
    <m/>
    <m/>
    <m/>
    <m/>
    <m/>
    <m/>
    <m/>
    <m/>
    <m/>
    <m/>
    <m/>
    <m/>
    <m/>
    <m/>
    <m/>
    <m/>
    <m/>
    <m/>
    <m/>
    <m/>
    <m/>
    <n v="272000"/>
  </r>
  <r>
    <m/>
    <x v="21"/>
    <x v="0"/>
    <m/>
    <x v="12"/>
    <x v="83"/>
    <x v="101"/>
    <n v="0.4030997090088485"/>
    <n v="5025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1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1月"/>
    <x v="89"/>
    <x v="0"/>
    <s v="浸水復旧"/>
    <x v="0"/>
    <x v="84"/>
    <x v="103"/>
    <n v="0.3655745909528393"/>
    <n v="659168"/>
    <m/>
    <m/>
    <m/>
    <m/>
    <m/>
    <m/>
    <m/>
    <m/>
    <m/>
    <m/>
    <m/>
    <m/>
    <m/>
    <n v="200000"/>
    <n v="21168"/>
    <n v="70000"/>
    <m/>
    <n v="30000"/>
    <m/>
    <m/>
    <m/>
    <m/>
    <m/>
    <m/>
    <n v="70000"/>
    <m/>
    <n v="128000"/>
    <m/>
    <m/>
    <m/>
    <n v="140000"/>
    <m/>
    <m/>
    <m/>
    <m/>
    <m/>
    <m/>
    <m/>
    <m/>
    <m/>
    <m/>
    <m/>
    <m/>
    <m/>
    <m/>
    <m/>
    <m/>
    <m/>
  </r>
  <r>
    <m/>
    <x v="90"/>
    <x v="0"/>
    <s v="浸水復旧　解体"/>
    <x v="0"/>
    <x v="85"/>
    <x v="104"/>
    <n v="0.3973016949152542"/>
    <n v="355592"/>
    <m/>
    <m/>
    <m/>
    <m/>
    <m/>
    <m/>
    <m/>
    <m/>
    <m/>
    <m/>
    <m/>
    <m/>
    <m/>
    <n v="320000"/>
    <n v="5592"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86"/>
    <x v="105"/>
    <n v="0.3770656844689994"/>
    <n v="1014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2月"/>
    <x v="91"/>
    <x v="0"/>
    <s v="浴室改修"/>
    <x v="13"/>
    <x v="87"/>
    <x v="106"/>
    <n v="0.2"/>
    <n v="360000"/>
    <m/>
    <m/>
    <m/>
    <m/>
    <m/>
    <n v="50000"/>
    <m/>
    <m/>
    <m/>
    <m/>
    <m/>
    <m/>
    <m/>
    <n v="150000"/>
    <m/>
    <m/>
    <m/>
    <n v="52000"/>
    <n v="78000"/>
    <m/>
    <m/>
    <m/>
    <m/>
    <m/>
    <n v="30000"/>
    <m/>
    <m/>
    <m/>
    <m/>
    <m/>
    <m/>
    <m/>
    <m/>
    <m/>
    <m/>
    <m/>
    <m/>
    <m/>
    <m/>
    <m/>
    <m/>
    <m/>
    <m/>
    <m/>
    <m/>
    <m/>
    <m/>
    <m/>
  </r>
  <r>
    <m/>
    <x v="92"/>
    <x v="0"/>
    <s v="塗装"/>
    <x v="13"/>
    <x v="19"/>
    <x v="107"/>
    <n v="0.2991176470588235"/>
    <n v="1191500"/>
    <m/>
    <n v="182000"/>
    <m/>
    <m/>
    <m/>
    <n v="800000"/>
    <m/>
    <m/>
    <n v="21700"/>
    <n v="35000"/>
    <m/>
    <n v="80800"/>
    <m/>
    <m/>
    <m/>
    <m/>
    <m/>
    <n v="47000"/>
    <m/>
    <m/>
    <m/>
    <m/>
    <m/>
    <m/>
    <m/>
    <m/>
    <m/>
    <m/>
    <m/>
    <m/>
    <m/>
    <m/>
    <m/>
    <m/>
    <m/>
    <m/>
    <m/>
    <m/>
    <m/>
    <m/>
    <m/>
    <m/>
    <m/>
    <m/>
    <m/>
    <m/>
    <m/>
    <n v="25000"/>
  </r>
  <r>
    <m/>
    <x v="93"/>
    <x v="0"/>
    <s v="樋交換"/>
    <x v="13"/>
    <x v="88"/>
    <x v="108"/>
    <n v="0.6496815286624203"/>
    <n v="220000"/>
    <n v="130000"/>
    <m/>
    <m/>
    <m/>
    <m/>
    <m/>
    <m/>
    <m/>
    <m/>
    <m/>
    <m/>
    <m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"/>
  </r>
  <r>
    <m/>
    <x v="94"/>
    <x v="0"/>
    <s v="出窓漏水"/>
    <x v="13"/>
    <x v="89"/>
    <x v="109"/>
    <n v="0.4882727272727272"/>
    <n v="225160"/>
    <n v="205000"/>
    <m/>
    <m/>
    <m/>
    <m/>
    <m/>
    <m/>
    <m/>
    <n v="201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90"/>
    <x v="110"/>
    <n v="0.3795338719701678"/>
    <n v="19966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3"/>
    <x v="95"/>
    <x v="0"/>
    <s v="内装リフォーム"/>
    <x v="14"/>
    <x v="91"/>
    <x v="111"/>
    <n v="0.1807530054644809"/>
    <n v="1499222"/>
    <m/>
    <m/>
    <m/>
    <m/>
    <m/>
    <m/>
    <m/>
    <m/>
    <m/>
    <m/>
    <m/>
    <m/>
    <m/>
    <n v="568832"/>
    <m/>
    <m/>
    <m/>
    <n v="40720"/>
    <m/>
    <n v="90000"/>
    <m/>
    <m/>
    <m/>
    <m/>
    <n v="30000"/>
    <m/>
    <m/>
    <m/>
    <m/>
    <m/>
    <n v="559670"/>
    <m/>
    <m/>
    <m/>
    <m/>
    <m/>
    <m/>
    <m/>
    <m/>
    <m/>
    <m/>
    <m/>
    <m/>
    <m/>
    <m/>
    <m/>
    <m/>
    <n v="210000"/>
  </r>
  <r>
    <m/>
    <x v="96"/>
    <x v="0"/>
    <s v="LIXIL　トイレ改修"/>
    <x v="14"/>
    <x v="92"/>
    <x v="112"/>
    <n v="0.3806451612903226"/>
    <n v="96000"/>
    <m/>
    <m/>
    <m/>
    <m/>
    <m/>
    <m/>
    <m/>
    <m/>
    <m/>
    <m/>
    <m/>
    <m/>
    <m/>
    <n v="45000"/>
    <m/>
    <m/>
    <m/>
    <n v="8000"/>
    <n v="18000"/>
    <m/>
    <m/>
    <m/>
    <m/>
    <m/>
    <n v="25000"/>
    <m/>
    <m/>
    <m/>
    <m/>
    <m/>
    <m/>
    <m/>
    <m/>
    <m/>
    <m/>
    <m/>
    <m/>
    <m/>
    <m/>
    <m/>
    <m/>
    <m/>
    <m/>
    <m/>
    <m/>
    <m/>
    <m/>
    <m/>
  </r>
  <r>
    <m/>
    <x v="97"/>
    <x v="0"/>
    <s v="フタバ 浴室漏水"/>
    <x v="14"/>
    <x v="93"/>
    <x v="113"/>
    <n v="0.4415106382978723"/>
    <n v="104996"/>
    <m/>
    <m/>
    <m/>
    <m/>
    <m/>
    <m/>
    <m/>
    <m/>
    <m/>
    <m/>
    <m/>
    <m/>
    <m/>
    <n v="47996"/>
    <m/>
    <m/>
    <m/>
    <m/>
    <n v="57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94"/>
    <x v="114"/>
    <n v="0.217571099861942"/>
    <n v="17002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5"/>
    <x v="98"/>
    <x v="0"/>
    <s v="塗装（屋根なし"/>
    <x v="16"/>
    <x v="95"/>
    <x v="115"/>
    <n v="0.284961439588689"/>
    <n v="1112600"/>
    <n v="275000"/>
    <m/>
    <m/>
    <m/>
    <m/>
    <n v="700000"/>
    <m/>
    <m/>
    <n v="48300"/>
    <n v="35000"/>
    <m/>
    <n v="393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99"/>
    <x v="0"/>
    <s v="塗装"/>
    <x v="16"/>
    <x v="96"/>
    <x v="116"/>
    <n v="0.2035507246376811"/>
    <n v="1099100"/>
    <m/>
    <n v="195000"/>
    <m/>
    <m/>
    <m/>
    <n v="650000"/>
    <m/>
    <m/>
    <n v="50400"/>
    <n v="35000"/>
    <m/>
    <n v="164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"/>
  </r>
  <r>
    <m/>
    <x v="100"/>
    <x v="0"/>
    <s v="塗装+胴差"/>
    <x v="16"/>
    <x v="97"/>
    <x v="117"/>
    <n v="0.3266322457797796"/>
    <n v="919450"/>
    <m/>
    <m/>
    <m/>
    <m/>
    <m/>
    <m/>
    <n v="600000"/>
    <m/>
    <n v="39100"/>
    <n v="35000"/>
    <m/>
    <n v="106350"/>
    <m/>
    <n v="47500"/>
    <m/>
    <m/>
    <m/>
    <m/>
    <m/>
    <m/>
    <m/>
    <m/>
    <m/>
    <m/>
    <m/>
    <m/>
    <m/>
    <m/>
    <n v="7500"/>
    <m/>
    <m/>
    <m/>
    <m/>
    <m/>
    <m/>
    <m/>
    <n v="84000"/>
    <m/>
    <m/>
    <m/>
    <m/>
    <m/>
    <m/>
    <m/>
    <m/>
    <m/>
    <m/>
    <m/>
  </r>
  <r>
    <m/>
    <x v="101"/>
    <x v="0"/>
    <s v="塗装＋胴差"/>
    <x v="16"/>
    <x v="98"/>
    <x v="118"/>
    <n v="0.2947401550021637"/>
    <n v="896350"/>
    <m/>
    <m/>
    <m/>
    <m/>
    <m/>
    <m/>
    <n v="600000"/>
    <m/>
    <n v="44000"/>
    <n v="35000"/>
    <m/>
    <n v="106350"/>
    <m/>
    <n v="47500"/>
    <m/>
    <m/>
    <m/>
    <m/>
    <m/>
    <m/>
    <m/>
    <m/>
    <m/>
    <m/>
    <m/>
    <m/>
    <m/>
    <m/>
    <n v="7500"/>
    <m/>
    <m/>
    <m/>
    <m/>
    <m/>
    <m/>
    <m/>
    <n v="56000"/>
    <m/>
    <m/>
    <m/>
    <m/>
    <m/>
    <m/>
    <m/>
    <m/>
    <m/>
    <m/>
    <m/>
  </r>
  <r>
    <m/>
    <x v="100"/>
    <x v="0"/>
    <s v="足場+樋交換工事"/>
    <x v="16"/>
    <x v="99"/>
    <x v="119"/>
    <n v="0.06786593598602177"/>
    <n v="586825"/>
    <m/>
    <m/>
    <m/>
    <n v="247500"/>
    <m/>
    <m/>
    <m/>
    <m/>
    <m/>
    <m/>
    <m/>
    <m/>
    <m/>
    <m/>
    <m/>
    <m/>
    <n v="2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4325"/>
  </r>
  <r>
    <m/>
    <x v="101"/>
    <x v="0"/>
    <s v="足場+樋交換工事"/>
    <x v="16"/>
    <x v="100"/>
    <x v="120"/>
    <n v="0.07301950872758865"/>
    <n v="586825"/>
    <m/>
    <m/>
    <m/>
    <n v="247500"/>
    <m/>
    <m/>
    <m/>
    <m/>
    <m/>
    <m/>
    <m/>
    <m/>
    <m/>
    <m/>
    <m/>
    <m/>
    <n v="2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4325"/>
  </r>
  <r>
    <m/>
    <x v="102"/>
    <x v="0"/>
    <s v="物置塗装"/>
    <x v="16"/>
    <x v="101"/>
    <x v="84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02"/>
    <x v="0"/>
    <s v="雪止め設置"/>
    <x v="16"/>
    <x v="11"/>
    <x v="121"/>
    <n v="0.05077777777777778"/>
    <n v="170860"/>
    <m/>
    <m/>
    <m/>
    <m/>
    <m/>
    <m/>
    <m/>
    <m/>
    <m/>
    <m/>
    <m/>
    <m/>
    <m/>
    <n v="52000"/>
    <n v="18860"/>
    <m/>
    <m/>
    <m/>
    <m/>
    <m/>
    <m/>
    <m/>
    <m/>
    <m/>
    <m/>
    <m/>
    <m/>
    <m/>
    <m/>
    <m/>
    <m/>
    <m/>
    <m/>
    <m/>
    <m/>
    <m/>
    <m/>
    <m/>
    <m/>
    <m/>
    <m/>
    <n v="100000"/>
    <m/>
    <m/>
    <m/>
    <m/>
    <m/>
    <m/>
  </r>
  <r>
    <m/>
    <x v="21"/>
    <x v="0"/>
    <m/>
    <x v="12"/>
    <x v="102"/>
    <x v="122"/>
    <n v="0.2413486795650332"/>
    <n v="53720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6"/>
    <x v="103"/>
    <x v="0"/>
    <s v="塗装"/>
    <x v="17"/>
    <x v="103"/>
    <x v="123"/>
    <n v="0.2652626077867782"/>
    <n v="1405920"/>
    <m/>
    <m/>
    <m/>
    <n v="280000"/>
    <m/>
    <n v="800000"/>
    <m/>
    <m/>
    <n v="64400"/>
    <n v="35000"/>
    <m/>
    <n v="157000"/>
    <m/>
    <m/>
    <m/>
    <m/>
    <m/>
    <n v="16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n v="38520"/>
  </r>
  <r>
    <m/>
    <x v="104"/>
    <x v="0"/>
    <s v="塗装+フェンス塗装"/>
    <x v="17"/>
    <x v="104"/>
    <x v="124"/>
    <n v="0.337144420131291"/>
    <n v="1211700"/>
    <m/>
    <n v="247000"/>
    <m/>
    <m/>
    <m/>
    <m/>
    <n v="800000"/>
    <m/>
    <n v="35700"/>
    <m/>
    <m/>
    <n v="1140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05"/>
    <x v="0"/>
    <s v="外壁交換"/>
    <x v="17"/>
    <x v="105"/>
    <x v="125"/>
    <n v="0.2644230769230769"/>
    <n v="153000"/>
    <n v="45000"/>
    <m/>
    <m/>
    <m/>
    <m/>
    <n v="50000"/>
    <m/>
    <m/>
    <m/>
    <m/>
    <m/>
    <m/>
    <m/>
    <m/>
    <m/>
    <m/>
    <n v="50000"/>
    <n v="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06"/>
    <x v="0"/>
    <s v="物置新設"/>
    <x v="17"/>
    <x v="106"/>
    <x v="126"/>
    <n v="0.2550467289719626"/>
    <n v="797100"/>
    <m/>
    <m/>
    <m/>
    <m/>
    <m/>
    <m/>
    <m/>
    <m/>
    <m/>
    <m/>
    <m/>
    <m/>
    <m/>
    <n v="100000"/>
    <m/>
    <m/>
    <m/>
    <n v="60000"/>
    <m/>
    <m/>
    <n v="592100"/>
    <m/>
    <m/>
    <m/>
    <m/>
    <m/>
    <m/>
    <m/>
    <m/>
    <m/>
    <m/>
    <m/>
    <m/>
    <m/>
    <m/>
    <m/>
    <m/>
    <m/>
    <m/>
    <m/>
    <m/>
    <n v="45000"/>
    <m/>
    <m/>
    <m/>
    <m/>
    <m/>
    <m/>
  </r>
  <r>
    <m/>
    <x v="107"/>
    <x v="0"/>
    <s v="トイレ・レンジフード交換"/>
    <x v="17"/>
    <x v="107"/>
    <x v="127"/>
    <n v="0.2696809743154914"/>
    <n v="286816"/>
    <m/>
    <m/>
    <m/>
    <m/>
    <m/>
    <m/>
    <m/>
    <m/>
    <m/>
    <m/>
    <m/>
    <m/>
    <m/>
    <n v="40000"/>
    <m/>
    <m/>
    <m/>
    <n v="120000"/>
    <m/>
    <n v="20000"/>
    <m/>
    <m/>
    <m/>
    <m/>
    <n v="25000"/>
    <m/>
    <m/>
    <m/>
    <m/>
    <m/>
    <n v="81816"/>
    <m/>
    <m/>
    <m/>
    <m/>
    <m/>
    <m/>
    <m/>
    <m/>
    <m/>
    <m/>
    <m/>
    <m/>
    <m/>
    <m/>
    <m/>
    <m/>
    <m/>
  </r>
  <r>
    <m/>
    <x v="108"/>
    <x v="0"/>
    <s v="洗浄・基礎塗装・照明・アスロック"/>
    <x v="17"/>
    <x v="108"/>
    <x v="128"/>
    <n v="0.5252747252747253"/>
    <n v="216000"/>
    <m/>
    <m/>
    <m/>
    <m/>
    <m/>
    <m/>
    <n v="72000"/>
    <m/>
    <n v="12600"/>
    <m/>
    <m/>
    <n v="7400"/>
    <m/>
    <m/>
    <m/>
    <m/>
    <m/>
    <n v="92000"/>
    <m/>
    <m/>
    <m/>
    <m/>
    <m/>
    <m/>
    <m/>
    <m/>
    <m/>
    <m/>
    <m/>
    <m/>
    <m/>
    <m/>
    <m/>
    <m/>
    <m/>
    <m/>
    <m/>
    <m/>
    <m/>
    <m/>
    <m/>
    <m/>
    <m/>
    <m/>
    <m/>
    <m/>
    <m/>
    <n v="32000"/>
  </r>
  <r>
    <m/>
    <x v="109"/>
    <x v="0"/>
    <s v="トイレ→SK"/>
    <x v="17"/>
    <x v="109"/>
    <x v="129"/>
    <n v="0.3700181818181818"/>
    <n v="138596"/>
    <m/>
    <m/>
    <m/>
    <m/>
    <m/>
    <m/>
    <m/>
    <m/>
    <m/>
    <m/>
    <m/>
    <m/>
    <m/>
    <n v="48596"/>
    <m/>
    <m/>
    <m/>
    <m/>
    <n v="9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0"/>
    <x v="0"/>
    <s v="漏水対応"/>
    <x v="17"/>
    <x v="110"/>
    <x v="130"/>
    <n v="0.5567010309278351"/>
    <n v="43000"/>
    <m/>
    <m/>
    <m/>
    <m/>
    <m/>
    <m/>
    <m/>
    <m/>
    <m/>
    <m/>
    <m/>
    <m/>
    <m/>
    <n v="18000"/>
    <m/>
    <m/>
    <m/>
    <m/>
    <m/>
    <n v="25000"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1"/>
    <x v="0"/>
    <s v="LIXIL UB改修"/>
    <x v="17"/>
    <x v="111"/>
    <x v="131"/>
    <n v="0.1844858962693358"/>
    <n v="358500"/>
    <m/>
    <m/>
    <m/>
    <m/>
    <m/>
    <m/>
    <m/>
    <m/>
    <m/>
    <m/>
    <m/>
    <m/>
    <m/>
    <n v="150000"/>
    <m/>
    <m/>
    <m/>
    <n v="35000"/>
    <m/>
    <n v="115500"/>
    <m/>
    <m/>
    <m/>
    <m/>
    <n v="40000"/>
    <m/>
    <m/>
    <m/>
    <m/>
    <m/>
    <m/>
    <m/>
    <m/>
    <m/>
    <m/>
    <m/>
    <m/>
    <m/>
    <m/>
    <m/>
    <m/>
    <n v="18000"/>
    <m/>
    <m/>
    <m/>
    <m/>
    <m/>
    <m/>
  </r>
  <r>
    <m/>
    <x v="21"/>
    <x v="0"/>
    <m/>
    <x v="12"/>
    <x v="112"/>
    <x v="132"/>
    <n v="0.3039323037875235"/>
    <n v="46106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1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7"/>
    <x v="112"/>
    <x v="0"/>
    <s v="LIXIL　キッチン入替"/>
    <x v="18"/>
    <x v="113"/>
    <x v="133"/>
    <n v="0.3225806451612903"/>
    <n v="210000"/>
    <m/>
    <m/>
    <m/>
    <m/>
    <m/>
    <m/>
    <m/>
    <m/>
    <m/>
    <m/>
    <m/>
    <m/>
    <m/>
    <n v="110000"/>
    <m/>
    <m/>
    <m/>
    <n v="30000"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3"/>
    <x v="0"/>
    <s v="屋根防水+塗装"/>
    <x v="18"/>
    <x v="44"/>
    <x v="134"/>
    <n v="0.3339"/>
    <n v="1998300"/>
    <n v="310000"/>
    <m/>
    <m/>
    <m/>
    <m/>
    <n v="900000"/>
    <m/>
    <m/>
    <n v="550500"/>
    <m/>
    <m/>
    <n v="237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4"/>
    <x v="0"/>
    <s v="壁張替"/>
    <x v="18"/>
    <x v="114"/>
    <x v="135"/>
    <n v="0.3736196786231056"/>
    <n v="329000"/>
    <m/>
    <m/>
    <m/>
    <m/>
    <m/>
    <m/>
    <m/>
    <m/>
    <m/>
    <n v="29000"/>
    <m/>
    <m/>
    <m/>
    <n v="180000"/>
    <m/>
    <m/>
    <m/>
    <m/>
    <m/>
    <m/>
    <m/>
    <m/>
    <n v="100000"/>
    <m/>
    <m/>
    <m/>
    <m/>
    <m/>
    <m/>
    <m/>
    <m/>
    <m/>
    <m/>
    <m/>
    <m/>
    <m/>
    <m/>
    <m/>
    <m/>
    <m/>
    <m/>
    <m/>
    <m/>
    <m/>
    <m/>
    <m/>
    <m/>
    <n v="20000"/>
  </r>
  <r>
    <m/>
    <x v="21"/>
    <x v="0"/>
    <m/>
    <x v="12"/>
    <x v="115"/>
    <x v="136"/>
    <n v="0.3384247139683566"/>
    <n v="2537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8"/>
    <x v="115"/>
    <x v="0"/>
    <s v="LIXIL　フェンス他多数"/>
    <x v="19"/>
    <x v="116"/>
    <x v="125"/>
    <n v="0.1279069767441861"/>
    <n v="375000"/>
    <m/>
    <m/>
    <m/>
    <m/>
    <m/>
    <m/>
    <m/>
    <m/>
    <m/>
    <m/>
    <m/>
    <m/>
    <m/>
    <m/>
    <m/>
    <m/>
    <m/>
    <m/>
    <m/>
    <m/>
    <n v="330000"/>
    <m/>
    <m/>
    <m/>
    <m/>
    <m/>
    <m/>
    <m/>
    <m/>
    <m/>
    <m/>
    <m/>
    <m/>
    <m/>
    <m/>
    <m/>
    <m/>
    <m/>
    <m/>
    <m/>
    <m/>
    <n v="5000"/>
    <m/>
    <m/>
    <m/>
    <m/>
    <m/>
    <n v="40000"/>
  </r>
  <r>
    <m/>
    <x v="116"/>
    <x v="0"/>
    <s v="LIXILキッチン・浴室・トイレ・洗面台"/>
    <x v="19"/>
    <x v="117"/>
    <x v="137"/>
    <n v="0.1937144927536232"/>
    <n v="556337"/>
    <m/>
    <m/>
    <m/>
    <m/>
    <m/>
    <m/>
    <m/>
    <m/>
    <m/>
    <m/>
    <m/>
    <m/>
    <m/>
    <n v="232337"/>
    <m/>
    <m/>
    <m/>
    <n v="120000"/>
    <n v="204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17"/>
    <x v="0"/>
    <s v="塗装"/>
    <x v="19"/>
    <x v="118"/>
    <x v="138"/>
    <n v="0.1850377487989019"/>
    <n v="1187400"/>
    <m/>
    <m/>
    <m/>
    <n v="230000"/>
    <m/>
    <n v="700000"/>
    <m/>
    <m/>
    <n v="50000"/>
    <n v="35000"/>
    <m/>
    <n v="147400"/>
    <m/>
    <m/>
    <m/>
    <m/>
    <m/>
    <n v="10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18"/>
    <x v="0"/>
    <s v="塗装"/>
    <x v="19"/>
    <x v="119"/>
    <x v="139"/>
    <n v="0.337887323943662"/>
    <n v="1880400"/>
    <n v="400000"/>
    <m/>
    <m/>
    <m/>
    <m/>
    <n v="1200000"/>
    <m/>
    <m/>
    <n v="50000"/>
    <n v="70000"/>
    <m/>
    <n v="160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20"/>
    <x v="140"/>
    <n v="0.2617432158021045"/>
    <n v="39991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9"/>
    <x v="119"/>
    <x v="0"/>
    <s v="塗装"/>
    <x v="20"/>
    <x v="121"/>
    <x v="141"/>
    <n v="0.3676793248945148"/>
    <n v="1498600"/>
    <m/>
    <n v="234000"/>
    <m/>
    <m/>
    <m/>
    <m/>
    <n v="900000"/>
    <m/>
    <n v="63000"/>
    <n v="35000"/>
    <m/>
    <n v="161600"/>
    <m/>
    <n v="90000"/>
    <m/>
    <m/>
    <m/>
    <s v="-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20"/>
    <x v="0"/>
    <s v="LIXILキッチン・洗面"/>
    <x v="20"/>
    <x v="109"/>
    <x v="142"/>
    <n v="0.1865181818181818"/>
    <n v="178966"/>
    <m/>
    <m/>
    <m/>
    <m/>
    <m/>
    <m/>
    <m/>
    <m/>
    <m/>
    <m/>
    <m/>
    <m/>
    <m/>
    <n v="41966"/>
    <m/>
    <m/>
    <m/>
    <n v="40000"/>
    <n v="82000"/>
    <m/>
    <m/>
    <m/>
    <m/>
    <m/>
    <n v="15000"/>
    <m/>
    <m/>
    <m/>
    <m/>
    <m/>
    <m/>
    <m/>
    <m/>
    <m/>
    <m/>
    <m/>
    <m/>
    <m/>
    <m/>
    <m/>
    <m/>
    <m/>
    <m/>
    <m/>
    <m/>
    <m/>
    <m/>
    <m/>
  </r>
  <r>
    <m/>
    <x v="121"/>
    <x v="0"/>
    <s v="屋根塗装・内装"/>
    <x v="20"/>
    <x v="122"/>
    <x v="143"/>
    <n v="0.2660131596616087"/>
    <n v="546600"/>
    <n v="170000"/>
    <m/>
    <m/>
    <m/>
    <m/>
    <n v="300000"/>
    <m/>
    <m/>
    <m/>
    <m/>
    <m/>
    <n v="76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23"/>
    <x v="144"/>
    <n v="0.3330236602992773"/>
    <n v="22241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10"/>
    <x v="122"/>
    <x v="1"/>
    <s v="塗装"/>
    <x v="21"/>
    <x v="124"/>
    <x v="145"/>
    <n v="0.3431927389215163"/>
    <n v="1230200"/>
    <m/>
    <m/>
    <m/>
    <n v="280000"/>
    <m/>
    <n v="800000"/>
    <m/>
    <m/>
    <n v="35000"/>
    <n v="35000"/>
    <m/>
    <n v="80200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23"/>
    <x v="1"/>
    <s v="塗装"/>
    <x v="21"/>
    <x v="125"/>
    <x v="146"/>
    <n v="0.2346868547832072"/>
    <n v="1112000"/>
    <n v="220000"/>
    <m/>
    <m/>
    <m/>
    <m/>
    <n v="700000"/>
    <m/>
    <m/>
    <n v="37100"/>
    <n v="35000"/>
    <m/>
    <n v="88900"/>
    <m/>
    <m/>
    <m/>
    <m/>
    <m/>
    <n v="16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24"/>
    <x v="2"/>
    <s v="サステム　UB入替"/>
    <x v="12"/>
    <x v="126"/>
    <x v="147"/>
    <n v="0.3888790436005626"/>
    <n v="434507"/>
    <m/>
    <m/>
    <m/>
    <m/>
    <m/>
    <m/>
    <m/>
    <m/>
    <m/>
    <m/>
    <m/>
    <m/>
    <m/>
    <n v="150000"/>
    <n v="22507"/>
    <m/>
    <m/>
    <n v="90000"/>
    <n v="137000"/>
    <m/>
    <m/>
    <m/>
    <m/>
    <m/>
    <n v="35000"/>
    <m/>
    <m/>
    <m/>
    <m/>
    <m/>
    <m/>
    <m/>
    <m/>
    <m/>
    <m/>
    <m/>
    <m/>
    <m/>
    <m/>
    <m/>
    <m/>
    <m/>
    <m/>
    <m/>
    <m/>
    <m/>
    <m/>
    <m/>
  </r>
  <r>
    <m/>
    <x v="125"/>
    <x v="3"/>
    <s v="和室改修"/>
    <x v="22"/>
    <x v="127"/>
    <x v="148"/>
    <n v="0.3460016286644951"/>
    <n v="401555"/>
    <m/>
    <m/>
    <m/>
    <m/>
    <m/>
    <m/>
    <m/>
    <m/>
    <m/>
    <m/>
    <m/>
    <m/>
    <m/>
    <n v="200000"/>
    <n v="41555"/>
    <n v="110000"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28"/>
    <x v="149"/>
    <n v="0.3166497527413459"/>
    <n v="31782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11"/>
    <x v="126"/>
    <x v="1"/>
    <s v="塗装"/>
    <x v="22"/>
    <x v="129"/>
    <x v="150"/>
    <n v="0.1887259395050412"/>
    <n v="885100"/>
    <m/>
    <m/>
    <m/>
    <n v="209000"/>
    <m/>
    <n v="550000"/>
    <m/>
    <m/>
    <n v="25000"/>
    <m/>
    <m/>
    <n v="101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27"/>
    <x v="1"/>
    <s v="リフォーム"/>
    <x v="23"/>
    <x v="130"/>
    <x v="151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28"/>
    <x v="1"/>
    <s v="塗装"/>
    <x v="22"/>
    <x v="131"/>
    <x v="152"/>
    <n v="0.3503896103896104"/>
    <n v="1000400"/>
    <m/>
    <n v="214500"/>
    <m/>
    <m/>
    <m/>
    <m/>
    <n v="650000"/>
    <m/>
    <n v="46900"/>
    <n v="35000"/>
    <m/>
    <n v="44000"/>
    <m/>
    <m/>
    <m/>
    <m/>
    <m/>
    <m/>
    <m/>
    <m/>
    <m/>
    <m/>
    <m/>
    <m/>
    <m/>
    <m/>
    <m/>
    <m/>
    <n v="10000"/>
    <m/>
    <m/>
    <m/>
    <m/>
    <m/>
    <m/>
    <m/>
    <m/>
    <m/>
    <m/>
    <m/>
    <m/>
    <m/>
    <m/>
    <m/>
    <m/>
    <m/>
    <m/>
    <m/>
  </r>
  <r>
    <m/>
    <x v="129"/>
    <x v="1"/>
    <s v="LIXIL　UB"/>
    <x v="22"/>
    <x v="132"/>
    <x v="153"/>
    <n v="0.1923360742146321"/>
    <n v="383075"/>
    <m/>
    <m/>
    <m/>
    <m/>
    <m/>
    <m/>
    <m/>
    <m/>
    <m/>
    <m/>
    <m/>
    <m/>
    <m/>
    <n v="150000"/>
    <n v="22075"/>
    <m/>
    <m/>
    <n v="60000"/>
    <n v="130000"/>
    <m/>
    <m/>
    <m/>
    <m/>
    <m/>
    <n v="18000"/>
    <m/>
    <m/>
    <m/>
    <m/>
    <m/>
    <m/>
    <m/>
    <m/>
    <m/>
    <m/>
    <m/>
    <m/>
    <m/>
    <m/>
    <m/>
    <m/>
    <n v="3000"/>
    <m/>
    <m/>
    <m/>
    <m/>
    <m/>
    <m/>
  </r>
  <r>
    <m/>
    <x v="130"/>
    <x v="1"/>
    <s v="塗装"/>
    <x v="22"/>
    <x v="17"/>
    <x v="154"/>
    <n v="0.2392105263157895"/>
    <n v="1156400"/>
    <m/>
    <n v="208000"/>
    <m/>
    <m/>
    <m/>
    <n v="750000"/>
    <m/>
    <m/>
    <n v="29400"/>
    <n v="35000"/>
    <m/>
    <n v="13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31"/>
    <x v="1"/>
    <s v="塗装（吹付）"/>
    <x v="22"/>
    <x v="41"/>
    <x v="155"/>
    <n v="0.2424494949494949"/>
    <n v="1499950"/>
    <n v="215000"/>
    <m/>
    <m/>
    <m/>
    <m/>
    <n v="850000"/>
    <m/>
    <m/>
    <n v="48300"/>
    <n v="35000"/>
    <m/>
    <n v="311650"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</r>
  <r>
    <m/>
    <x v="132"/>
    <x v="2"/>
    <s v="サステム　換気扇交換"/>
    <x v="22"/>
    <x v="4"/>
    <x v="156"/>
    <n v="0.2105263157894737"/>
    <n v="60000"/>
    <m/>
    <m/>
    <m/>
    <m/>
    <m/>
    <m/>
    <m/>
    <m/>
    <m/>
    <m/>
    <m/>
    <m/>
    <m/>
    <n v="20000"/>
    <m/>
    <m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33"/>
    <x v="2"/>
    <s v="サステム　便所改造"/>
    <x v="22"/>
    <x v="133"/>
    <x v="157"/>
    <n v="0.2634730538922156"/>
    <n v="123000"/>
    <m/>
    <m/>
    <m/>
    <m/>
    <m/>
    <m/>
    <m/>
    <m/>
    <m/>
    <m/>
    <m/>
    <m/>
    <m/>
    <n v="90000"/>
    <m/>
    <m/>
    <m/>
    <m/>
    <n v="18000"/>
    <m/>
    <m/>
    <m/>
    <m/>
    <m/>
    <n v="15000"/>
    <m/>
    <m/>
    <m/>
    <m/>
    <m/>
    <m/>
    <m/>
    <m/>
    <m/>
    <m/>
    <m/>
    <m/>
    <m/>
    <m/>
    <m/>
    <m/>
    <m/>
    <m/>
    <m/>
    <m/>
    <m/>
    <m/>
    <m/>
  </r>
  <r>
    <m/>
    <x v="21"/>
    <x v="0"/>
    <m/>
    <x v="12"/>
    <x v="134"/>
    <x v="158"/>
    <n v="0.241423991450708"/>
    <n v="28393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2.12"/>
    <x v="134"/>
    <x v="2"/>
    <s v="UB入替+外壁貼替"/>
    <x v="23"/>
    <x v="135"/>
    <x v="159"/>
    <n v="0.1465588235294118"/>
    <n v="290170"/>
    <m/>
    <m/>
    <m/>
    <m/>
    <m/>
    <n v="40000"/>
    <m/>
    <m/>
    <m/>
    <m/>
    <m/>
    <m/>
    <m/>
    <n v="170000"/>
    <n v="17170"/>
    <m/>
    <m/>
    <n v="58000"/>
    <m/>
    <m/>
    <m/>
    <m/>
    <m/>
    <m/>
    <m/>
    <m/>
    <m/>
    <m/>
    <m/>
    <m/>
    <n v="5000"/>
    <m/>
    <m/>
    <m/>
    <m/>
    <m/>
    <m/>
    <m/>
    <m/>
    <m/>
    <m/>
    <m/>
    <m/>
    <m/>
    <m/>
    <m/>
    <m/>
    <m/>
  </r>
  <r>
    <m/>
    <x v="135"/>
    <x v="3"/>
    <s v="キッチン入替"/>
    <x v="23"/>
    <x v="136"/>
    <x v="160"/>
    <n v="0.2758123411139358"/>
    <n v="156678"/>
    <m/>
    <m/>
    <m/>
    <m/>
    <m/>
    <m/>
    <m/>
    <m/>
    <m/>
    <m/>
    <m/>
    <m/>
    <m/>
    <n v="45000"/>
    <n v="2678"/>
    <m/>
    <m/>
    <n v="44000"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36"/>
    <x v="4"/>
    <s v="UB入替"/>
    <x v="23"/>
    <x v="137"/>
    <x v="161"/>
    <n v="0.1289223684210526"/>
    <n v="662019"/>
    <m/>
    <m/>
    <m/>
    <m/>
    <m/>
    <m/>
    <m/>
    <m/>
    <m/>
    <m/>
    <m/>
    <m/>
    <m/>
    <n v="100000"/>
    <n v="11719"/>
    <m/>
    <m/>
    <n v="40500"/>
    <n v="65000"/>
    <m/>
    <m/>
    <m/>
    <m/>
    <m/>
    <m/>
    <m/>
    <m/>
    <m/>
    <m/>
    <m/>
    <m/>
    <n v="444800"/>
    <m/>
    <m/>
    <m/>
    <m/>
    <m/>
    <m/>
    <m/>
    <m/>
    <m/>
    <m/>
    <m/>
    <m/>
    <m/>
    <m/>
    <m/>
    <m/>
  </r>
  <r>
    <m/>
    <x v="127"/>
    <x v="1"/>
    <s v="リフォーム"/>
    <x v="23"/>
    <x v="138"/>
    <x v="162"/>
    <n v="0.4226423841059603"/>
    <n v="871810"/>
    <m/>
    <m/>
    <m/>
    <m/>
    <m/>
    <n v="14000"/>
    <m/>
    <m/>
    <m/>
    <m/>
    <n v="35000"/>
    <m/>
    <m/>
    <n v="73000"/>
    <m/>
    <m/>
    <m/>
    <n v="205000"/>
    <n v="86000"/>
    <m/>
    <n v="30000"/>
    <m/>
    <m/>
    <m/>
    <n v="218000"/>
    <m/>
    <n v="24000"/>
    <m/>
    <m/>
    <m/>
    <n v="141810"/>
    <m/>
    <m/>
    <m/>
    <m/>
    <m/>
    <n v="45000"/>
    <m/>
    <m/>
    <m/>
    <m/>
    <m/>
    <m/>
    <m/>
    <m/>
    <m/>
    <m/>
    <m/>
  </r>
  <r>
    <m/>
    <x v="137"/>
    <x v="5"/>
    <s v="リフォーム"/>
    <x v="23"/>
    <x v="139"/>
    <x v="163"/>
    <n v="0.1035682291666667"/>
    <n v="3442298"/>
    <m/>
    <m/>
    <m/>
    <m/>
    <m/>
    <n v="41200"/>
    <m/>
    <m/>
    <m/>
    <m/>
    <m/>
    <m/>
    <m/>
    <n v="600000"/>
    <n v="76643"/>
    <n v="192000"/>
    <m/>
    <n v="200000"/>
    <n v="360000"/>
    <m/>
    <m/>
    <m/>
    <n v="241836"/>
    <m/>
    <n v="23000"/>
    <m/>
    <n v="18000"/>
    <m/>
    <m/>
    <m/>
    <n v="873119"/>
    <m/>
    <m/>
    <m/>
    <m/>
    <m/>
    <m/>
    <m/>
    <m/>
    <m/>
    <m/>
    <n v="32500"/>
    <m/>
    <m/>
    <m/>
    <m/>
    <m/>
    <n v="784000"/>
  </r>
  <r>
    <m/>
    <x v="138"/>
    <x v="1"/>
    <s v="塗装"/>
    <x v="23"/>
    <x v="140"/>
    <x v="164"/>
    <n v="0.242279792746114"/>
    <n v="731200"/>
    <m/>
    <n v="154000"/>
    <m/>
    <m/>
    <m/>
    <m/>
    <n v="500000"/>
    <m/>
    <n v="35000"/>
    <m/>
    <m/>
    <n v="42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39"/>
    <x v="6"/>
    <s v="電気工事"/>
    <x v="23"/>
    <x v="141"/>
    <x v="165"/>
    <n v="0.24"/>
    <n v="380000"/>
    <m/>
    <m/>
    <m/>
    <m/>
    <m/>
    <m/>
    <m/>
    <m/>
    <m/>
    <m/>
    <m/>
    <m/>
    <m/>
    <m/>
    <m/>
    <m/>
    <m/>
    <n v="3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40"/>
    <x v="2"/>
    <s v="和洋改修"/>
    <x v="23"/>
    <x v="142"/>
    <x v="166"/>
    <n v="0.2210578122633822"/>
    <n v="432073"/>
    <m/>
    <m/>
    <m/>
    <m/>
    <m/>
    <m/>
    <m/>
    <m/>
    <m/>
    <m/>
    <m/>
    <m/>
    <m/>
    <n v="150000"/>
    <n v="27398"/>
    <m/>
    <m/>
    <n v="18000"/>
    <m/>
    <m/>
    <m/>
    <m/>
    <m/>
    <m/>
    <n v="35000"/>
    <m/>
    <m/>
    <m/>
    <m/>
    <m/>
    <n v="182175"/>
    <m/>
    <m/>
    <m/>
    <m/>
    <m/>
    <m/>
    <m/>
    <m/>
    <m/>
    <m/>
    <n v="19500"/>
    <m/>
    <m/>
    <m/>
    <m/>
    <m/>
    <m/>
  </r>
  <r>
    <m/>
    <x v="21"/>
    <x v="0"/>
    <m/>
    <x v="12"/>
    <x v="143"/>
    <x v="167"/>
    <n v="0.1979951282759167"/>
    <n v="69662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1"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41"/>
    <x v="3"/>
    <s v="UB+トイレ+給湯器工事"/>
    <x v="0"/>
    <x v="144"/>
    <x v="168"/>
    <n v="0.1176470588235294"/>
    <n v="285000"/>
    <m/>
    <m/>
    <m/>
    <m/>
    <m/>
    <m/>
    <m/>
    <m/>
    <m/>
    <m/>
    <m/>
    <m/>
    <m/>
    <n v="150000"/>
    <m/>
    <m/>
    <m/>
    <n v="50000"/>
    <n v="20000"/>
    <m/>
    <m/>
    <m/>
    <m/>
    <m/>
    <n v="25000"/>
    <m/>
    <m/>
    <m/>
    <m/>
    <m/>
    <m/>
    <m/>
    <m/>
    <m/>
    <m/>
    <m/>
    <m/>
    <m/>
    <m/>
    <m/>
    <m/>
    <m/>
    <m/>
    <m/>
    <m/>
    <m/>
    <m/>
    <n v="40000"/>
  </r>
  <r>
    <m/>
    <x v="142"/>
    <x v="2"/>
    <s v="UB交換+給湯器"/>
    <x v="0"/>
    <x v="145"/>
    <x v="169"/>
    <n v="0.6217494089834515"/>
    <n v="320000"/>
    <m/>
    <m/>
    <m/>
    <m/>
    <m/>
    <m/>
    <m/>
    <m/>
    <m/>
    <m/>
    <m/>
    <m/>
    <m/>
    <m/>
    <m/>
    <m/>
    <m/>
    <m/>
    <n v="295000"/>
    <m/>
    <m/>
    <m/>
    <m/>
    <m/>
    <n v="25000"/>
    <m/>
    <m/>
    <m/>
    <m/>
    <m/>
    <m/>
    <m/>
    <m/>
    <m/>
    <m/>
    <m/>
    <m/>
    <m/>
    <m/>
    <m/>
    <m/>
    <m/>
    <m/>
    <m/>
    <m/>
    <m/>
    <m/>
    <m/>
  </r>
  <r>
    <m/>
    <x v="143"/>
    <x v="2"/>
    <s v="和・洋室改修"/>
    <x v="0"/>
    <x v="146"/>
    <x v="170"/>
    <n v="0.3530103732221153"/>
    <n v="605000"/>
    <m/>
    <m/>
    <m/>
    <m/>
    <m/>
    <m/>
    <m/>
    <m/>
    <m/>
    <m/>
    <m/>
    <m/>
    <m/>
    <n v="150000"/>
    <m/>
    <n v="265000"/>
    <m/>
    <n v="50000"/>
    <m/>
    <m/>
    <m/>
    <m/>
    <m/>
    <m/>
    <n v="20000"/>
    <m/>
    <m/>
    <m/>
    <m/>
    <m/>
    <n v="120000"/>
    <m/>
    <m/>
    <m/>
    <m/>
    <m/>
    <m/>
    <m/>
    <m/>
    <m/>
    <m/>
    <m/>
    <m/>
    <m/>
    <m/>
    <m/>
    <m/>
    <m/>
  </r>
  <r>
    <m/>
    <x v="144"/>
    <x v="7"/>
    <s v="内装。大工"/>
    <x v="0"/>
    <x v="147"/>
    <x v="171"/>
    <n v="0.2497622950819672"/>
    <n v="366116"/>
    <m/>
    <m/>
    <m/>
    <m/>
    <m/>
    <m/>
    <m/>
    <m/>
    <m/>
    <m/>
    <m/>
    <m/>
    <m/>
    <n v="80000"/>
    <n v="10116"/>
    <m/>
    <m/>
    <n v="161000"/>
    <m/>
    <m/>
    <n v="25000"/>
    <m/>
    <m/>
    <m/>
    <n v="90000"/>
    <m/>
    <m/>
    <m/>
    <m/>
    <m/>
    <m/>
    <m/>
    <m/>
    <m/>
    <m/>
    <m/>
    <m/>
    <m/>
    <m/>
    <m/>
    <m/>
    <m/>
    <m/>
    <m/>
    <m/>
    <m/>
    <m/>
    <m/>
  </r>
  <r>
    <m/>
    <x v="145"/>
    <x v="7"/>
    <s v="設備配管　大工"/>
    <x v="0"/>
    <x v="7"/>
    <x v="172"/>
    <n v="0.2355371900826446"/>
    <n v="185000"/>
    <m/>
    <m/>
    <m/>
    <m/>
    <m/>
    <m/>
    <m/>
    <m/>
    <m/>
    <m/>
    <m/>
    <m/>
    <m/>
    <n v="25000"/>
    <m/>
    <m/>
    <m/>
    <n v="10000"/>
    <n v="15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46"/>
    <x v="1"/>
    <s v="リフォーム"/>
    <x v="0"/>
    <x v="148"/>
    <x v="173"/>
    <n v="0.6572561643835616"/>
    <n v="250203"/>
    <m/>
    <m/>
    <m/>
    <m/>
    <m/>
    <n v="30000"/>
    <m/>
    <m/>
    <m/>
    <m/>
    <m/>
    <m/>
    <m/>
    <n v="180000"/>
    <n v="40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149"/>
    <x v="174"/>
    <n v="0.4356726803400578"/>
    <n v="20113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2"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47"/>
    <x v="7"/>
    <s v="壁下地張替+店舗改装"/>
    <x v="13"/>
    <x v="150"/>
    <x v="175"/>
    <n v="0.3498521617852162"/>
    <n v="466156"/>
    <m/>
    <m/>
    <m/>
    <m/>
    <m/>
    <m/>
    <m/>
    <m/>
    <m/>
    <m/>
    <m/>
    <m/>
    <m/>
    <n v="100000"/>
    <n v="62156"/>
    <m/>
    <m/>
    <n v="25000"/>
    <m/>
    <m/>
    <n v="120000"/>
    <m/>
    <m/>
    <m/>
    <n v="120000"/>
    <m/>
    <m/>
    <m/>
    <m/>
    <m/>
    <m/>
    <m/>
    <m/>
    <m/>
    <m/>
    <m/>
    <m/>
    <m/>
    <m/>
    <m/>
    <m/>
    <n v="39000"/>
    <m/>
    <m/>
    <m/>
    <m/>
    <m/>
    <m/>
  </r>
  <r>
    <m/>
    <x v="148"/>
    <x v="7"/>
    <s v="店舗改装"/>
    <x v="13"/>
    <x v="151"/>
    <x v="176"/>
    <n v="0.3945360824742268"/>
    <n v="234920"/>
    <m/>
    <m/>
    <m/>
    <m/>
    <m/>
    <n v="20000"/>
    <m/>
    <m/>
    <m/>
    <m/>
    <m/>
    <m/>
    <m/>
    <m/>
    <m/>
    <m/>
    <m/>
    <n v="69920"/>
    <m/>
    <m/>
    <n v="120000"/>
    <m/>
    <m/>
    <m/>
    <n v="25000"/>
    <m/>
    <m/>
    <m/>
    <m/>
    <m/>
    <m/>
    <m/>
    <m/>
    <m/>
    <m/>
    <m/>
    <m/>
    <m/>
    <m/>
    <m/>
    <m/>
    <m/>
    <m/>
    <m/>
    <m/>
    <m/>
    <m/>
    <m/>
  </r>
  <r>
    <m/>
    <x v="149"/>
    <x v="7"/>
    <s v="新築"/>
    <x v="14"/>
    <x v="152"/>
    <x v="177"/>
    <n v="0.3957345971563981"/>
    <n v="255000"/>
    <m/>
    <m/>
    <m/>
    <m/>
    <m/>
    <m/>
    <m/>
    <m/>
    <m/>
    <m/>
    <m/>
    <m/>
    <m/>
    <m/>
    <m/>
    <m/>
    <m/>
    <n v="100000"/>
    <m/>
    <m/>
    <n v="130000"/>
    <m/>
    <m/>
    <m/>
    <n v="25000"/>
    <m/>
    <m/>
    <m/>
    <m/>
    <m/>
    <m/>
    <m/>
    <m/>
    <m/>
    <m/>
    <m/>
    <m/>
    <m/>
    <m/>
    <m/>
    <m/>
    <m/>
    <m/>
    <m/>
    <m/>
    <m/>
    <m/>
    <m/>
  </r>
  <r>
    <m/>
    <x v="150"/>
    <x v="8"/>
    <s v="改修工事"/>
    <x v="13"/>
    <x v="153"/>
    <x v="178"/>
    <n v="0.4356552938300675"/>
    <n v="616423"/>
    <m/>
    <m/>
    <m/>
    <m/>
    <m/>
    <n v="75000"/>
    <m/>
    <m/>
    <m/>
    <m/>
    <n v="25500"/>
    <m/>
    <m/>
    <n v="81000"/>
    <n v="41493"/>
    <m/>
    <m/>
    <m/>
    <n v="15000"/>
    <m/>
    <n v="80000"/>
    <m/>
    <m/>
    <n v="248430"/>
    <m/>
    <m/>
    <m/>
    <m/>
    <m/>
    <m/>
    <m/>
    <m/>
    <m/>
    <m/>
    <m/>
    <m/>
    <n v="50000"/>
    <m/>
    <m/>
    <m/>
    <m/>
    <m/>
    <m/>
    <m/>
    <m/>
    <m/>
    <m/>
    <m/>
  </r>
  <r>
    <m/>
    <x v="151"/>
    <x v="0"/>
    <s v="漏水事故"/>
    <x v="13"/>
    <x v="154"/>
    <x v="179"/>
    <e v="#DIV/0!"/>
    <n v="50000"/>
    <m/>
    <m/>
    <m/>
    <m/>
    <m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2"/>
    <x v="0"/>
    <m/>
    <x v="12"/>
    <x v="155"/>
    <x v="180"/>
    <n v="0.4036075949367088"/>
    <n v="471150"/>
    <m/>
    <m/>
    <m/>
    <m/>
    <m/>
    <n v="70000"/>
    <m/>
    <m/>
    <m/>
    <m/>
    <m/>
    <m/>
    <m/>
    <n v="25000"/>
    <n v="42000"/>
    <m/>
    <m/>
    <n v="18000"/>
    <m/>
    <m/>
    <m/>
    <m/>
    <m/>
    <m/>
    <n v="112250"/>
    <m/>
    <m/>
    <m/>
    <m/>
    <m/>
    <m/>
    <m/>
    <m/>
    <m/>
    <m/>
    <m/>
    <n v="203900"/>
    <m/>
    <m/>
    <m/>
    <m/>
    <m/>
    <m/>
    <m/>
    <m/>
    <m/>
    <m/>
    <m/>
  </r>
  <r>
    <m/>
    <x v="22"/>
    <x v="0"/>
    <m/>
    <x v="12"/>
    <x v="156"/>
    <x v="181"/>
    <n v="0.3858972023719958"/>
    <n v="20936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3"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3"/>
    <x v="2"/>
    <s v="全室クロス+畳+収納取付け"/>
    <x v="14"/>
    <x v="157"/>
    <x v="182"/>
    <n v="0.2332401785714286"/>
    <n v="858771"/>
    <m/>
    <m/>
    <m/>
    <m/>
    <m/>
    <m/>
    <m/>
    <m/>
    <m/>
    <m/>
    <m/>
    <m/>
    <m/>
    <n v="250000"/>
    <n v="53371"/>
    <m/>
    <m/>
    <n v="90000"/>
    <n v="70000"/>
    <m/>
    <n v="6000"/>
    <m/>
    <m/>
    <m/>
    <n v="300000"/>
    <m/>
    <n v="89400"/>
    <m/>
    <m/>
    <m/>
    <m/>
    <m/>
    <m/>
    <m/>
    <m/>
    <m/>
    <m/>
    <m/>
    <m/>
    <m/>
    <m/>
    <m/>
    <m/>
    <m/>
    <m/>
    <m/>
    <m/>
    <m/>
  </r>
  <r>
    <m/>
    <x v="154"/>
    <x v="9"/>
    <s v="外壁塗装　外壁交換"/>
    <x v="15"/>
    <x v="158"/>
    <x v="183"/>
    <n v="0.2468600389863548"/>
    <n v="1931804"/>
    <n v="270000"/>
    <m/>
    <m/>
    <m/>
    <m/>
    <n v="900000"/>
    <m/>
    <m/>
    <n v="250000"/>
    <m/>
    <m/>
    <n v="133950"/>
    <m/>
    <n v="250000"/>
    <n v="14434"/>
    <m/>
    <m/>
    <n v="20000"/>
    <m/>
    <m/>
    <m/>
    <m/>
    <m/>
    <m/>
    <m/>
    <m/>
    <m/>
    <m/>
    <m/>
    <m/>
    <n v="60920"/>
    <m/>
    <m/>
    <m/>
    <m/>
    <m/>
    <m/>
    <m/>
    <m/>
    <m/>
    <m/>
    <n v="32500"/>
    <m/>
    <m/>
    <m/>
    <m/>
    <m/>
    <m/>
  </r>
  <r>
    <m/>
    <x v="155"/>
    <x v="5"/>
    <m/>
    <x v="15"/>
    <x v="159"/>
    <x v="184"/>
    <n v="0.07686921052631579"/>
    <n v="3507897"/>
    <m/>
    <m/>
    <m/>
    <m/>
    <m/>
    <m/>
    <m/>
    <m/>
    <m/>
    <m/>
    <m/>
    <m/>
    <m/>
    <n v="650000"/>
    <n v="97897"/>
    <n v="133000"/>
    <m/>
    <n v="220000"/>
    <n v="405000"/>
    <m/>
    <m/>
    <m/>
    <n v="164760"/>
    <m/>
    <n v="23000"/>
    <m/>
    <m/>
    <m/>
    <m/>
    <m/>
    <n v="1001740"/>
    <m/>
    <m/>
    <m/>
    <m/>
    <m/>
    <m/>
    <m/>
    <m/>
    <m/>
    <m/>
    <n v="32500"/>
    <m/>
    <m/>
    <m/>
    <m/>
    <m/>
    <n v="780000"/>
  </r>
  <r>
    <m/>
    <x v="156"/>
    <x v="3"/>
    <s v="キッチン入替"/>
    <x v="15"/>
    <x v="160"/>
    <x v="185"/>
    <n v="0.5111213017751479"/>
    <n v="165241"/>
    <m/>
    <m/>
    <m/>
    <m/>
    <m/>
    <m/>
    <m/>
    <m/>
    <m/>
    <m/>
    <m/>
    <m/>
    <m/>
    <n v="30000"/>
    <n v="6241"/>
    <m/>
    <m/>
    <n v="20000"/>
    <m/>
    <n v="59000"/>
    <m/>
    <m/>
    <m/>
    <m/>
    <n v="50000"/>
    <m/>
    <m/>
    <m/>
    <m/>
    <m/>
    <m/>
    <m/>
    <m/>
    <m/>
    <m/>
    <m/>
    <m/>
    <m/>
    <m/>
    <m/>
    <m/>
    <m/>
    <m/>
    <m/>
    <m/>
    <m/>
    <m/>
    <m/>
  </r>
  <r>
    <m/>
    <x v="157"/>
    <x v="1"/>
    <s v="アスロック交換"/>
    <x v="15"/>
    <x v="161"/>
    <x v="186"/>
    <n v="0.6088592233009709"/>
    <n v="177265"/>
    <m/>
    <m/>
    <m/>
    <m/>
    <m/>
    <m/>
    <n v="20000"/>
    <m/>
    <n v="40250"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2015"/>
  </r>
  <r>
    <m/>
    <x v="158"/>
    <x v="10"/>
    <s v="テナント改修工事"/>
    <x v="15"/>
    <x v="162"/>
    <x v="187"/>
    <n v="0.3643442523789279"/>
    <n v="1839022"/>
    <m/>
    <m/>
    <m/>
    <m/>
    <m/>
    <m/>
    <m/>
    <m/>
    <m/>
    <m/>
    <m/>
    <m/>
    <m/>
    <n v="400000"/>
    <n v="66922"/>
    <m/>
    <m/>
    <n v="453500"/>
    <n v="235000"/>
    <m/>
    <m/>
    <m/>
    <m/>
    <n v="683600"/>
    <m/>
    <m/>
    <m/>
    <m/>
    <m/>
    <m/>
    <m/>
    <m/>
    <m/>
    <m/>
    <m/>
    <m/>
    <m/>
    <m/>
    <m/>
    <m/>
    <m/>
    <m/>
    <m/>
    <m/>
    <m/>
    <m/>
    <m/>
    <m/>
  </r>
  <r>
    <m/>
    <x v="159"/>
    <x v="7"/>
    <s v="テナント改修工事（事故）"/>
    <x v="15"/>
    <x v="163"/>
    <x v="188"/>
    <n v="0.1857051456700024"/>
    <n v="2660000"/>
    <m/>
    <m/>
    <m/>
    <m/>
    <m/>
    <n v="60000"/>
    <m/>
    <m/>
    <m/>
    <m/>
    <m/>
    <m/>
    <m/>
    <m/>
    <m/>
    <m/>
    <m/>
    <n v="25000"/>
    <m/>
    <m/>
    <n v="25750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0"/>
    <x v="7"/>
    <m/>
    <x v="15"/>
    <x v="164"/>
    <x v="189"/>
    <n v="0.34375"/>
    <n v="189000"/>
    <m/>
    <m/>
    <m/>
    <m/>
    <m/>
    <m/>
    <m/>
    <m/>
    <m/>
    <m/>
    <m/>
    <m/>
    <m/>
    <m/>
    <m/>
    <m/>
    <m/>
    <m/>
    <m/>
    <m/>
    <n v="150000"/>
    <m/>
    <m/>
    <m/>
    <m/>
    <m/>
    <m/>
    <m/>
    <m/>
    <m/>
    <m/>
    <m/>
    <m/>
    <m/>
    <m/>
    <m/>
    <m/>
    <m/>
    <m/>
    <m/>
    <m/>
    <n v="39000"/>
    <m/>
    <m/>
    <m/>
    <m/>
    <m/>
    <m/>
  </r>
  <r>
    <m/>
    <x v="161"/>
    <x v="1"/>
    <s v="塗装"/>
    <x v="15"/>
    <x v="165"/>
    <x v="190"/>
    <n v="0.3265995975855131"/>
    <n v="1673400"/>
    <n v="350000"/>
    <m/>
    <m/>
    <m/>
    <m/>
    <n v="1000000"/>
    <m/>
    <m/>
    <n v="58100"/>
    <n v="35000"/>
    <m/>
    <n v="195300"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2"/>
    <x v="1"/>
    <s v="フェンス・土間洗浄"/>
    <x v="15"/>
    <x v="166"/>
    <x v="191"/>
    <n v="0.3025210084033613"/>
    <n v="415000"/>
    <m/>
    <m/>
    <m/>
    <m/>
    <m/>
    <n v="25000"/>
    <m/>
    <m/>
    <m/>
    <m/>
    <m/>
    <m/>
    <m/>
    <m/>
    <m/>
    <m/>
    <m/>
    <m/>
    <m/>
    <m/>
    <n v="370000"/>
    <m/>
    <m/>
    <m/>
    <m/>
    <m/>
    <m/>
    <m/>
    <m/>
    <m/>
    <m/>
    <m/>
    <m/>
    <m/>
    <m/>
    <m/>
    <m/>
    <m/>
    <m/>
    <m/>
    <m/>
    <n v="20000"/>
    <m/>
    <m/>
    <m/>
    <m/>
    <m/>
    <m/>
  </r>
  <r>
    <m/>
    <x v="163"/>
    <x v="7"/>
    <s v="ランドリー室工事+防炎仕様"/>
    <x v="15"/>
    <x v="167"/>
    <x v="192"/>
    <n v="0.4277969094922737"/>
    <n v="777624"/>
    <m/>
    <m/>
    <m/>
    <m/>
    <m/>
    <n v="28000"/>
    <m/>
    <m/>
    <m/>
    <m/>
    <m/>
    <m/>
    <m/>
    <m/>
    <n v="59734"/>
    <m/>
    <m/>
    <n v="278000"/>
    <n v="135400"/>
    <m/>
    <n v="27649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4"/>
    <x v="0"/>
    <m/>
    <x v="15"/>
    <x v="168"/>
    <x v="193"/>
    <n v="0.3641618497109826"/>
    <n v="110000"/>
    <n v="80000"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5"/>
    <x v="11"/>
    <m/>
    <x v="15"/>
    <x v="9"/>
    <x v="194"/>
    <n v="0.3"/>
    <n v="119000"/>
    <n v="40000"/>
    <m/>
    <m/>
    <m/>
    <m/>
    <n v="25000"/>
    <m/>
    <m/>
    <m/>
    <m/>
    <m/>
    <m/>
    <m/>
    <m/>
    <m/>
    <m/>
    <m/>
    <n v="5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66"/>
    <x v="11"/>
    <s v="フェンス工事"/>
    <x v="15"/>
    <x v="169"/>
    <x v="195"/>
    <n v="0.1951219512195122"/>
    <n v="3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0000"/>
    <m/>
    <m/>
    <m/>
    <m/>
    <m/>
  </r>
  <r>
    <m/>
    <x v="167"/>
    <x v="4"/>
    <s v="キッチン入替"/>
    <x v="15"/>
    <x v="170"/>
    <x v="196"/>
    <n v="0.180574358974359"/>
    <n v="319576"/>
    <m/>
    <m/>
    <m/>
    <m/>
    <m/>
    <m/>
    <m/>
    <m/>
    <m/>
    <m/>
    <m/>
    <m/>
    <m/>
    <n v="25000"/>
    <m/>
    <m/>
    <m/>
    <m/>
    <n v="37000"/>
    <n v="18000"/>
    <m/>
    <m/>
    <m/>
    <m/>
    <m/>
    <m/>
    <m/>
    <m/>
    <m/>
    <m/>
    <m/>
    <n v="226576"/>
    <m/>
    <m/>
    <m/>
    <m/>
    <m/>
    <m/>
    <m/>
    <m/>
    <m/>
    <m/>
    <m/>
    <m/>
    <m/>
    <m/>
    <m/>
    <n v="13000"/>
  </r>
  <r>
    <m/>
    <x v="168"/>
    <x v="3"/>
    <s v="キッチン下地・設備工事"/>
    <x v="15"/>
    <x v="171"/>
    <x v="197"/>
    <n v="0.2863548057259714"/>
    <n v="139589"/>
    <m/>
    <m/>
    <m/>
    <m/>
    <m/>
    <m/>
    <m/>
    <m/>
    <m/>
    <m/>
    <m/>
    <m/>
    <m/>
    <n v="45000"/>
    <n v="9589"/>
    <m/>
    <m/>
    <m/>
    <n v="8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172"/>
    <x v="198"/>
    <n v="0.2579489638339364"/>
    <n v="15213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4"/>
    <x v="94"/>
    <x v="1"/>
    <s v="天井断熱材入替+消臭"/>
    <x v="16"/>
    <x v="173"/>
    <x v="199"/>
    <n v="0.5530817610062894"/>
    <n v="355300"/>
    <m/>
    <m/>
    <m/>
    <m/>
    <m/>
    <m/>
    <m/>
    <m/>
    <m/>
    <m/>
    <m/>
    <m/>
    <n v="50000"/>
    <n v="150000"/>
    <m/>
    <m/>
    <m/>
    <m/>
    <m/>
    <m/>
    <m/>
    <m/>
    <m/>
    <m/>
    <m/>
    <m/>
    <m/>
    <m/>
    <m/>
    <m/>
    <n v="155300"/>
    <m/>
    <m/>
    <m/>
    <m/>
    <m/>
    <m/>
    <m/>
    <m/>
    <m/>
    <m/>
    <m/>
    <m/>
    <m/>
    <m/>
    <m/>
    <m/>
    <m/>
  </r>
  <r>
    <m/>
    <x v="169"/>
    <x v="9"/>
    <s v="樋交換+塗装+桝設置"/>
    <x v="16"/>
    <x v="174"/>
    <x v="200"/>
    <n v="0.3168681135225376"/>
    <n v="409196"/>
    <n v="120000"/>
    <m/>
    <m/>
    <m/>
    <m/>
    <n v="40000"/>
    <m/>
    <m/>
    <m/>
    <m/>
    <m/>
    <m/>
    <m/>
    <n v="80000"/>
    <n v="7504"/>
    <m/>
    <m/>
    <m/>
    <n v="79000"/>
    <m/>
    <n v="8800"/>
    <m/>
    <m/>
    <m/>
    <m/>
    <m/>
    <m/>
    <m/>
    <m/>
    <m/>
    <m/>
    <n v="43892"/>
    <m/>
    <m/>
    <m/>
    <m/>
    <m/>
    <m/>
    <m/>
    <m/>
    <m/>
    <n v="30000"/>
    <m/>
    <m/>
    <m/>
    <m/>
    <m/>
    <m/>
  </r>
  <r>
    <m/>
    <x v="170"/>
    <x v="3"/>
    <s v="タイル→UB　キッチントイレ交換"/>
    <x v="16"/>
    <x v="173"/>
    <x v="201"/>
    <n v="0.1022729559748428"/>
    <n v="713693"/>
    <m/>
    <m/>
    <m/>
    <m/>
    <m/>
    <m/>
    <m/>
    <m/>
    <m/>
    <m/>
    <m/>
    <m/>
    <m/>
    <n v="200000"/>
    <n v="58693"/>
    <m/>
    <m/>
    <n v="140000"/>
    <n v="235000"/>
    <m/>
    <m/>
    <m/>
    <m/>
    <m/>
    <n v="80000"/>
    <m/>
    <m/>
    <m/>
    <m/>
    <m/>
    <m/>
    <m/>
    <m/>
    <m/>
    <m/>
    <m/>
    <m/>
    <m/>
    <m/>
    <m/>
    <m/>
    <m/>
    <m/>
    <m/>
    <m/>
    <m/>
    <m/>
    <m/>
  </r>
  <r>
    <m/>
    <x v="171"/>
    <x v="7"/>
    <s v="内装工事"/>
    <x v="16"/>
    <x v="175"/>
    <x v="202"/>
    <n v="0.9057071960297767"/>
    <n v="38000"/>
    <m/>
    <m/>
    <m/>
    <m/>
    <m/>
    <m/>
    <m/>
    <m/>
    <m/>
    <m/>
    <m/>
    <m/>
    <m/>
    <m/>
    <m/>
    <m/>
    <m/>
    <m/>
    <m/>
    <m/>
    <m/>
    <m/>
    <m/>
    <m/>
    <m/>
    <m/>
    <m/>
    <m/>
    <m/>
    <n v="38000"/>
    <m/>
    <m/>
    <m/>
    <m/>
    <m/>
    <m/>
    <m/>
    <m/>
    <m/>
    <m/>
    <m/>
    <m/>
    <m/>
    <m/>
    <m/>
    <m/>
    <m/>
    <m/>
  </r>
  <r>
    <m/>
    <x v="22"/>
    <x v="0"/>
    <m/>
    <x v="12"/>
    <x v="176"/>
    <x v="203"/>
    <n v="0.4150505401234568"/>
    <n v="1516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5"/>
    <x v="172"/>
    <x v="3"/>
    <s v="トイレ交換 建具交換　手すり取付け"/>
    <x v="17"/>
    <x v="177"/>
    <x v="204"/>
    <n v="0.2653395254006909"/>
    <n v="129719"/>
    <m/>
    <m/>
    <m/>
    <m/>
    <m/>
    <m/>
    <m/>
    <m/>
    <m/>
    <m/>
    <m/>
    <m/>
    <m/>
    <n v="50000"/>
    <n v="7719"/>
    <m/>
    <m/>
    <n v="33000"/>
    <n v="19000"/>
    <m/>
    <m/>
    <m/>
    <m/>
    <m/>
    <n v="20000"/>
    <m/>
    <m/>
    <m/>
    <m/>
    <m/>
    <m/>
    <m/>
    <m/>
    <m/>
    <m/>
    <m/>
    <m/>
    <m/>
    <m/>
    <m/>
    <m/>
    <m/>
    <m/>
    <m/>
    <m/>
    <m/>
    <m/>
    <m/>
  </r>
  <r>
    <m/>
    <x v="173"/>
    <x v="11"/>
    <s v="押入改修"/>
    <x v="17"/>
    <x v="178"/>
    <x v="205"/>
    <n v="0.5327440476190476"/>
    <n v="78499"/>
    <m/>
    <m/>
    <m/>
    <m/>
    <m/>
    <m/>
    <m/>
    <m/>
    <m/>
    <m/>
    <m/>
    <m/>
    <m/>
    <n v="40000"/>
    <n v="18499"/>
    <m/>
    <m/>
    <m/>
    <m/>
    <m/>
    <m/>
    <m/>
    <m/>
    <m/>
    <n v="20000"/>
    <m/>
    <m/>
    <m/>
    <m/>
    <m/>
    <m/>
    <m/>
    <m/>
    <m/>
    <m/>
    <m/>
    <m/>
    <m/>
    <m/>
    <m/>
    <m/>
    <m/>
    <m/>
    <m/>
    <m/>
    <m/>
    <m/>
    <m/>
  </r>
  <r>
    <m/>
    <x v="173"/>
    <x v="11"/>
    <s v="床の間改修"/>
    <x v="18"/>
    <x v="130"/>
    <x v="206"/>
    <n v="0.2287581699346405"/>
    <n v="118000"/>
    <m/>
    <m/>
    <m/>
    <m/>
    <m/>
    <m/>
    <m/>
    <m/>
    <m/>
    <m/>
    <m/>
    <m/>
    <m/>
    <n v="40000"/>
    <m/>
    <n v="40000"/>
    <m/>
    <n v="8000"/>
    <m/>
    <m/>
    <m/>
    <m/>
    <m/>
    <m/>
    <n v="30000"/>
    <m/>
    <m/>
    <m/>
    <m/>
    <m/>
    <m/>
    <m/>
    <m/>
    <m/>
    <m/>
    <m/>
    <m/>
    <m/>
    <m/>
    <m/>
    <m/>
    <m/>
    <m/>
    <m/>
    <m/>
    <m/>
    <m/>
    <m/>
  </r>
  <r>
    <m/>
    <x v="174"/>
    <x v="1"/>
    <s v="101漏水工事"/>
    <x v="17"/>
    <x v="179"/>
    <x v="207"/>
    <n v="0.5283926380368098"/>
    <n v="76872"/>
    <m/>
    <m/>
    <m/>
    <m/>
    <m/>
    <m/>
    <m/>
    <m/>
    <m/>
    <m/>
    <m/>
    <m/>
    <m/>
    <n v="30000"/>
    <n v="8872"/>
    <m/>
    <m/>
    <m/>
    <n v="10000"/>
    <m/>
    <m/>
    <m/>
    <m/>
    <m/>
    <n v="28000"/>
    <m/>
    <m/>
    <m/>
    <m/>
    <m/>
    <m/>
    <m/>
    <m/>
    <m/>
    <m/>
    <m/>
    <m/>
    <m/>
    <m/>
    <m/>
    <m/>
    <m/>
    <m/>
    <m/>
    <m/>
    <m/>
    <m/>
    <m/>
  </r>
  <r>
    <m/>
    <x v="175"/>
    <x v="1"/>
    <s v="塗装"/>
    <x v="17"/>
    <x v="180"/>
    <x v="208"/>
    <n v="0.4059583333333333"/>
    <n v="1425700"/>
    <n v="360000"/>
    <m/>
    <m/>
    <m/>
    <m/>
    <n v="800000"/>
    <m/>
    <m/>
    <n v="52500"/>
    <m/>
    <m/>
    <n v="146800"/>
    <m/>
    <m/>
    <m/>
    <m/>
    <m/>
    <m/>
    <m/>
    <m/>
    <n v="51400"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76"/>
    <x v="1"/>
    <s v="リノベーション"/>
    <x v="17"/>
    <x v="181"/>
    <x v="209"/>
    <n v="0.7394957983193278"/>
    <n v="310000"/>
    <m/>
    <m/>
    <m/>
    <m/>
    <m/>
    <m/>
    <m/>
    <m/>
    <m/>
    <m/>
    <m/>
    <m/>
    <m/>
    <m/>
    <m/>
    <m/>
    <m/>
    <n v="70000"/>
    <m/>
    <m/>
    <m/>
    <m/>
    <m/>
    <m/>
    <n v="70000"/>
    <m/>
    <m/>
    <m/>
    <m/>
    <m/>
    <m/>
    <m/>
    <m/>
    <m/>
    <m/>
    <m/>
    <m/>
    <m/>
    <m/>
    <m/>
    <m/>
    <m/>
    <m/>
    <m/>
    <m/>
    <m/>
    <m/>
    <n v="170000"/>
  </r>
  <r>
    <m/>
    <x v="177"/>
    <x v="1"/>
    <s v="リノベーション"/>
    <x v="17"/>
    <x v="182"/>
    <x v="210"/>
    <n v="0.6111111111111112"/>
    <n v="350000"/>
    <m/>
    <m/>
    <m/>
    <m/>
    <m/>
    <m/>
    <m/>
    <m/>
    <m/>
    <m/>
    <m/>
    <m/>
    <m/>
    <m/>
    <m/>
    <m/>
    <m/>
    <n v="105000"/>
    <m/>
    <m/>
    <m/>
    <m/>
    <m/>
    <m/>
    <n v="65000"/>
    <m/>
    <m/>
    <m/>
    <m/>
    <m/>
    <m/>
    <m/>
    <m/>
    <m/>
    <m/>
    <m/>
    <m/>
    <m/>
    <m/>
    <m/>
    <m/>
    <m/>
    <m/>
    <m/>
    <m/>
    <m/>
    <m/>
    <n v="180000"/>
  </r>
  <r>
    <m/>
    <x v="178"/>
    <x v="9"/>
    <s v="内装・外装工事"/>
    <x v="17"/>
    <x v="183"/>
    <x v="211"/>
    <n v="0.3778054862842893"/>
    <n v="249500"/>
    <m/>
    <m/>
    <m/>
    <m/>
    <m/>
    <m/>
    <m/>
    <m/>
    <m/>
    <m/>
    <m/>
    <m/>
    <m/>
    <n v="5000"/>
    <m/>
    <n v="146500"/>
    <m/>
    <m/>
    <m/>
    <m/>
    <m/>
    <m/>
    <m/>
    <n v="50000"/>
    <n v="38000"/>
    <m/>
    <m/>
    <m/>
    <m/>
    <m/>
    <m/>
    <m/>
    <m/>
    <m/>
    <m/>
    <m/>
    <m/>
    <m/>
    <m/>
    <m/>
    <m/>
    <n v="10000"/>
    <m/>
    <m/>
    <m/>
    <m/>
    <m/>
    <m/>
  </r>
  <r>
    <m/>
    <x v="179"/>
    <x v="3"/>
    <s v="UB交換"/>
    <x v="12"/>
    <x v="184"/>
    <x v="212"/>
    <n v="0.19454770755886"/>
    <n v="325000"/>
    <m/>
    <m/>
    <m/>
    <m/>
    <m/>
    <n v="40000"/>
    <m/>
    <m/>
    <m/>
    <m/>
    <m/>
    <m/>
    <m/>
    <n v="150000"/>
    <n v="15000"/>
    <m/>
    <m/>
    <n v="55000"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185"/>
    <x v="213"/>
    <n v="0.4855996654951159"/>
    <n v="30632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7"/>
    <x v="180"/>
    <x v="11"/>
    <s v="屋根塗装+シーリング"/>
    <x v="19"/>
    <x v="186"/>
    <x v="214"/>
    <n v="0.5730337078651685"/>
    <n v="380000"/>
    <n v="130000"/>
    <m/>
    <m/>
    <m/>
    <m/>
    <n v="2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81"/>
    <x v="3"/>
    <s v="屋根塗装+内部改修"/>
    <x v="19"/>
    <x v="187"/>
    <x v="215"/>
    <n v="0.1215977135687149"/>
    <n v="1260112"/>
    <n v="130000"/>
    <m/>
    <m/>
    <m/>
    <m/>
    <n v="200000"/>
    <m/>
    <m/>
    <m/>
    <m/>
    <m/>
    <n v="63200"/>
    <m/>
    <n v="300000"/>
    <n v="106912"/>
    <m/>
    <m/>
    <n v="200000"/>
    <n v="230000"/>
    <m/>
    <m/>
    <m/>
    <m/>
    <m/>
    <n v="30000"/>
    <m/>
    <m/>
    <m/>
    <m/>
    <m/>
    <m/>
    <m/>
    <m/>
    <m/>
    <m/>
    <m/>
    <m/>
    <m/>
    <m/>
    <m/>
    <m/>
    <m/>
    <m/>
    <m/>
    <m/>
    <m/>
    <m/>
    <m/>
  </r>
  <r>
    <m/>
    <x v="182"/>
    <x v="3"/>
    <s v="浴室改修工事"/>
    <x v="19"/>
    <x v="188"/>
    <x v="216"/>
    <n v="0.2251511169513798"/>
    <n v="294830"/>
    <m/>
    <m/>
    <m/>
    <m/>
    <m/>
    <m/>
    <m/>
    <m/>
    <m/>
    <m/>
    <m/>
    <m/>
    <m/>
    <n v="150000"/>
    <n v="16830"/>
    <m/>
    <m/>
    <n v="40000"/>
    <n v="70000"/>
    <m/>
    <m/>
    <m/>
    <m/>
    <m/>
    <n v="18000"/>
    <m/>
    <m/>
    <m/>
    <m/>
    <m/>
    <m/>
    <m/>
    <m/>
    <m/>
    <m/>
    <m/>
    <m/>
    <m/>
    <m/>
    <m/>
    <m/>
    <m/>
    <m/>
    <m/>
    <m/>
    <m/>
    <m/>
    <m/>
  </r>
  <r>
    <m/>
    <x v="183"/>
    <x v="1"/>
    <s v="塗装"/>
    <x v="19"/>
    <x v="72"/>
    <x v="217"/>
    <n v="0.1999121951219512"/>
    <n v="1640180"/>
    <n v="450000"/>
    <m/>
    <m/>
    <m/>
    <m/>
    <n v="800000"/>
    <m/>
    <m/>
    <n v="70000"/>
    <n v="35000"/>
    <m/>
    <n v="106000"/>
    <n v="1791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84"/>
    <x v="1"/>
    <s v="塗装"/>
    <x v="19"/>
    <x v="189"/>
    <x v="218"/>
    <n v="0.1785663876862318"/>
    <n v="1216337"/>
    <n v="270000"/>
    <m/>
    <m/>
    <m/>
    <m/>
    <n v="650000"/>
    <m/>
    <m/>
    <n v="27300"/>
    <n v="35000"/>
    <m/>
    <n v="105000"/>
    <n v="84037"/>
    <m/>
    <m/>
    <m/>
    <m/>
    <n v="30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175"/>
    <x v="1"/>
    <s v="フェンス工事"/>
    <x v="19"/>
    <x v="190"/>
    <x v="219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75"/>
    <x v="1"/>
    <s v="白線、物置塗装工事"/>
    <x v="19"/>
    <x v="191"/>
    <x v="220"/>
    <n v="0.382716049382716"/>
    <n v="50000"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85"/>
    <x v="12"/>
    <s v="壁改修工事"/>
    <x v="19"/>
    <x v="192"/>
    <x v="221"/>
    <n v="0.4333333333333333"/>
    <n v="68000"/>
    <m/>
    <m/>
    <m/>
    <m/>
    <m/>
    <m/>
    <m/>
    <m/>
    <m/>
    <m/>
    <m/>
    <m/>
    <m/>
    <n v="45000"/>
    <m/>
    <m/>
    <m/>
    <m/>
    <m/>
    <m/>
    <m/>
    <m/>
    <m/>
    <m/>
    <n v="23000"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193"/>
    <x v="222"/>
    <n v="0.2672120045990126"/>
    <n v="4909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8"/>
    <x v="186"/>
    <x v="3"/>
    <s v="LDK木工事 キッチン交換 トイレ交換"/>
    <x v="20"/>
    <x v="194"/>
    <x v="223"/>
    <n v="0.3539209737827715"/>
    <n v="1725031"/>
    <m/>
    <m/>
    <m/>
    <m/>
    <m/>
    <m/>
    <m/>
    <m/>
    <m/>
    <m/>
    <m/>
    <m/>
    <m/>
    <n v="700000"/>
    <n v="217131"/>
    <m/>
    <m/>
    <n v="230000"/>
    <n v="240000"/>
    <m/>
    <m/>
    <m/>
    <m/>
    <m/>
    <n v="180000"/>
    <m/>
    <m/>
    <m/>
    <m/>
    <m/>
    <m/>
    <m/>
    <m/>
    <m/>
    <m/>
    <m/>
    <m/>
    <m/>
    <m/>
    <m/>
    <m/>
    <n v="37900"/>
    <m/>
    <m/>
    <m/>
    <m/>
    <m/>
    <n v="120000"/>
  </r>
  <r>
    <m/>
    <x v="187"/>
    <x v="1"/>
    <s v="樋交換"/>
    <x v="20"/>
    <x v="195"/>
    <x v="224"/>
    <n v="0.483695652173913"/>
    <n v="190000"/>
    <n v="140000"/>
    <m/>
    <m/>
    <m/>
    <m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88"/>
    <x v="2"/>
    <m/>
    <x v="20"/>
    <x v="196"/>
    <x v="225"/>
    <n v="0.5161818181818182"/>
    <n v="266100"/>
    <m/>
    <m/>
    <m/>
    <m/>
    <m/>
    <m/>
    <m/>
    <m/>
    <m/>
    <m/>
    <m/>
    <m/>
    <m/>
    <m/>
    <m/>
    <m/>
    <m/>
    <n v="35000"/>
    <m/>
    <m/>
    <m/>
    <m/>
    <n v="231100"/>
    <m/>
    <m/>
    <m/>
    <m/>
    <m/>
    <m/>
    <m/>
    <m/>
    <m/>
    <m/>
    <m/>
    <m/>
    <m/>
    <m/>
    <m/>
    <m/>
    <m/>
    <m/>
    <m/>
    <m/>
    <m/>
    <m/>
    <m/>
    <m/>
    <m/>
  </r>
  <r>
    <m/>
    <x v="189"/>
    <x v="3"/>
    <s v="追加電気 内装、木工事"/>
    <x v="20"/>
    <x v="197"/>
    <x v="125"/>
    <n v="0.55"/>
    <n v="45000"/>
    <m/>
    <m/>
    <m/>
    <m/>
    <m/>
    <m/>
    <m/>
    <m/>
    <m/>
    <m/>
    <m/>
    <m/>
    <m/>
    <m/>
    <m/>
    <m/>
    <m/>
    <n v="4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0"/>
    <x v="13"/>
    <s v="浴室ドア、換気扇、化粧台、トイレ"/>
    <x v="20"/>
    <x v="55"/>
    <x v="226"/>
    <n v="0.4095744680851064"/>
    <n v="222000"/>
    <m/>
    <m/>
    <m/>
    <m/>
    <m/>
    <m/>
    <m/>
    <m/>
    <m/>
    <m/>
    <m/>
    <m/>
    <m/>
    <m/>
    <m/>
    <m/>
    <m/>
    <n v="27000"/>
    <n v="135000"/>
    <m/>
    <n v="600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1"/>
    <x v="6"/>
    <s v="防水工事"/>
    <x v="20"/>
    <x v="198"/>
    <x v="227"/>
    <n v="0.8582089552238806"/>
    <n v="38000"/>
    <m/>
    <m/>
    <m/>
    <m/>
    <m/>
    <m/>
    <m/>
    <m/>
    <m/>
    <m/>
    <m/>
    <m/>
    <m/>
    <n v="3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199"/>
    <x v="228"/>
    <n v="0.4261008771929825"/>
    <n v="24861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9"/>
    <x v="192"/>
    <x v="11"/>
    <s v="フルリフォーム"/>
    <x v="21"/>
    <x v="200"/>
    <x v="229"/>
    <n v="0.3908421596486696"/>
    <n v="4716100"/>
    <m/>
    <m/>
    <m/>
    <m/>
    <m/>
    <m/>
    <m/>
    <m/>
    <m/>
    <m/>
    <m/>
    <m/>
    <m/>
    <n v="750000"/>
    <n v="100000"/>
    <n v="120000"/>
    <m/>
    <n v="300000"/>
    <n v="360000"/>
    <m/>
    <n v="243000"/>
    <m/>
    <n v="300000"/>
    <m/>
    <n v="23000"/>
    <m/>
    <m/>
    <m/>
    <m/>
    <m/>
    <n v="1650000"/>
    <m/>
    <m/>
    <m/>
    <m/>
    <m/>
    <m/>
    <m/>
    <m/>
    <m/>
    <m/>
    <n v="86100"/>
    <m/>
    <m/>
    <m/>
    <m/>
    <m/>
    <n v="784000"/>
  </r>
  <r>
    <m/>
    <x v="193"/>
    <x v="14"/>
    <s v="UB入替"/>
    <x v="21"/>
    <x v="201"/>
    <x v="230"/>
    <n v="0.3361292307692308"/>
    <n v="431516"/>
    <m/>
    <m/>
    <m/>
    <m/>
    <m/>
    <m/>
    <m/>
    <m/>
    <m/>
    <m/>
    <m/>
    <m/>
    <m/>
    <n v="120000"/>
    <n v="11896"/>
    <m/>
    <m/>
    <n v="12000"/>
    <n v="55000"/>
    <m/>
    <m/>
    <m/>
    <m/>
    <m/>
    <m/>
    <m/>
    <m/>
    <m/>
    <m/>
    <m/>
    <n v="232620"/>
    <m/>
    <m/>
    <m/>
    <m/>
    <m/>
    <m/>
    <m/>
    <m/>
    <m/>
    <m/>
    <m/>
    <m/>
    <m/>
    <m/>
    <m/>
    <m/>
    <m/>
  </r>
  <r>
    <m/>
    <x v="22"/>
    <x v="0"/>
    <m/>
    <x v="12"/>
    <x v="202"/>
    <x v="231"/>
    <n v="0.386604385128694"/>
    <n v="51476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4"/>
    <x v="0"/>
    <m/>
    <x v="12"/>
    <x v="5"/>
    <x v="102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102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3.10"/>
    <x v="195"/>
    <x v="15"/>
    <m/>
    <x v="23"/>
    <x v="203"/>
    <x v="232"/>
    <n v="0.2984693877551021"/>
    <n v="550000"/>
    <n v="60000"/>
    <m/>
    <m/>
    <m/>
    <m/>
    <m/>
    <m/>
    <m/>
    <m/>
    <m/>
    <m/>
    <m/>
    <m/>
    <n v="200000"/>
    <m/>
    <m/>
    <m/>
    <n v="35000"/>
    <n v="115000"/>
    <m/>
    <m/>
    <m/>
    <m/>
    <m/>
    <n v="140000"/>
    <m/>
    <m/>
    <m/>
    <m/>
    <m/>
    <m/>
    <m/>
    <m/>
    <m/>
    <m/>
    <m/>
    <m/>
    <m/>
    <m/>
    <m/>
    <m/>
    <m/>
    <m/>
    <m/>
    <m/>
    <m/>
    <m/>
    <m/>
  </r>
  <r>
    <m/>
    <x v="196"/>
    <x v="0"/>
    <m/>
    <x v="23"/>
    <x v="204"/>
    <x v="233"/>
    <n v="0.1848392036753446"/>
    <n v="1064600"/>
    <n v="160000"/>
    <m/>
    <m/>
    <m/>
    <m/>
    <n v="450000"/>
    <m/>
    <m/>
    <n v="160000"/>
    <m/>
    <m/>
    <n v="186600"/>
    <n v="78000"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205"/>
    <x v="234"/>
    <n v="0.2274641148325359"/>
    <n v="1614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2"/>
    <x v="197"/>
    <x v="2"/>
    <s v="外壁張替"/>
    <x v="13"/>
    <x v="206"/>
    <x v="235"/>
    <n v="0.2205625"/>
    <n v="374130"/>
    <m/>
    <m/>
    <m/>
    <m/>
    <m/>
    <m/>
    <m/>
    <m/>
    <m/>
    <m/>
    <m/>
    <m/>
    <m/>
    <n v="180000"/>
    <n v="36630"/>
    <m/>
    <m/>
    <m/>
    <m/>
    <m/>
    <m/>
    <m/>
    <m/>
    <m/>
    <m/>
    <m/>
    <m/>
    <m/>
    <m/>
    <m/>
    <n v="125000"/>
    <m/>
    <m/>
    <m/>
    <m/>
    <m/>
    <m/>
    <m/>
    <m/>
    <m/>
    <m/>
    <n v="32500"/>
    <m/>
    <m/>
    <m/>
    <m/>
    <m/>
    <m/>
  </r>
  <r>
    <m/>
    <x v="22"/>
    <x v="0"/>
    <m/>
    <x v="12"/>
    <x v="206"/>
    <x v="235"/>
    <n v="0.2205625"/>
    <n v="3741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3"/>
    <x v="198"/>
    <x v="11"/>
    <s v="塗装"/>
    <x v="24"/>
    <x v="207"/>
    <x v="236"/>
    <n v="0.3160859037793452"/>
    <n v="6496500"/>
    <n v="1100000"/>
    <m/>
    <m/>
    <m/>
    <m/>
    <n v="3000000"/>
    <m/>
    <m/>
    <n v="800000"/>
    <m/>
    <m/>
    <n v="656500"/>
    <n v="500000"/>
    <m/>
    <m/>
    <m/>
    <m/>
    <n v="360000"/>
    <m/>
    <m/>
    <m/>
    <m/>
    <m/>
    <m/>
    <m/>
    <n v="80000"/>
    <m/>
    <m/>
    <m/>
    <m/>
    <m/>
    <m/>
    <m/>
    <m/>
    <m/>
    <m/>
    <m/>
    <m/>
    <m/>
    <m/>
    <m/>
    <m/>
    <m/>
    <m/>
    <m/>
    <m/>
    <m/>
    <m/>
  </r>
  <r>
    <m/>
    <x v="198"/>
    <x v="11"/>
    <s v="フェンス"/>
    <x v="24"/>
    <x v="208"/>
    <x v="195"/>
    <n v="0.2105263157894737"/>
    <n v="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"/>
    <m/>
    <m/>
    <m/>
    <m/>
    <m/>
  </r>
  <r>
    <m/>
    <x v="198"/>
    <x v="11"/>
    <s v="内装"/>
    <x v="24"/>
    <x v="209"/>
    <x v="237"/>
    <n v="0.3413245454545454"/>
    <n v="4347258"/>
    <m/>
    <m/>
    <m/>
    <m/>
    <m/>
    <n v="200000"/>
    <m/>
    <m/>
    <m/>
    <m/>
    <m/>
    <m/>
    <m/>
    <n v="290000"/>
    <n v="97036"/>
    <m/>
    <m/>
    <n v="20000"/>
    <n v="304022"/>
    <m/>
    <n v="888200"/>
    <m/>
    <m/>
    <n v="1320000"/>
    <m/>
    <n v="143000"/>
    <m/>
    <m/>
    <m/>
    <m/>
    <n v="1005000"/>
    <m/>
    <m/>
    <m/>
    <m/>
    <m/>
    <m/>
    <m/>
    <m/>
    <m/>
    <m/>
    <m/>
    <m/>
    <m/>
    <m/>
    <m/>
    <m/>
    <n v="80000"/>
  </r>
  <r>
    <m/>
    <x v="198"/>
    <x v="11"/>
    <s v="メーター交換"/>
    <x v="24"/>
    <x v="210"/>
    <x v="238"/>
    <n v="0.300025"/>
    <n v="615978"/>
    <m/>
    <m/>
    <m/>
    <m/>
    <m/>
    <m/>
    <m/>
    <m/>
    <m/>
    <m/>
    <m/>
    <m/>
    <m/>
    <m/>
    <m/>
    <m/>
    <m/>
    <m/>
    <n v="615978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99"/>
    <x v="7"/>
    <s v="外壁工事"/>
    <x v="14"/>
    <x v="211"/>
    <x v="239"/>
    <n v="0.4237296587926509"/>
    <n v="219559"/>
    <n v="50000"/>
    <m/>
    <m/>
    <m/>
    <m/>
    <n v="30000"/>
    <m/>
    <m/>
    <m/>
    <m/>
    <m/>
    <m/>
    <m/>
    <n v="80000"/>
    <n v="27559"/>
    <m/>
    <m/>
    <m/>
    <m/>
    <m/>
    <m/>
    <m/>
    <m/>
    <m/>
    <m/>
    <m/>
    <m/>
    <m/>
    <m/>
    <m/>
    <n v="32000"/>
    <m/>
    <m/>
    <m/>
    <m/>
    <m/>
    <m/>
    <m/>
    <m/>
    <m/>
    <m/>
    <m/>
    <m/>
    <m/>
    <m/>
    <m/>
    <m/>
    <m/>
  </r>
  <r>
    <m/>
    <x v="22"/>
    <x v="0"/>
    <m/>
    <x v="12"/>
    <x v="212"/>
    <x v="240"/>
    <n v="0.3247297068771139"/>
    <n v="119792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4"/>
    <x v="200"/>
    <x v="1"/>
    <s v="リノベーション"/>
    <x v="15"/>
    <x v="213"/>
    <x v="241"/>
    <n v="0.3607239579892992"/>
    <n v="193560"/>
    <m/>
    <m/>
    <m/>
    <m/>
    <m/>
    <m/>
    <m/>
    <m/>
    <m/>
    <m/>
    <m/>
    <m/>
    <m/>
    <n v="70000"/>
    <n v="3443"/>
    <m/>
    <m/>
    <m/>
    <m/>
    <m/>
    <m/>
    <m/>
    <m/>
    <m/>
    <n v="46000"/>
    <n v="20000"/>
    <m/>
    <m/>
    <m/>
    <m/>
    <m/>
    <m/>
    <m/>
    <m/>
    <m/>
    <m/>
    <m/>
    <m/>
    <m/>
    <m/>
    <m/>
    <n v="4000"/>
    <m/>
    <m/>
    <m/>
    <m/>
    <m/>
    <n v="50117"/>
  </r>
  <r>
    <m/>
    <x v="201"/>
    <x v="1"/>
    <s v="リノベーション"/>
    <x v="15"/>
    <x v="214"/>
    <x v="242"/>
    <n v="0.3792934847550046"/>
    <n v="509065"/>
    <m/>
    <m/>
    <m/>
    <m/>
    <m/>
    <m/>
    <m/>
    <m/>
    <m/>
    <m/>
    <m/>
    <m/>
    <m/>
    <n v="180000"/>
    <n v="18565"/>
    <m/>
    <m/>
    <n v="130000"/>
    <m/>
    <m/>
    <m/>
    <m/>
    <n v="150000"/>
    <m/>
    <m/>
    <n v="12500"/>
    <m/>
    <m/>
    <m/>
    <n v="18000"/>
    <m/>
    <m/>
    <m/>
    <m/>
    <m/>
    <m/>
    <m/>
    <m/>
    <m/>
    <m/>
    <m/>
    <m/>
    <m/>
    <m/>
    <m/>
    <m/>
    <m/>
    <m/>
  </r>
  <r>
    <m/>
    <x v="202"/>
    <x v="1"/>
    <s v="リノベーション"/>
    <x v="15"/>
    <x v="214"/>
    <x v="242"/>
    <n v="0.3792934847550046"/>
    <n v="509065"/>
    <m/>
    <m/>
    <m/>
    <m/>
    <m/>
    <m/>
    <m/>
    <m/>
    <m/>
    <m/>
    <m/>
    <m/>
    <m/>
    <n v="180000"/>
    <n v="18565"/>
    <m/>
    <m/>
    <n v="130000"/>
    <m/>
    <m/>
    <m/>
    <m/>
    <n v="150000"/>
    <m/>
    <m/>
    <n v="12500"/>
    <m/>
    <m/>
    <m/>
    <n v="18000"/>
    <m/>
    <m/>
    <m/>
    <m/>
    <m/>
    <m/>
    <m/>
    <m/>
    <m/>
    <m/>
    <m/>
    <m/>
    <m/>
    <m/>
    <m/>
    <m/>
    <m/>
    <m/>
  </r>
  <r>
    <m/>
    <x v="203"/>
    <x v="4"/>
    <s v="改修工事"/>
    <x v="15"/>
    <x v="215"/>
    <x v="243"/>
    <n v="0.3187522464698331"/>
    <n v="1592076"/>
    <m/>
    <m/>
    <m/>
    <m/>
    <m/>
    <n v="50000"/>
    <m/>
    <m/>
    <m/>
    <m/>
    <m/>
    <m/>
    <m/>
    <n v="50000"/>
    <n v="12766"/>
    <m/>
    <m/>
    <n v="740000"/>
    <m/>
    <m/>
    <n v="85000"/>
    <m/>
    <n v="569310"/>
    <m/>
    <m/>
    <n v="45000"/>
    <m/>
    <m/>
    <m/>
    <n v="40000"/>
    <m/>
    <m/>
    <m/>
    <m/>
    <m/>
    <m/>
    <m/>
    <m/>
    <m/>
    <m/>
    <m/>
    <m/>
    <m/>
    <m/>
    <m/>
    <m/>
    <m/>
    <m/>
  </r>
  <r>
    <m/>
    <x v="204"/>
    <x v="1"/>
    <s v="退去以外　リノベ金額"/>
    <x v="15"/>
    <x v="216"/>
    <x v="244"/>
    <n v="0.4649310146106648"/>
    <n v="157840"/>
    <m/>
    <m/>
    <m/>
    <m/>
    <m/>
    <m/>
    <m/>
    <m/>
    <m/>
    <m/>
    <m/>
    <m/>
    <m/>
    <n v="60000"/>
    <m/>
    <m/>
    <m/>
    <m/>
    <m/>
    <m/>
    <m/>
    <m/>
    <m/>
    <m/>
    <m/>
    <m/>
    <m/>
    <m/>
    <m/>
    <n v="84840"/>
    <m/>
    <m/>
    <m/>
    <m/>
    <m/>
    <m/>
    <m/>
    <m/>
    <m/>
    <m/>
    <m/>
    <m/>
    <m/>
    <m/>
    <m/>
    <m/>
    <m/>
    <n v="13000"/>
  </r>
  <r>
    <m/>
    <x v="22"/>
    <x v="0"/>
    <m/>
    <x v="12"/>
    <x v="217"/>
    <x v="245"/>
    <n v="0.3526609349938777"/>
    <n v="29616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5"/>
    <x v="205"/>
    <x v="3"/>
    <s v="UB・トイレ交換"/>
    <x v="16"/>
    <x v="218"/>
    <x v="246"/>
    <n v="0.1913485619838882"/>
    <n v="256370"/>
    <m/>
    <m/>
    <m/>
    <m/>
    <m/>
    <m/>
    <m/>
    <m/>
    <m/>
    <m/>
    <m/>
    <m/>
    <m/>
    <n v="80000"/>
    <n v="28370"/>
    <m/>
    <m/>
    <m/>
    <n v="98000"/>
    <m/>
    <m/>
    <m/>
    <m/>
    <m/>
    <n v="50000"/>
    <m/>
    <m/>
    <m/>
    <m/>
    <m/>
    <m/>
    <m/>
    <m/>
    <m/>
    <m/>
    <m/>
    <m/>
    <m/>
    <m/>
    <m/>
    <m/>
    <m/>
    <m/>
    <m/>
    <m/>
    <m/>
    <m/>
    <m/>
  </r>
  <r>
    <m/>
    <x v="206"/>
    <x v="1"/>
    <s v="リノベーション"/>
    <x v="25"/>
    <x v="219"/>
    <x v="247"/>
    <n v="0.1656207121260569"/>
    <n v="824577"/>
    <m/>
    <m/>
    <m/>
    <m/>
    <m/>
    <m/>
    <m/>
    <m/>
    <m/>
    <m/>
    <m/>
    <m/>
    <m/>
    <n v="300000"/>
    <n v="68977"/>
    <m/>
    <m/>
    <n v="15000"/>
    <m/>
    <m/>
    <n v="41600"/>
    <m/>
    <m/>
    <n v="316000"/>
    <m/>
    <n v="23000"/>
    <m/>
    <m/>
    <m/>
    <m/>
    <m/>
    <m/>
    <m/>
    <m/>
    <m/>
    <m/>
    <m/>
    <m/>
    <m/>
    <m/>
    <m/>
    <m/>
    <m/>
    <m/>
    <m/>
    <m/>
    <m/>
    <n v="60000"/>
  </r>
  <r>
    <m/>
    <x v="207"/>
    <x v="4"/>
    <s v="塗装"/>
    <x v="16"/>
    <x v="0"/>
    <x v="248"/>
    <n v="0.1983559322033898"/>
    <n v="1891880"/>
    <n v="170000"/>
    <m/>
    <m/>
    <m/>
    <m/>
    <n v="800000"/>
    <m/>
    <m/>
    <n v="85000"/>
    <m/>
    <m/>
    <n v="160600"/>
    <n v="209280"/>
    <m/>
    <m/>
    <m/>
    <m/>
    <n v="32000"/>
    <m/>
    <m/>
    <m/>
    <m/>
    <m/>
    <m/>
    <n v="420000"/>
    <m/>
    <m/>
    <m/>
    <n v="15000"/>
    <m/>
    <m/>
    <m/>
    <m/>
    <m/>
    <m/>
    <m/>
    <m/>
    <m/>
    <m/>
    <m/>
    <m/>
    <m/>
    <m/>
    <m/>
    <m/>
    <m/>
    <m/>
    <m/>
  </r>
  <r>
    <m/>
    <x v="208"/>
    <x v="2"/>
    <s v="ユイットバス解体　処分"/>
    <x v="16"/>
    <x v="220"/>
    <x v="249"/>
    <n v="0.1285714285714286"/>
    <n v="61000"/>
    <m/>
    <m/>
    <m/>
    <m/>
    <m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n v="26000"/>
    <m/>
    <m/>
    <m/>
    <m/>
    <m/>
    <m/>
  </r>
  <r>
    <m/>
    <x v="22"/>
    <x v="0"/>
    <m/>
    <x v="12"/>
    <x v="221"/>
    <x v="250"/>
    <n v="0.1877925813445075"/>
    <n v="30338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6"/>
    <x v="209"/>
    <x v="1"/>
    <s v="塗装"/>
    <x v="17"/>
    <x v="222"/>
    <x v="251"/>
    <n v="0.3823560209424084"/>
    <n v="1179700"/>
    <n v="240000"/>
    <m/>
    <m/>
    <m/>
    <m/>
    <n v="600000"/>
    <m/>
    <m/>
    <n v="122500"/>
    <m/>
    <m/>
    <n v="177200"/>
    <m/>
    <m/>
    <m/>
    <m/>
    <m/>
    <m/>
    <m/>
    <m/>
    <m/>
    <m/>
    <m/>
    <m/>
    <m/>
    <n v="25000"/>
    <m/>
    <m/>
    <n v="15000"/>
    <m/>
    <m/>
    <m/>
    <m/>
    <m/>
    <m/>
    <m/>
    <m/>
    <m/>
    <m/>
    <m/>
    <m/>
    <m/>
    <m/>
    <m/>
    <m/>
    <m/>
    <m/>
    <m/>
  </r>
  <r>
    <m/>
    <x v="210"/>
    <x v="1"/>
    <s v="塗装"/>
    <x v="17"/>
    <x v="223"/>
    <x v="252"/>
    <n v="0.2615514333895447"/>
    <n v="1313700"/>
    <n v="310000"/>
    <m/>
    <m/>
    <m/>
    <m/>
    <n v="700000"/>
    <m/>
    <m/>
    <n v="33600"/>
    <m/>
    <m/>
    <n v="92200"/>
    <n v="177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21500"/>
    <m/>
    <m/>
    <m/>
    <m/>
    <m/>
    <m/>
    <m/>
    <m/>
    <m/>
    <m/>
    <m/>
    <m/>
    <m/>
    <m/>
    <m/>
    <m/>
    <m/>
    <n v="215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4.7"/>
    <x v="211"/>
    <x v="16"/>
    <s v="塗装"/>
    <x v="18"/>
    <x v="224"/>
    <x v="253"/>
    <n v="0.3226032010730132"/>
    <n v="1847446"/>
    <n v="260000"/>
    <m/>
    <m/>
    <m/>
    <m/>
    <n v="850000"/>
    <m/>
    <m/>
    <n v="240000"/>
    <m/>
    <m/>
    <n v="216810"/>
    <m/>
    <n v="200000"/>
    <n v="28716"/>
    <m/>
    <m/>
    <n v="5192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2"/>
    <x v="2"/>
    <s v="トイレ内装"/>
    <x v="18"/>
    <x v="225"/>
    <x v="254"/>
    <n v="0.3074886278769774"/>
    <n v="102000"/>
    <m/>
    <m/>
    <m/>
    <m/>
    <m/>
    <m/>
    <m/>
    <m/>
    <m/>
    <m/>
    <m/>
    <m/>
    <m/>
    <n v="40000"/>
    <m/>
    <m/>
    <m/>
    <m/>
    <n v="44000"/>
    <m/>
    <m/>
    <m/>
    <m/>
    <m/>
    <n v="18000"/>
    <m/>
    <m/>
    <m/>
    <m/>
    <m/>
    <m/>
    <m/>
    <m/>
    <m/>
    <m/>
    <m/>
    <m/>
    <m/>
    <m/>
    <m/>
    <m/>
    <m/>
    <m/>
    <m/>
    <m/>
    <m/>
    <m/>
    <m/>
  </r>
  <r>
    <m/>
    <x v="213"/>
    <x v="3"/>
    <s v="トイレ一次工事"/>
    <x v="18"/>
    <x v="226"/>
    <x v="255"/>
    <n v="0.5945945945945946"/>
    <n v="18000"/>
    <m/>
    <m/>
    <m/>
    <m/>
    <m/>
    <m/>
    <m/>
    <m/>
    <m/>
    <m/>
    <m/>
    <m/>
    <m/>
    <m/>
    <m/>
    <m/>
    <m/>
    <m/>
    <n v="18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4"/>
    <x v="3"/>
    <s v="UB工事"/>
    <x v="18"/>
    <x v="227"/>
    <x v="256"/>
    <n v="-0.07347674418604651"/>
    <n v="184638"/>
    <m/>
    <m/>
    <m/>
    <m/>
    <m/>
    <m/>
    <m/>
    <m/>
    <m/>
    <m/>
    <m/>
    <m/>
    <m/>
    <n v="80000"/>
    <n v="39638"/>
    <m/>
    <m/>
    <m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5"/>
    <x v="1"/>
    <s v="リノベーション"/>
    <x v="19"/>
    <x v="228"/>
    <x v="257"/>
    <n v="0.4937526705012326"/>
    <n v="1232206"/>
    <m/>
    <m/>
    <m/>
    <m/>
    <m/>
    <m/>
    <m/>
    <m/>
    <m/>
    <m/>
    <m/>
    <m/>
    <m/>
    <n v="300000"/>
    <n v="83361"/>
    <m/>
    <m/>
    <n v="90000"/>
    <n v="133000"/>
    <m/>
    <n v="60000"/>
    <m/>
    <n v="302920"/>
    <m/>
    <m/>
    <m/>
    <m/>
    <m/>
    <m/>
    <n v="100000"/>
    <n v="162925"/>
    <m/>
    <m/>
    <m/>
    <m/>
    <m/>
    <m/>
    <m/>
    <m/>
    <m/>
    <m/>
    <m/>
    <m/>
    <m/>
    <m/>
    <m/>
    <m/>
    <m/>
  </r>
  <r>
    <m/>
    <x v="216"/>
    <x v="3"/>
    <s v="UB入替"/>
    <x v="19"/>
    <x v="229"/>
    <x v="258"/>
    <n v="0.09095726495726496"/>
    <n v="212716"/>
    <m/>
    <m/>
    <m/>
    <m/>
    <m/>
    <m/>
    <m/>
    <m/>
    <m/>
    <m/>
    <m/>
    <m/>
    <m/>
    <n v="100000"/>
    <n v="29716"/>
    <m/>
    <m/>
    <m/>
    <n v="65000"/>
    <m/>
    <m/>
    <m/>
    <m/>
    <m/>
    <n v="18000"/>
    <m/>
    <m/>
    <m/>
    <m/>
    <m/>
    <m/>
    <m/>
    <m/>
    <m/>
    <m/>
    <m/>
    <m/>
    <m/>
    <m/>
    <m/>
    <m/>
    <m/>
    <m/>
    <m/>
    <m/>
    <m/>
    <m/>
    <m/>
  </r>
  <r>
    <m/>
    <x v="195"/>
    <x v="3"/>
    <s v="リフォーム"/>
    <x v="19"/>
    <x v="230"/>
    <x v="259"/>
    <n v="0.4532674242424242"/>
    <n v="721687"/>
    <m/>
    <m/>
    <m/>
    <m/>
    <m/>
    <n v="40000"/>
    <m/>
    <m/>
    <m/>
    <m/>
    <n v="30000"/>
    <m/>
    <m/>
    <n v="250000"/>
    <n v="76687"/>
    <m/>
    <m/>
    <m/>
    <n v="200000"/>
    <n v="25000"/>
    <m/>
    <m/>
    <m/>
    <m/>
    <n v="100000"/>
    <m/>
    <m/>
    <m/>
    <m/>
    <m/>
    <m/>
    <m/>
    <m/>
    <m/>
    <m/>
    <m/>
    <m/>
    <m/>
    <m/>
    <m/>
    <m/>
    <m/>
    <m/>
    <m/>
    <m/>
    <m/>
    <m/>
    <m/>
  </r>
  <r>
    <m/>
    <x v="217"/>
    <x v="1"/>
    <s v="塗装"/>
    <x v="19"/>
    <x v="231"/>
    <x v="260"/>
    <n v="0.1972513966480447"/>
    <n v="1436920"/>
    <m/>
    <n v="365000"/>
    <m/>
    <m/>
    <m/>
    <n v="800000"/>
    <m/>
    <m/>
    <m/>
    <m/>
    <m/>
    <n v="138200"/>
    <n v="1337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18"/>
    <x v="16"/>
    <s v="塗装"/>
    <x v="19"/>
    <x v="232"/>
    <x v="261"/>
    <n v="0.3087610619469027"/>
    <n v="781100"/>
    <m/>
    <n v="139000"/>
    <m/>
    <m/>
    <m/>
    <n v="500000"/>
    <m/>
    <m/>
    <m/>
    <m/>
    <m/>
    <n v="127100"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219"/>
    <x v="3"/>
    <s v="UB入替"/>
    <x v="20"/>
    <x v="233"/>
    <x v="262"/>
    <n v="0.4171985018726592"/>
    <n v="155608"/>
    <m/>
    <m/>
    <m/>
    <m/>
    <m/>
    <n v="25000"/>
    <m/>
    <m/>
    <m/>
    <m/>
    <m/>
    <m/>
    <m/>
    <n v="40000"/>
    <n v="5608"/>
    <m/>
    <m/>
    <m/>
    <n v="65000"/>
    <m/>
    <m/>
    <m/>
    <m/>
    <m/>
    <m/>
    <m/>
    <m/>
    <m/>
    <m/>
    <m/>
    <m/>
    <m/>
    <m/>
    <m/>
    <m/>
    <m/>
    <m/>
    <m/>
    <m/>
    <m/>
    <m/>
    <n v="20000"/>
    <m/>
    <m/>
    <m/>
    <m/>
    <m/>
    <m/>
  </r>
  <r>
    <m/>
    <x v="220"/>
    <x v="0"/>
    <s v="軒天張替"/>
    <x v="20"/>
    <x v="92"/>
    <x v="263"/>
    <n v="0.4257161290322581"/>
    <n v="89014"/>
    <m/>
    <m/>
    <m/>
    <m/>
    <m/>
    <m/>
    <m/>
    <m/>
    <m/>
    <m/>
    <m/>
    <m/>
    <m/>
    <n v="60000"/>
    <n v="29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1"/>
    <x v="11"/>
    <s v="塗装"/>
    <x v="20"/>
    <x v="234"/>
    <x v="264"/>
    <n v="0.4635272727272727"/>
    <n v="885180"/>
    <m/>
    <n v="203500"/>
    <m/>
    <m/>
    <m/>
    <n v="600000"/>
    <m/>
    <m/>
    <n v="42980"/>
    <m/>
    <m/>
    <n v="38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2"/>
    <x v="11"/>
    <s v="階段工事"/>
    <x v="20"/>
    <x v="235"/>
    <x v="265"/>
    <n v="0.345500245437408"/>
    <n v="476000"/>
    <m/>
    <m/>
    <m/>
    <m/>
    <m/>
    <n v="100000"/>
    <m/>
    <m/>
    <n v="18000"/>
    <m/>
    <m/>
    <m/>
    <m/>
    <n v="30000"/>
    <m/>
    <m/>
    <m/>
    <m/>
    <m/>
    <m/>
    <m/>
    <m/>
    <m/>
    <m/>
    <n v="98000"/>
    <m/>
    <m/>
    <m/>
    <m/>
    <m/>
    <m/>
    <m/>
    <m/>
    <m/>
    <m/>
    <m/>
    <m/>
    <m/>
    <m/>
    <m/>
    <m/>
    <n v="230000"/>
    <m/>
    <m/>
    <m/>
    <m/>
    <m/>
    <m/>
  </r>
  <r>
    <m/>
    <x v="222"/>
    <x v="11"/>
    <s v="化粧台・手摺"/>
    <x v="20"/>
    <x v="236"/>
    <x v="266"/>
    <n v="0.64878761484645"/>
    <n v="50000"/>
    <m/>
    <m/>
    <m/>
    <m/>
    <m/>
    <m/>
    <m/>
    <m/>
    <m/>
    <m/>
    <m/>
    <m/>
    <m/>
    <n v="35000"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3"/>
    <x v="12"/>
    <s v="大工・内装"/>
    <x v="20"/>
    <x v="197"/>
    <x v="267"/>
    <n v="0.65"/>
    <n v="35000"/>
    <m/>
    <m/>
    <m/>
    <m/>
    <m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4"/>
    <x v="12"/>
    <s v="大工・内装"/>
    <x v="20"/>
    <x v="237"/>
    <x v="268"/>
    <n v="0.6615866666666667"/>
    <n v="50762"/>
    <m/>
    <m/>
    <m/>
    <m/>
    <m/>
    <m/>
    <m/>
    <m/>
    <m/>
    <m/>
    <m/>
    <m/>
    <m/>
    <n v="35000"/>
    <n v="15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5"/>
    <x v="1"/>
    <s v="樋交換+雪止め"/>
    <x v="20"/>
    <x v="238"/>
    <x v="269"/>
    <n v="0.4740871212121212"/>
    <n v="138841"/>
    <m/>
    <n v="45000"/>
    <m/>
    <m/>
    <m/>
    <m/>
    <m/>
    <m/>
    <m/>
    <m/>
    <m/>
    <m/>
    <m/>
    <n v="50000"/>
    <n v="38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"/>
  </r>
  <r>
    <m/>
    <x v="226"/>
    <x v="1"/>
    <s v="樋交換+雪止め"/>
    <x v="20"/>
    <x v="239"/>
    <x v="65"/>
    <n v="0.5469798657718121"/>
    <n v="135000"/>
    <m/>
    <n v="45000"/>
    <m/>
    <m/>
    <m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"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7"/>
    <x v="1"/>
    <s v="屋根塗装　樋交換　雪止め　フェンス"/>
    <x v="21"/>
    <x v="69"/>
    <x v="270"/>
    <n v="0.3175984578884935"/>
    <n v="1150529"/>
    <m/>
    <n v="220000"/>
    <m/>
    <m/>
    <m/>
    <n v="400000"/>
    <m/>
    <m/>
    <m/>
    <m/>
    <m/>
    <n v="142300"/>
    <m/>
    <n v="142000"/>
    <m/>
    <m/>
    <m/>
    <m/>
    <m/>
    <m/>
    <n v="70000"/>
    <m/>
    <m/>
    <m/>
    <m/>
    <m/>
    <m/>
    <m/>
    <m/>
    <m/>
    <m/>
    <m/>
    <m/>
    <m/>
    <m/>
    <m/>
    <m/>
    <m/>
    <m/>
    <m/>
    <m/>
    <n v="105000"/>
    <m/>
    <m/>
    <m/>
    <m/>
    <m/>
    <n v="71229"/>
  </r>
  <r>
    <m/>
    <x v="228"/>
    <x v="17"/>
    <s v="塗装・注入"/>
    <x v="22"/>
    <x v="240"/>
    <x v="271"/>
    <n v="0.1828682170542636"/>
    <n v="421640"/>
    <m/>
    <m/>
    <m/>
    <m/>
    <m/>
    <n v="250000"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m/>
    <n v="121640"/>
    <m/>
    <m/>
    <m/>
    <m/>
    <m/>
    <n v="15000"/>
  </r>
  <r>
    <m/>
    <x v="229"/>
    <x v="11"/>
    <s v="塗装"/>
    <x v="21"/>
    <x v="241"/>
    <x v="272"/>
    <n v="0.3094447184743181"/>
    <n v="791000"/>
    <m/>
    <m/>
    <m/>
    <m/>
    <m/>
    <n v="600000"/>
    <m/>
    <m/>
    <m/>
    <m/>
    <m/>
    <n v="105000"/>
    <m/>
    <n v="4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000"/>
  </r>
  <r>
    <m/>
    <x v="230"/>
    <x v="7"/>
    <s v="解体工事"/>
    <x v="21"/>
    <x v="242"/>
    <x v="168"/>
    <n v="0.08878504672897196"/>
    <n v="390000"/>
    <m/>
    <m/>
    <m/>
    <m/>
    <m/>
    <m/>
    <m/>
    <m/>
    <m/>
    <m/>
    <m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  <n v="360000"/>
    <m/>
    <m/>
    <m/>
    <m/>
    <m/>
    <m/>
  </r>
  <r>
    <m/>
    <x v="231"/>
    <x v="2"/>
    <m/>
    <x v="12"/>
    <x v="5"/>
    <x v="273"/>
    <e v="#DIV/0!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32"/>
    <x v="3"/>
    <s v="足場 クロス 化粧台 大工"/>
    <x v="21"/>
    <x v="243"/>
    <x v="274"/>
    <n v="0.3769078829233256"/>
    <n v="347000"/>
    <n v="50000"/>
    <m/>
    <m/>
    <m/>
    <m/>
    <m/>
    <m/>
    <m/>
    <m/>
    <m/>
    <m/>
    <m/>
    <m/>
    <n v="50000"/>
    <m/>
    <m/>
    <m/>
    <m/>
    <n v="47000"/>
    <m/>
    <m/>
    <m/>
    <m/>
    <m/>
    <n v="200000"/>
    <m/>
    <m/>
    <m/>
    <m/>
    <m/>
    <m/>
    <m/>
    <m/>
    <m/>
    <m/>
    <m/>
    <m/>
    <m/>
    <m/>
    <m/>
    <m/>
    <m/>
    <m/>
    <m/>
    <m/>
    <m/>
    <m/>
    <m/>
  </r>
  <r>
    <m/>
    <x v="233"/>
    <x v="1"/>
    <s v="内装リノベ"/>
    <x v="21"/>
    <x v="96"/>
    <x v="275"/>
    <n v="0.608259420289855"/>
    <n v="540602"/>
    <m/>
    <m/>
    <m/>
    <m/>
    <m/>
    <m/>
    <m/>
    <m/>
    <m/>
    <m/>
    <m/>
    <m/>
    <m/>
    <n v="120000"/>
    <n v="11802"/>
    <m/>
    <m/>
    <n v="26000"/>
    <n v="77000"/>
    <m/>
    <m/>
    <m/>
    <m/>
    <m/>
    <m/>
    <m/>
    <m/>
    <m/>
    <m/>
    <m/>
    <n v="255800"/>
    <m/>
    <m/>
    <m/>
    <m/>
    <m/>
    <m/>
    <m/>
    <m/>
    <m/>
    <m/>
    <n v="20000"/>
    <m/>
    <m/>
    <m/>
    <m/>
    <m/>
    <n v="30000"/>
  </r>
  <r>
    <m/>
    <x v="234"/>
    <x v="1"/>
    <s v="樋・雪止め"/>
    <x v="22"/>
    <x v="244"/>
    <x v="276"/>
    <n v="0.3407407407407407"/>
    <n v="178000"/>
    <m/>
    <n v="70000"/>
    <m/>
    <m/>
    <m/>
    <m/>
    <m/>
    <m/>
    <m/>
    <m/>
    <m/>
    <m/>
    <m/>
    <n v="48000"/>
    <m/>
    <m/>
    <m/>
    <m/>
    <m/>
    <m/>
    <m/>
    <m/>
    <m/>
    <m/>
    <m/>
    <m/>
    <m/>
    <m/>
    <m/>
    <m/>
    <m/>
    <m/>
    <m/>
    <m/>
    <m/>
    <m/>
    <m/>
    <m/>
    <m/>
    <m/>
    <m/>
    <n v="40000"/>
    <m/>
    <m/>
    <m/>
    <m/>
    <m/>
    <n v="20000"/>
  </r>
  <r>
    <m/>
    <x v="235"/>
    <x v="1"/>
    <s v="樋・雪止め"/>
    <x v="22"/>
    <x v="245"/>
    <x v="277"/>
    <n v="0.3156028368794326"/>
    <n v="193000"/>
    <m/>
    <n v="65000"/>
    <m/>
    <m/>
    <m/>
    <m/>
    <m/>
    <m/>
    <m/>
    <m/>
    <m/>
    <m/>
    <m/>
    <n v="48000"/>
    <m/>
    <m/>
    <m/>
    <m/>
    <m/>
    <m/>
    <m/>
    <m/>
    <m/>
    <m/>
    <m/>
    <m/>
    <m/>
    <m/>
    <m/>
    <m/>
    <m/>
    <m/>
    <m/>
    <m/>
    <m/>
    <m/>
    <m/>
    <m/>
    <m/>
    <m/>
    <m/>
    <n v="60000"/>
    <m/>
    <m/>
    <m/>
    <m/>
    <m/>
    <n v="20000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36"/>
    <x v="17"/>
    <s v="塗装"/>
    <x v="22"/>
    <x v="246"/>
    <x v="278"/>
    <n v="0.3977804295942721"/>
    <n v="2523300"/>
    <m/>
    <m/>
    <n v="0"/>
    <m/>
    <m/>
    <n v="1600000"/>
    <m/>
    <m/>
    <n v="102200"/>
    <m/>
    <m/>
    <n v="310100"/>
    <n v="264000"/>
    <m/>
    <m/>
    <m/>
    <n v="208000"/>
    <n v="24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237"/>
    <x v="3"/>
    <s v="UB・K・トイレ入替"/>
    <x v="23"/>
    <x v="247"/>
    <x v="279"/>
    <n v="-0.05919003115264797"/>
    <n v="170000"/>
    <m/>
    <m/>
    <m/>
    <m/>
    <m/>
    <m/>
    <m/>
    <m/>
    <m/>
    <m/>
    <m/>
    <m/>
    <m/>
    <m/>
    <m/>
    <m/>
    <m/>
    <m/>
    <n v="17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38"/>
    <x v="3"/>
    <s v="UB入替"/>
    <x v="23"/>
    <x v="65"/>
    <x v="280"/>
    <n v="0.3343085299455535"/>
    <n v="366796"/>
    <m/>
    <m/>
    <m/>
    <m/>
    <m/>
    <n v="18000"/>
    <m/>
    <m/>
    <m/>
    <m/>
    <m/>
    <m/>
    <m/>
    <n v="90000"/>
    <n v="31436"/>
    <m/>
    <m/>
    <n v="60000"/>
    <n v="118000"/>
    <m/>
    <m/>
    <m/>
    <m/>
    <m/>
    <n v="23000"/>
    <m/>
    <m/>
    <m/>
    <m/>
    <m/>
    <n v="18360"/>
    <m/>
    <m/>
    <m/>
    <m/>
    <m/>
    <m/>
    <m/>
    <m/>
    <m/>
    <m/>
    <m/>
    <m/>
    <m/>
    <m/>
    <m/>
    <m/>
    <n v="8000"/>
  </r>
  <r>
    <m/>
    <x v="239"/>
    <x v="3"/>
    <s v="UB・化粧台"/>
    <x v="23"/>
    <x v="248"/>
    <x v="281"/>
    <n v="0.2081240299139269"/>
    <n v="448962"/>
    <m/>
    <m/>
    <m/>
    <m/>
    <m/>
    <n v="18000"/>
    <m/>
    <m/>
    <m/>
    <m/>
    <m/>
    <n v="19200"/>
    <m/>
    <n v="160000"/>
    <n v="45762"/>
    <m/>
    <m/>
    <n v="40000"/>
    <n v="116000"/>
    <m/>
    <m/>
    <m/>
    <m/>
    <n v="30000"/>
    <n v="20000"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40"/>
    <x v="18"/>
    <s v="コイン新築"/>
    <x v="23"/>
    <x v="249"/>
    <x v="282"/>
    <n v="0.1088862876254181"/>
    <n v="1065772"/>
    <m/>
    <m/>
    <m/>
    <m/>
    <m/>
    <m/>
    <m/>
    <m/>
    <m/>
    <m/>
    <m/>
    <m/>
    <m/>
    <n v="120000"/>
    <n v="45422"/>
    <n v="97000"/>
    <m/>
    <n v="171000"/>
    <n v="91350"/>
    <m/>
    <n v="20000"/>
    <n v="483000"/>
    <m/>
    <n v="18000"/>
    <m/>
    <m/>
    <m/>
    <m/>
    <m/>
    <n v="20000"/>
    <m/>
    <m/>
    <m/>
    <m/>
    <m/>
    <m/>
    <m/>
    <m/>
    <m/>
    <m/>
    <m/>
    <m/>
    <m/>
    <m/>
    <m/>
    <m/>
    <m/>
    <m/>
  </r>
  <r>
    <m/>
    <x v="241"/>
    <x v="1"/>
    <s v="リノベーション"/>
    <x v="23"/>
    <x v="250"/>
    <x v="283"/>
    <n v="0.4126938988717092"/>
    <n v="2810847"/>
    <m/>
    <m/>
    <m/>
    <m/>
    <m/>
    <m/>
    <m/>
    <m/>
    <m/>
    <m/>
    <m/>
    <m/>
    <m/>
    <n v="900000"/>
    <n v="140527"/>
    <m/>
    <m/>
    <n v="496490"/>
    <n v="70000"/>
    <m/>
    <n v="676370"/>
    <m/>
    <n v="387460"/>
    <m/>
    <m/>
    <m/>
    <n v="140000"/>
    <m/>
    <m/>
    <m/>
    <m/>
    <m/>
    <m/>
    <m/>
    <m/>
    <m/>
    <m/>
    <m/>
    <m/>
    <m/>
    <m/>
    <m/>
    <m/>
    <m/>
    <m/>
    <m/>
    <m/>
    <m/>
  </r>
  <r>
    <m/>
    <x v="242"/>
    <x v="1"/>
    <s v="プチリノベ"/>
    <x v="23"/>
    <x v="157"/>
    <x v="284"/>
    <n v="0.1780633928571428"/>
    <n v="920569"/>
    <m/>
    <m/>
    <m/>
    <m/>
    <m/>
    <m/>
    <m/>
    <m/>
    <m/>
    <m/>
    <m/>
    <m/>
    <m/>
    <n v="150000"/>
    <n v="26615"/>
    <m/>
    <m/>
    <n v="35000"/>
    <n v="91000"/>
    <m/>
    <m/>
    <m/>
    <n v="150000"/>
    <m/>
    <m/>
    <m/>
    <m/>
    <m/>
    <m/>
    <m/>
    <n v="269540"/>
    <n v="26000"/>
    <m/>
    <m/>
    <m/>
    <m/>
    <m/>
    <m/>
    <n v="64000"/>
    <m/>
    <m/>
    <n v="42000"/>
    <m/>
    <m/>
    <m/>
    <m/>
    <m/>
    <n v="66414"/>
  </r>
  <r>
    <m/>
    <x v="243"/>
    <x v="17"/>
    <s v="リフォーム"/>
    <x v="23"/>
    <x v="251"/>
    <x v="285"/>
    <n v="0.231446357615894"/>
    <n v="580258"/>
    <m/>
    <m/>
    <m/>
    <m/>
    <m/>
    <m/>
    <m/>
    <m/>
    <m/>
    <m/>
    <m/>
    <m/>
    <m/>
    <n v="120000"/>
    <n v="27818"/>
    <m/>
    <n v="550"/>
    <n v="141000"/>
    <n v="77000"/>
    <m/>
    <m/>
    <m/>
    <m/>
    <n v="116450"/>
    <m/>
    <m/>
    <m/>
    <m/>
    <m/>
    <m/>
    <n v="16140"/>
    <n v="81300"/>
    <m/>
    <m/>
    <m/>
    <m/>
    <m/>
    <m/>
    <m/>
    <m/>
    <m/>
    <m/>
    <m/>
    <m/>
    <m/>
    <m/>
    <m/>
    <m/>
  </r>
  <r>
    <m/>
    <x v="244"/>
    <x v="17"/>
    <s v="リフォーム"/>
    <x v="23"/>
    <x v="252"/>
    <x v="286"/>
    <n v="0.2349002079002079"/>
    <n v="2944104"/>
    <m/>
    <m/>
    <m/>
    <m/>
    <m/>
    <n v="25700"/>
    <m/>
    <m/>
    <m/>
    <m/>
    <m/>
    <m/>
    <m/>
    <n v="500000"/>
    <n v="159460"/>
    <m/>
    <m/>
    <n v="200000"/>
    <n v="240000"/>
    <m/>
    <m/>
    <m/>
    <n v="233680"/>
    <m/>
    <m/>
    <m/>
    <m/>
    <m/>
    <m/>
    <m/>
    <n v="501654"/>
    <n v="1083610"/>
    <m/>
    <m/>
    <m/>
    <m/>
    <m/>
    <m/>
    <m/>
    <m/>
    <m/>
    <m/>
    <m/>
    <m/>
    <m/>
    <m/>
    <m/>
    <m/>
  </r>
  <r>
    <m/>
    <x v="245"/>
    <x v="1"/>
    <s v="塗装"/>
    <x v="23"/>
    <x v="253"/>
    <x v="287"/>
    <n v="0.2266292134831461"/>
    <n v="1032450"/>
    <m/>
    <n v="179000"/>
    <m/>
    <m/>
    <m/>
    <n v="500000"/>
    <m/>
    <m/>
    <m/>
    <m/>
    <m/>
    <n v="192150"/>
    <n v="131300"/>
    <m/>
    <m/>
    <m/>
    <m/>
    <m/>
    <m/>
    <m/>
    <m/>
    <m/>
    <m/>
    <m/>
    <m/>
    <m/>
    <m/>
    <m/>
    <m/>
    <m/>
    <m/>
    <m/>
    <m/>
    <m/>
    <m/>
    <m/>
    <m/>
    <m/>
    <n v="30000"/>
    <m/>
    <m/>
    <m/>
    <m/>
    <m/>
    <m/>
    <m/>
    <m/>
    <m/>
  </r>
  <r>
    <m/>
    <x v="246"/>
    <x v="12"/>
    <s v="コイン改修"/>
    <x v="23"/>
    <x v="254"/>
    <x v="288"/>
    <n v="0.1268013333333333"/>
    <n v="654899"/>
    <m/>
    <m/>
    <m/>
    <m/>
    <m/>
    <m/>
    <m/>
    <m/>
    <m/>
    <m/>
    <m/>
    <m/>
    <m/>
    <n v="35000"/>
    <n v="12899"/>
    <m/>
    <m/>
    <n v="113000"/>
    <n v="226000"/>
    <m/>
    <m/>
    <n v="250000"/>
    <m/>
    <n v="18000"/>
    <m/>
    <m/>
    <m/>
    <m/>
    <m/>
    <m/>
    <m/>
    <m/>
    <m/>
    <m/>
    <m/>
    <m/>
    <m/>
    <m/>
    <m/>
    <m/>
    <m/>
    <m/>
    <m/>
    <m/>
    <m/>
    <m/>
    <m/>
    <m/>
  </r>
  <r>
    <m/>
    <x v="247"/>
    <x v="17"/>
    <s v="防水・塗装"/>
    <x v="0"/>
    <x v="255"/>
    <x v="289"/>
    <n v="0.2502624720774386"/>
    <n v="6041385"/>
    <n v="550000"/>
    <m/>
    <m/>
    <m/>
    <m/>
    <m/>
    <m/>
    <m/>
    <n v="140000"/>
    <m/>
    <m/>
    <m/>
    <m/>
    <m/>
    <m/>
    <m/>
    <m/>
    <m/>
    <m/>
    <m/>
    <n v="4405675"/>
    <m/>
    <m/>
    <m/>
    <m/>
    <m/>
    <m/>
    <m/>
    <n v="15000"/>
    <m/>
    <m/>
    <m/>
    <m/>
    <m/>
    <m/>
    <m/>
    <m/>
    <m/>
    <m/>
    <m/>
    <m/>
    <n v="930710"/>
    <m/>
    <m/>
    <m/>
    <m/>
    <m/>
    <m/>
  </r>
  <r>
    <m/>
    <x v="174"/>
    <x v="19"/>
    <s v="通路天井塗装・シール"/>
    <x v="23"/>
    <x v="256"/>
    <x v="290"/>
    <n v="0.4809375"/>
    <n v="166100"/>
    <m/>
    <m/>
    <m/>
    <m/>
    <m/>
    <n v="80000"/>
    <m/>
    <m/>
    <n v="86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48"/>
    <x v="20"/>
    <s v="1F塗装"/>
    <x v="22"/>
    <x v="257"/>
    <x v="291"/>
    <n v="0.2842962962962963"/>
    <n v="966200"/>
    <m/>
    <n v="165000"/>
    <m/>
    <m/>
    <m/>
    <n v="450000"/>
    <m/>
    <m/>
    <n v="294000"/>
    <m/>
    <m/>
    <n v="57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49"/>
    <x v="1"/>
    <s v="内装"/>
    <x v="26"/>
    <x v="258"/>
    <x v="292"/>
    <n v="0.5749573863636364"/>
    <n v="299230"/>
    <m/>
    <m/>
    <m/>
    <m/>
    <m/>
    <m/>
    <m/>
    <m/>
    <m/>
    <m/>
    <m/>
    <m/>
    <m/>
    <n v="180000"/>
    <n v="54230"/>
    <m/>
    <m/>
    <m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1"/>
    <x v="250"/>
    <x v="2"/>
    <m/>
    <x v="0"/>
    <x v="259"/>
    <x v="195"/>
    <n v="0.5"/>
    <n v="80000"/>
    <m/>
    <m/>
    <m/>
    <m/>
    <m/>
    <m/>
    <m/>
    <m/>
    <m/>
    <m/>
    <m/>
    <m/>
    <m/>
    <n v="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51"/>
    <x v="1"/>
    <s v="樋交換　塗装"/>
    <x v="0"/>
    <x v="260"/>
    <x v="293"/>
    <n v="-0.0004291126787097314"/>
    <n v="764696"/>
    <n v="300000"/>
    <m/>
    <m/>
    <m/>
    <m/>
    <n v="30000"/>
    <m/>
    <m/>
    <m/>
    <m/>
    <m/>
    <n v="17500"/>
    <m/>
    <n v="160000"/>
    <n v="9696"/>
    <m/>
    <m/>
    <m/>
    <m/>
    <m/>
    <m/>
    <m/>
    <m/>
    <m/>
    <m/>
    <m/>
    <m/>
    <m/>
    <m/>
    <m/>
    <m/>
    <m/>
    <m/>
    <m/>
    <m/>
    <m/>
    <m/>
    <m/>
    <m/>
    <m/>
    <m/>
    <n v="247500"/>
    <m/>
    <m/>
    <m/>
    <m/>
    <m/>
    <m/>
  </r>
  <r>
    <m/>
    <x v="252"/>
    <x v="1"/>
    <s v="塗装"/>
    <x v="0"/>
    <x v="261"/>
    <x v="294"/>
    <n v="0.2394997310381926"/>
    <n v="1413770"/>
    <m/>
    <m/>
    <m/>
    <m/>
    <m/>
    <n v="650000"/>
    <m/>
    <m/>
    <n v="50000"/>
    <n v="35000"/>
    <m/>
    <n v="167600"/>
    <n v="466170"/>
    <m/>
    <m/>
    <m/>
    <m/>
    <n v="30000"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253"/>
    <x v="2"/>
    <s v="温水器・湯沸かし器取付け"/>
    <x v="0"/>
    <x v="256"/>
    <x v="295"/>
    <n v="0.135865625"/>
    <n v="276523"/>
    <m/>
    <m/>
    <m/>
    <m/>
    <m/>
    <m/>
    <m/>
    <m/>
    <m/>
    <m/>
    <m/>
    <m/>
    <m/>
    <n v="50000"/>
    <n v="16523"/>
    <m/>
    <m/>
    <n v="5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54"/>
    <x v="2"/>
    <s v="温水器→エコキュート　+給湯管入替"/>
    <x v="0"/>
    <x v="262"/>
    <x v="65"/>
    <n v="0.2680921052631579"/>
    <n v="445000"/>
    <m/>
    <m/>
    <m/>
    <m/>
    <m/>
    <m/>
    <m/>
    <m/>
    <m/>
    <m/>
    <m/>
    <m/>
    <m/>
    <m/>
    <m/>
    <m/>
    <m/>
    <n v="195000"/>
    <n v="25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55"/>
    <x v="21"/>
    <s v="リフォーム工事"/>
    <x v="27"/>
    <x v="263"/>
    <x v="296"/>
    <n v="0.3491282051282051"/>
    <n v="1269200"/>
    <m/>
    <m/>
    <m/>
    <m/>
    <m/>
    <m/>
    <m/>
    <m/>
    <m/>
    <m/>
    <m/>
    <m/>
    <m/>
    <n v="180000"/>
    <n v="19340"/>
    <m/>
    <m/>
    <n v="155000"/>
    <n v="242000"/>
    <m/>
    <m/>
    <m/>
    <m/>
    <n v="331700"/>
    <m/>
    <n v="30000"/>
    <n v="21000"/>
    <m/>
    <m/>
    <m/>
    <n v="33060"/>
    <m/>
    <m/>
    <n v="67100"/>
    <m/>
    <m/>
    <m/>
    <m/>
    <m/>
    <m/>
    <m/>
    <n v="190000"/>
    <m/>
    <m/>
    <m/>
    <m/>
    <m/>
    <m/>
  </r>
  <r>
    <m/>
    <x v="256"/>
    <x v="1"/>
    <s v="雪止め設置+樋交換"/>
    <x v="0"/>
    <x v="42"/>
    <x v="297"/>
    <n v="0.4085682656826568"/>
    <n v="320556"/>
    <n v="150000"/>
    <m/>
    <m/>
    <m/>
    <m/>
    <m/>
    <m/>
    <m/>
    <m/>
    <m/>
    <m/>
    <m/>
    <m/>
    <n v="56000"/>
    <n v="6556"/>
    <m/>
    <m/>
    <m/>
    <m/>
    <m/>
    <m/>
    <m/>
    <m/>
    <m/>
    <m/>
    <m/>
    <m/>
    <m/>
    <m/>
    <m/>
    <m/>
    <m/>
    <m/>
    <m/>
    <m/>
    <m/>
    <m/>
    <m/>
    <m/>
    <m/>
    <m/>
    <n v="108000"/>
    <m/>
    <m/>
    <m/>
    <m/>
    <m/>
    <m/>
  </r>
  <r>
    <m/>
    <x v="257"/>
    <x v="1"/>
    <m/>
    <x v="0"/>
    <x v="264"/>
    <x v="298"/>
    <n v="0.7674951160194562"/>
    <n v="186614"/>
    <m/>
    <m/>
    <m/>
    <m/>
    <m/>
    <m/>
    <m/>
    <m/>
    <m/>
    <m/>
    <m/>
    <m/>
    <m/>
    <n v="60000"/>
    <n v="276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9000"/>
  </r>
  <r>
    <m/>
    <x v="22"/>
    <x v="0"/>
    <m/>
    <x v="12"/>
    <x v="5"/>
    <x v="21"/>
    <s v=""/>
    <m/>
    <m/>
    <m/>
    <m/>
    <m/>
    <m/>
    <m/>
    <m/>
    <m/>
    <m/>
    <m/>
    <m/>
    <m/>
    <m/>
    <s v="↓予定350万から400（屋根10まんちょい）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2"/>
    <x v="258"/>
    <x v="11"/>
    <s v="リフォーム"/>
    <x v="12"/>
    <x v="265"/>
    <x v="299"/>
    <n v="0.1587310714285714"/>
    <n v="11777765"/>
    <m/>
    <m/>
    <m/>
    <m/>
    <m/>
    <n v="108000"/>
    <m/>
    <m/>
    <m/>
    <m/>
    <m/>
    <m/>
    <m/>
    <n v="4700000"/>
    <n v="1670910"/>
    <n v="352000"/>
    <n v="371000"/>
    <n v="1380000"/>
    <n v="592000"/>
    <m/>
    <n v="134100"/>
    <m/>
    <m/>
    <n v="108480"/>
    <m/>
    <m/>
    <m/>
    <m/>
    <m/>
    <m/>
    <n v="2024975"/>
    <m/>
    <m/>
    <m/>
    <m/>
    <m/>
    <m/>
    <m/>
    <n v="60000"/>
    <m/>
    <m/>
    <n v="241200"/>
    <m/>
    <m/>
    <m/>
    <m/>
    <m/>
    <n v="35100"/>
  </r>
  <r>
    <m/>
    <x v="223"/>
    <x v="12"/>
    <s v="機器入替　大工電気内装"/>
    <x v="13"/>
    <x v="266"/>
    <x v="300"/>
    <n v="0.3813945945945946"/>
    <n v="114442"/>
    <m/>
    <m/>
    <m/>
    <m/>
    <m/>
    <m/>
    <m/>
    <m/>
    <m/>
    <m/>
    <m/>
    <m/>
    <m/>
    <n v="60000"/>
    <n v="14442"/>
    <m/>
    <m/>
    <n v="20000"/>
    <m/>
    <m/>
    <m/>
    <m/>
    <m/>
    <m/>
    <n v="20000"/>
    <m/>
    <m/>
    <m/>
    <m/>
    <m/>
    <m/>
    <m/>
    <m/>
    <m/>
    <m/>
    <m/>
    <m/>
    <m/>
    <m/>
    <m/>
    <m/>
    <m/>
    <m/>
    <m/>
    <m/>
    <m/>
    <m/>
    <m/>
  </r>
  <r>
    <m/>
    <x v="253"/>
    <x v="2"/>
    <s v="照明・ﾀｲﾏｰ水栓交換"/>
    <x v="13"/>
    <x v="267"/>
    <x v="301"/>
    <n v="0.308411214953271"/>
    <n v="74000"/>
    <m/>
    <m/>
    <m/>
    <m/>
    <m/>
    <m/>
    <m/>
    <m/>
    <m/>
    <m/>
    <m/>
    <m/>
    <m/>
    <m/>
    <m/>
    <m/>
    <m/>
    <n v="64000"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59"/>
    <x v="1"/>
    <s v="リノベーション"/>
    <x v="14"/>
    <x v="268"/>
    <x v="302"/>
    <n v="0.1776585483870968"/>
    <n v="5098517"/>
    <m/>
    <m/>
    <m/>
    <m/>
    <m/>
    <m/>
    <m/>
    <m/>
    <m/>
    <m/>
    <m/>
    <m/>
    <m/>
    <n v="700000"/>
    <n v="227935"/>
    <n v="68000"/>
    <m/>
    <n v="480000"/>
    <n v="397000"/>
    <m/>
    <n v="100000"/>
    <m/>
    <n v="761680"/>
    <m/>
    <m/>
    <n v="120000"/>
    <n v="21000"/>
    <m/>
    <m/>
    <m/>
    <m/>
    <n v="1683469"/>
    <m/>
    <n v="37400"/>
    <m/>
    <m/>
    <m/>
    <m/>
    <m/>
    <m/>
    <m/>
    <n v="149600"/>
    <m/>
    <m/>
    <m/>
    <m/>
    <m/>
    <n v="352433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3"/>
    <x v="198"/>
    <x v="11"/>
    <s v="18室工事"/>
    <x v="15"/>
    <x v="269"/>
    <x v="303"/>
    <n v="0.3175296296296296"/>
    <n v="7739214"/>
    <m/>
    <m/>
    <m/>
    <m/>
    <m/>
    <n v="340000"/>
    <m/>
    <m/>
    <m/>
    <m/>
    <m/>
    <m/>
    <m/>
    <n v="630000"/>
    <n v="55490"/>
    <m/>
    <m/>
    <m/>
    <n v="694000"/>
    <m/>
    <n v="1752080"/>
    <m/>
    <m/>
    <n v="2215940"/>
    <m/>
    <n v="225000"/>
    <m/>
    <m/>
    <m/>
    <m/>
    <m/>
    <n v="1826704"/>
    <m/>
    <m/>
    <m/>
    <m/>
    <m/>
    <m/>
    <m/>
    <m/>
    <m/>
    <m/>
    <m/>
    <m/>
    <m/>
    <m/>
    <m/>
    <m/>
  </r>
  <r>
    <m/>
    <x v="198"/>
    <x v="11"/>
    <s v="部屋ごと工事"/>
    <x v="15"/>
    <x v="270"/>
    <x v="304"/>
    <n v="0.65"/>
    <n v="1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"/>
    <m/>
    <m/>
    <m/>
    <m/>
    <m/>
    <m/>
    <m/>
    <m/>
    <m/>
  </r>
  <r>
    <m/>
    <x v="198"/>
    <x v="11"/>
    <s v="追加工事Ｂ112A201漏水復旧工事"/>
    <x v="15"/>
    <x v="271"/>
    <x v="305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60"/>
    <x v="1"/>
    <s v="樋交換+塗装"/>
    <x v="14"/>
    <x v="272"/>
    <x v="306"/>
    <n v="0.2504385964912281"/>
    <n v="170900"/>
    <m/>
    <n v="75000"/>
    <m/>
    <m/>
    <m/>
    <n v="35000"/>
    <m/>
    <m/>
    <m/>
    <m/>
    <m/>
    <n v="12900"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"/>
  </r>
  <r>
    <m/>
    <x v="198"/>
    <x v="11"/>
    <s v="内装"/>
    <x v="24"/>
    <x v="209"/>
    <x v="307"/>
    <n v="0.2546612121212121"/>
    <n v="4919236"/>
    <m/>
    <m/>
    <m/>
    <m/>
    <m/>
    <n v="200000"/>
    <m/>
    <m/>
    <m/>
    <m/>
    <m/>
    <m/>
    <m/>
    <n v="290000"/>
    <n v="97036"/>
    <m/>
    <m/>
    <n v="20000"/>
    <n v="876000"/>
    <m/>
    <n v="888200"/>
    <m/>
    <m/>
    <n v="1320000"/>
    <m/>
    <n v="143000"/>
    <m/>
    <m/>
    <m/>
    <m/>
    <n v="1005000"/>
    <m/>
    <m/>
    <m/>
    <m/>
    <m/>
    <m/>
    <m/>
    <m/>
    <m/>
    <m/>
    <m/>
    <m/>
    <m/>
    <m/>
    <m/>
    <m/>
    <n v="80000"/>
  </r>
  <r>
    <m/>
    <x v="261"/>
    <x v="22"/>
    <s v="漏水復旧"/>
    <x v="14"/>
    <x v="273"/>
    <x v="308"/>
    <n v="0.2471098591549296"/>
    <n v="534552"/>
    <m/>
    <m/>
    <m/>
    <m/>
    <m/>
    <m/>
    <m/>
    <m/>
    <m/>
    <m/>
    <m/>
    <m/>
    <m/>
    <n v="180000"/>
    <n v="25727"/>
    <m/>
    <m/>
    <n v="68000"/>
    <n v="44000"/>
    <m/>
    <m/>
    <m/>
    <n v="150640"/>
    <m/>
    <m/>
    <m/>
    <m/>
    <m/>
    <m/>
    <m/>
    <n v="1185"/>
    <m/>
    <m/>
    <m/>
    <m/>
    <m/>
    <m/>
    <m/>
    <m/>
    <m/>
    <m/>
    <m/>
    <m/>
    <m/>
    <m/>
    <m/>
    <m/>
    <n v="65000"/>
  </r>
  <r>
    <m/>
    <x v="262"/>
    <x v="1"/>
    <s v="リノベーション"/>
    <x v="14"/>
    <x v="274"/>
    <x v="309"/>
    <n v="0.08936976559210219"/>
    <n v="973145"/>
    <m/>
    <m/>
    <m/>
    <m/>
    <m/>
    <m/>
    <m/>
    <m/>
    <m/>
    <m/>
    <m/>
    <m/>
    <m/>
    <n v="350000"/>
    <n v="77245"/>
    <m/>
    <m/>
    <m/>
    <m/>
    <m/>
    <m/>
    <m/>
    <m/>
    <n v="343900"/>
    <m/>
    <m/>
    <m/>
    <m/>
    <m/>
    <m/>
    <m/>
    <m/>
    <m/>
    <m/>
    <m/>
    <m/>
    <m/>
    <m/>
    <m/>
    <m/>
    <m/>
    <m/>
    <m/>
    <m/>
    <m/>
    <m/>
    <m/>
    <n v="202000"/>
  </r>
  <r>
    <m/>
    <x v="263"/>
    <x v="11"/>
    <s v="リフォーム"/>
    <x v="14"/>
    <x v="275"/>
    <x v="310"/>
    <n v="0.1759039836567926"/>
    <n v="806790"/>
    <m/>
    <m/>
    <m/>
    <m/>
    <m/>
    <m/>
    <m/>
    <m/>
    <m/>
    <m/>
    <m/>
    <m/>
    <m/>
    <n v="400000"/>
    <n v="55150"/>
    <m/>
    <m/>
    <m/>
    <m/>
    <m/>
    <m/>
    <m/>
    <m/>
    <n v="100720"/>
    <m/>
    <m/>
    <m/>
    <m/>
    <m/>
    <m/>
    <n v="332820"/>
    <m/>
    <m/>
    <m/>
    <m/>
    <m/>
    <m/>
    <m/>
    <m/>
    <m/>
    <m/>
    <m/>
    <m/>
    <m/>
    <m/>
    <m/>
    <m/>
    <n v="-81900"/>
  </r>
  <r>
    <m/>
    <x v="94"/>
    <x v="1"/>
    <s v="軒天貼替"/>
    <x v="14"/>
    <x v="276"/>
    <x v="311"/>
    <n v="0.3893571428571428"/>
    <n v="136784"/>
    <m/>
    <m/>
    <m/>
    <m/>
    <m/>
    <n v="40000"/>
    <m/>
    <m/>
    <m/>
    <m/>
    <m/>
    <m/>
    <m/>
    <n v="80000"/>
    <n v="167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92560"/>
    <m/>
    <m/>
    <n v="58000"/>
    <m/>
    <m/>
    <n v="34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4"/>
    <x v="264"/>
    <x v="11"/>
    <s v="リノベーション工事"/>
    <x v="16"/>
    <x v="277"/>
    <x v="312"/>
    <n v="0.2079160940325497"/>
    <n v="4380224"/>
    <m/>
    <m/>
    <m/>
    <m/>
    <m/>
    <n v="60000"/>
    <m/>
    <m/>
    <m/>
    <m/>
    <m/>
    <n v="41700"/>
    <m/>
    <n v="900000"/>
    <n v="510835"/>
    <m/>
    <m/>
    <n v="750000"/>
    <n v="380000"/>
    <m/>
    <m/>
    <m/>
    <n v="32800"/>
    <m/>
    <n v="30000"/>
    <m/>
    <m/>
    <m/>
    <m/>
    <m/>
    <n v="803760"/>
    <m/>
    <m/>
    <m/>
    <m/>
    <m/>
    <m/>
    <m/>
    <m/>
    <m/>
    <n v="276500"/>
    <n v="91000"/>
    <m/>
    <m/>
    <m/>
    <m/>
    <m/>
    <n v="503629"/>
  </r>
  <r>
    <m/>
    <x v="265"/>
    <x v="11"/>
    <s v="追加内装工事1回目"/>
    <x v="16"/>
    <x v="87"/>
    <x v="313"/>
    <n v="0.6888888888888889"/>
    <n v="140000"/>
    <m/>
    <m/>
    <m/>
    <m/>
    <m/>
    <m/>
    <m/>
    <m/>
    <m/>
    <m/>
    <m/>
    <m/>
    <m/>
    <m/>
    <m/>
    <m/>
    <m/>
    <n v="100000"/>
    <m/>
    <m/>
    <m/>
    <m/>
    <m/>
    <m/>
    <m/>
    <n v="15000"/>
    <m/>
    <m/>
    <m/>
    <m/>
    <m/>
    <m/>
    <m/>
    <m/>
    <m/>
    <m/>
    <m/>
    <m/>
    <n v="25000"/>
    <m/>
    <m/>
    <m/>
    <m/>
    <m/>
    <m/>
    <m/>
    <m/>
    <m/>
  </r>
  <r>
    <m/>
    <x v="266"/>
    <x v="4"/>
    <s v="塗装"/>
    <x v="16"/>
    <x v="278"/>
    <x v="314"/>
    <n v="0.05475557664926436"/>
    <n v="3983260"/>
    <m/>
    <m/>
    <m/>
    <m/>
    <m/>
    <m/>
    <m/>
    <m/>
    <n v="150000"/>
    <n v="35000"/>
    <m/>
    <n v="276800"/>
    <n v="3506460"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</r>
  <r>
    <m/>
    <x v="267"/>
    <x v="11"/>
    <s v="漏水復旧"/>
    <x v="16"/>
    <x v="279"/>
    <x v="315"/>
    <n v="0.3559848484848485"/>
    <n v="187022"/>
    <m/>
    <m/>
    <m/>
    <m/>
    <m/>
    <m/>
    <m/>
    <m/>
    <m/>
    <m/>
    <m/>
    <m/>
    <m/>
    <n v="120000"/>
    <n v="32022"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5"/>
    <x v="268"/>
    <x v="11"/>
    <s v="増築工事"/>
    <x v="17"/>
    <x v="280"/>
    <x v="316"/>
    <n v="-0.09331171171171171"/>
    <n v="2427152"/>
    <m/>
    <m/>
    <m/>
    <m/>
    <m/>
    <m/>
    <m/>
    <m/>
    <m/>
    <m/>
    <m/>
    <m/>
    <m/>
    <n v="850000"/>
    <n v="161889"/>
    <m/>
    <m/>
    <n v="90000"/>
    <n v="440000"/>
    <m/>
    <m/>
    <m/>
    <m/>
    <n v="45000"/>
    <m/>
    <n v="15000"/>
    <m/>
    <m/>
    <m/>
    <m/>
    <n v="132260"/>
    <n v="693003"/>
    <m/>
    <m/>
    <m/>
    <m/>
    <m/>
    <m/>
    <m/>
    <m/>
    <m/>
    <m/>
    <m/>
    <m/>
    <m/>
    <m/>
    <m/>
    <m/>
  </r>
  <r>
    <m/>
    <x v="269"/>
    <x v="11"/>
    <s v="内装工事"/>
    <x v="17"/>
    <x v="281"/>
    <x v="317"/>
    <n v="0.3315"/>
    <n v="534800"/>
    <m/>
    <m/>
    <m/>
    <m/>
    <m/>
    <m/>
    <m/>
    <m/>
    <m/>
    <m/>
    <m/>
    <m/>
    <m/>
    <n v="35000"/>
    <m/>
    <m/>
    <m/>
    <n v="42000"/>
    <m/>
    <m/>
    <m/>
    <m/>
    <m/>
    <n v="321300"/>
    <m/>
    <n v="21500"/>
    <n v="90000"/>
    <m/>
    <m/>
    <m/>
    <m/>
    <m/>
    <m/>
    <m/>
    <m/>
    <m/>
    <m/>
    <m/>
    <m/>
    <m/>
    <m/>
    <n v="25000"/>
    <m/>
    <m/>
    <m/>
    <m/>
    <m/>
    <m/>
  </r>
  <r>
    <m/>
    <x v="270"/>
    <x v="11"/>
    <s v="キッチン増設"/>
    <x v="17"/>
    <x v="282"/>
    <x v="318"/>
    <n v="0.2202364457831325"/>
    <n v="517763"/>
    <m/>
    <m/>
    <m/>
    <m/>
    <m/>
    <m/>
    <m/>
    <m/>
    <m/>
    <m/>
    <m/>
    <m/>
    <m/>
    <n v="120000"/>
    <n v="42763"/>
    <m/>
    <m/>
    <n v="100000"/>
    <n v="195000"/>
    <m/>
    <m/>
    <m/>
    <m/>
    <n v="40000"/>
    <m/>
    <n v="20000"/>
    <m/>
    <m/>
    <m/>
    <m/>
    <m/>
    <m/>
    <m/>
    <m/>
    <m/>
    <m/>
    <m/>
    <m/>
    <m/>
    <m/>
    <m/>
    <m/>
    <m/>
    <m/>
    <m/>
    <m/>
    <m/>
    <m/>
  </r>
  <r>
    <m/>
    <x v="271"/>
    <x v="2"/>
    <s v="IH、ﾚﾝｼﾞﾌｰﾄﾞ、ｦｰﾙﾋｰﾄ、専用回路"/>
    <x v="17"/>
    <x v="283"/>
    <x v="319"/>
    <n v="0.1762898192589777"/>
    <n v="260000"/>
    <m/>
    <m/>
    <m/>
    <m/>
    <m/>
    <m/>
    <m/>
    <m/>
    <m/>
    <m/>
    <m/>
    <m/>
    <m/>
    <m/>
    <m/>
    <m/>
    <m/>
    <n v="78000"/>
    <n v="47000"/>
    <m/>
    <m/>
    <m/>
    <m/>
    <n v="135000"/>
    <m/>
    <m/>
    <m/>
    <m/>
    <m/>
    <m/>
    <m/>
    <m/>
    <m/>
    <m/>
    <m/>
    <m/>
    <m/>
    <m/>
    <m/>
    <m/>
    <m/>
    <m/>
    <m/>
    <m/>
    <m/>
    <m/>
    <m/>
    <m/>
  </r>
  <r>
    <m/>
    <x v="272"/>
    <x v="2"/>
    <s v="IH交換"/>
    <x v="17"/>
    <x v="284"/>
    <x v="273"/>
    <n v="0"/>
    <n v="18000"/>
    <m/>
    <m/>
    <m/>
    <m/>
    <m/>
    <m/>
    <m/>
    <m/>
    <m/>
    <m/>
    <m/>
    <m/>
    <m/>
    <m/>
    <m/>
    <m/>
    <m/>
    <n v="1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6"/>
    <x v="273"/>
    <x v="11"/>
    <s v="キッチン入替"/>
    <x v="18"/>
    <x v="285"/>
    <x v="320"/>
    <n v="0.2445903703703704"/>
    <n v="2039606"/>
    <m/>
    <m/>
    <m/>
    <m/>
    <m/>
    <m/>
    <m/>
    <m/>
    <m/>
    <m/>
    <m/>
    <m/>
    <m/>
    <n v="140000"/>
    <n v="21560"/>
    <m/>
    <m/>
    <n v="60000"/>
    <n v="65000"/>
    <m/>
    <m/>
    <m/>
    <m/>
    <n v="23000"/>
    <m/>
    <m/>
    <m/>
    <m/>
    <m/>
    <m/>
    <m/>
    <n v="1694046"/>
    <m/>
    <m/>
    <m/>
    <m/>
    <m/>
    <m/>
    <m/>
    <m/>
    <m/>
    <n v="36000"/>
    <m/>
    <m/>
    <m/>
    <m/>
    <m/>
    <m/>
  </r>
  <r>
    <m/>
    <x v="274"/>
    <x v="3"/>
    <s v="UB入替　大工工事　設備入替"/>
    <x v="18"/>
    <x v="286"/>
    <x v="321"/>
    <n v="0.2950762954739098"/>
    <n v="682560"/>
    <m/>
    <m/>
    <m/>
    <m/>
    <m/>
    <m/>
    <m/>
    <m/>
    <m/>
    <m/>
    <m/>
    <m/>
    <m/>
    <n v="100000"/>
    <n v="33560"/>
    <m/>
    <m/>
    <n v="99000"/>
    <n v="120000"/>
    <m/>
    <m/>
    <m/>
    <m/>
    <n v="250000"/>
    <m/>
    <n v="25000"/>
    <m/>
    <m/>
    <m/>
    <m/>
    <m/>
    <m/>
    <m/>
    <m/>
    <m/>
    <m/>
    <m/>
    <n v="55000"/>
    <m/>
    <m/>
    <m/>
    <m/>
    <m/>
    <m/>
    <m/>
    <m/>
    <m/>
    <m/>
  </r>
  <r>
    <m/>
    <x v="275"/>
    <x v="4"/>
    <s v="塗装"/>
    <x v="18"/>
    <x v="287"/>
    <x v="322"/>
    <n v="0.0484944262295082"/>
    <n v="2902092"/>
    <m/>
    <m/>
    <m/>
    <m/>
    <m/>
    <m/>
    <m/>
    <m/>
    <n v="100000"/>
    <m/>
    <m/>
    <n v="106500"/>
    <n v="26955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76"/>
    <x v="1"/>
    <s v="リノベーション"/>
    <x v="18"/>
    <x v="288"/>
    <x v="323"/>
    <n v="0.268301013447671"/>
    <n v="1501739"/>
    <m/>
    <m/>
    <m/>
    <m/>
    <m/>
    <m/>
    <m/>
    <m/>
    <m/>
    <m/>
    <m/>
    <m/>
    <m/>
    <n v="500000"/>
    <n v="92354"/>
    <m/>
    <m/>
    <n v="85000"/>
    <n v="135000"/>
    <m/>
    <m/>
    <m/>
    <m/>
    <n v="378900"/>
    <m/>
    <m/>
    <m/>
    <m/>
    <m/>
    <m/>
    <m/>
    <m/>
    <m/>
    <m/>
    <n v="63485"/>
    <m/>
    <m/>
    <m/>
    <m/>
    <m/>
    <m/>
    <m/>
    <m/>
    <m/>
    <m/>
    <m/>
    <m/>
    <n v="247000"/>
  </r>
  <r>
    <m/>
    <x v="277"/>
    <x v="1"/>
    <s v="リフォーム　キッチン UB入替"/>
    <x v="18"/>
    <x v="231"/>
    <x v="324"/>
    <n v="0.2631843575418994"/>
    <n v="1318900"/>
    <m/>
    <m/>
    <m/>
    <m/>
    <m/>
    <m/>
    <m/>
    <m/>
    <m/>
    <m/>
    <m/>
    <m/>
    <m/>
    <n v="60000"/>
    <m/>
    <m/>
    <m/>
    <m/>
    <m/>
    <m/>
    <m/>
    <m/>
    <m/>
    <n v="143400"/>
    <m/>
    <m/>
    <m/>
    <m/>
    <m/>
    <m/>
    <n v="136840"/>
    <m/>
    <m/>
    <m/>
    <n v="938660"/>
    <m/>
    <m/>
    <m/>
    <m/>
    <n v="40000"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7"/>
    <x v="278"/>
    <x v="3"/>
    <s v="床排水工事+内装工事"/>
    <x v="19"/>
    <x v="289"/>
    <x v="325"/>
    <n v="0.5969280423280423"/>
    <n v="761806"/>
    <m/>
    <m/>
    <m/>
    <m/>
    <m/>
    <m/>
    <m/>
    <m/>
    <m/>
    <m/>
    <m/>
    <m/>
    <m/>
    <n v="298000"/>
    <n v="87046"/>
    <m/>
    <m/>
    <m/>
    <n v="170000"/>
    <m/>
    <m/>
    <m/>
    <m/>
    <n v="180000"/>
    <m/>
    <m/>
    <m/>
    <m/>
    <m/>
    <m/>
    <m/>
    <m/>
    <m/>
    <m/>
    <m/>
    <m/>
    <m/>
    <m/>
    <m/>
    <m/>
    <m/>
    <m/>
    <m/>
    <m/>
    <m/>
    <m/>
    <m/>
    <n v="26760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8"/>
    <x v="279"/>
    <x v="0"/>
    <s v="新築工事"/>
    <x v="21"/>
    <x v="290"/>
    <x v="326"/>
    <n v="-0.1510312452358668"/>
    <n v="13544896"/>
    <m/>
    <m/>
    <m/>
    <m/>
    <m/>
    <m/>
    <m/>
    <m/>
    <m/>
    <m/>
    <m/>
    <m/>
    <m/>
    <n v="386276"/>
    <m/>
    <n v="72050"/>
    <m/>
    <n v="719400"/>
    <n v="350000"/>
    <m/>
    <m/>
    <n v="430000"/>
    <m/>
    <n v="165600"/>
    <m/>
    <m/>
    <m/>
    <m/>
    <m/>
    <n v="171600"/>
    <m/>
    <n v="12470"/>
    <m/>
    <n v="303600"/>
    <m/>
    <m/>
    <m/>
    <m/>
    <m/>
    <m/>
    <m/>
    <m/>
    <m/>
    <n v="100000"/>
    <m/>
    <m/>
    <m/>
    <n v="10833900"/>
  </r>
  <r>
    <m/>
    <x v="280"/>
    <x v="3"/>
    <s v="浴室・洗面改修"/>
    <x v="22"/>
    <x v="291"/>
    <x v="327"/>
    <n v="0.2986950495049505"/>
    <n v="708318"/>
    <m/>
    <m/>
    <m/>
    <m/>
    <m/>
    <m/>
    <m/>
    <m/>
    <m/>
    <m/>
    <m/>
    <m/>
    <m/>
    <n v="300000"/>
    <n v="28318"/>
    <m/>
    <m/>
    <m/>
    <n v="80000"/>
    <m/>
    <n v="260000"/>
    <m/>
    <m/>
    <n v="40000"/>
    <m/>
    <m/>
    <m/>
    <m/>
    <m/>
    <m/>
    <m/>
    <m/>
    <m/>
    <m/>
    <m/>
    <m/>
    <m/>
    <m/>
    <m/>
    <m/>
    <m/>
    <m/>
    <m/>
    <m/>
    <m/>
    <m/>
    <m/>
    <m/>
  </r>
  <r>
    <m/>
    <x v="281"/>
    <x v="23"/>
    <s v="漏水　内装"/>
    <x v="22"/>
    <x v="292"/>
    <x v="328"/>
    <n v="0.34915"/>
    <n v="364476"/>
    <m/>
    <m/>
    <m/>
    <m/>
    <m/>
    <m/>
    <m/>
    <m/>
    <m/>
    <m/>
    <m/>
    <m/>
    <m/>
    <n v="85000"/>
    <m/>
    <m/>
    <m/>
    <m/>
    <m/>
    <m/>
    <m/>
    <m/>
    <m/>
    <n v="238000"/>
    <m/>
    <m/>
    <m/>
    <m/>
    <m/>
    <m/>
    <m/>
    <n v="41476"/>
    <m/>
    <m/>
    <m/>
    <m/>
    <m/>
    <m/>
    <m/>
    <m/>
    <m/>
    <m/>
    <m/>
    <m/>
    <m/>
    <m/>
    <m/>
    <m/>
  </r>
  <r>
    <m/>
    <x v="22"/>
    <x v="0"/>
    <m/>
    <x v="12"/>
    <x v="5"/>
    <x v="102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9"/>
    <x v="253"/>
    <x v="2"/>
    <s v="ｼｬﾜｰﾄｲﾚ取付け"/>
    <x v="23"/>
    <x v="293"/>
    <x v="17"/>
    <n v="0.25"/>
    <n v="45000"/>
    <m/>
    <m/>
    <m/>
    <m/>
    <m/>
    <m/>
    <m/>
    <m/>
    <m/>
    <m/>
    <m/>
    <m/>
    <m/>
    <m/>
    <m/>
    <m/>
    <m/>
    <n v="20000"/>
    <n v="2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2"/>
    <x v="2"/>
    <s v="軒天張替外壁補修"/>
    <x v="23"/>
    <x v="294"/>
    <x v="329"/>
    <n v="0.2169062658825238"/>
    <n v="215711"/>
    <m/>
    <m/>
    <m/>
    <m/>
    <m/>
    <m/>
    <m/>
    <m/>
    <m/>
    <m/>
    <m/>
    <m/>
    <m/>
    <n v="180000"/>
    <n v="18076"/>
    <m/>
    <m/>
    <m/>
    <m/>
    <m/>
    <m/>
    <m/>
    <m/>
    <m/>
    <m/>
    <m/>
    <m/>
    <m/>
    <m/>
    <m/>
    <n v="17635"/>
    <m/>
    <m/>
    <m/>
    <m/>
    <m/>
    <m/>
    <m/>
    <m/>
    <m/>
    <m/>
    <m/>
    <m/>
    <m/>
    <m/>
    <m/>
    <m/>
    <m/>
  </r>
  <r>
    <m/>
    <x v="205"/>
    <x v="3"/>
    <s v="ｷｯﾁﾝ交換工事"/>
    <x v="23"/>
    <x v="295"/>
    <x v="330"/>
    <n v="0.2263119851272258"/>
    <n v="550168"/>
    <m/>
    <m/>
    <m/>
    <m/>
    <m/>
    <m/>
    <m/>
    <m/>
    <m/>
    <m/>
    <m/>
    <m/>
    <m/>
    <n v="180000"/>
    <n v="24168"/>
    <m/>
    <m/>
    <n v="100000"/>
    <n v="85000"/>
    <m/>
    <n v="70000"/>
    <m/>
    <m/>
    <n v="91000"/>
    <m/>
    <m/>
    <m/>
    <m/>
    <m/>
    <m/>
    <m/>
    <m/>
    <m/>
    <m/>
    <m/>
    <m/>
    <m/>
    <m/>
    <m/>
    <m/>
    <m/>
    <m/>
    <m/>
    <m/>
    <m/>
    <m/>
    <m/>
    <m/>
  </r>
  <r>
    <m/>
    <x v="283"/>
    <x v="14"/>
    <s v="テナント・共有部改修"/>
    <x v="23"/>
    <x v="296"/>
    <x v="331"/>
    <n v="0.4517375"/>
    <n v="350888"/>
    <m/>
    <m/>
    <m/>
    <m/>
    <m/>
    <m/>
    <m/>
    <m/>
    <m/>
    <m/>
    <m/>
    <m/>
    <m/>
    <n v="25000"/>
    <n v="7418"/>
    <m/>
    <m/>
    <n v="65000"/>
    <n v="13000"/>
    <m/>
    <m/>
    <m/>
    <m/>
    <n v="183700"/>
    <m/>
    <n v="25000"/>
    <m/>
    <m/>
    <m/>
    <m/>
    <m/>
    <m/>
    <m/>
    <m/>
    <m/>
    <m/>
    <m/>
    <m/>
    <m/>
    <m/>
    <m/>
    <m/>
    <m/>
    <m/>
    <m/>
    <m/>
    <m/>
    <n v="31770"/>
  </r>
  <r>
    <m/>
    <x v="198"/>
    <x v="24"/>
    <s v="スペーサー取付け"/>
    <x v="23"/>
    <x v="297"/>
    <x v="332"/>
    <n v="0.2273170731707317"/>
    <n v="95040"/>
    <m/>
    <m/>
    <m/>
    <m/>
    <m/>
    <m/>
    <m/>
    <m/>
    <m/>
    <m/>
    <m/>
    <m/>
    <m/>
    <m/>
    <m/>
    <m/>
    <m/>
    <m/>
    <m/>
    <m/>
    <n v="9504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4"/>
    <x v="11"/>
    <s v="高山さん妻実家塗装"/>
    <x v="23"/>
    <x v="298"/>
    <x v="333"/>
    <n v="0.2662992125984252"/>
    <n v="1863600"/>
    <n v="290000"/>
    <m/>
    <m/>
    <n v="160800"/>
    <m/>
    <n v="912800"/>
    <m/>
    <m/>
    <m/>
    <m/>
    <m/>
    <n v="358000"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7000"/>
  </r>
  <r>
    <m/>
    <x v="285"/>
    <x v="1"/>
    <s v="鉄骨補修工事"/>
    <x v="23"/>
    <x v="299"/>
    <x v="334"/>
    <n v="0.4911504424778761"/>
    <n v="115000"/>
    <m/>
    <m/>
    <m/>
    <m/>
    <m/>
    <n v="50000"/>
    <m/>
    <m/>
    <n v="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000"/>
  </r>
  <r>
    <m/>
    <x v="286"/>
    <x v="11"/>
    <s v="リフォーム工事"/>
    <x v="23"/>
    <x v="300"/>
    <x v="335"/>
    <n v="0.2156659090909091"/>
    <n v="1725535"/>
    <m/>
    <m/>
    <m/>
    <m/>
    <m/>
    <n v="80000"/>
    <m/>
    <m/>
    <m/>
    <m/>
    <m/>
    <m/>
    <m/>
    <n v="265000"/>
    <n v="38865"/>
    <m/>
    <m/>
    <n v="15000"/>
    <m/>
    <m/>
    <n v="771220"/>
    <m/>
    <m/>
    <n v="270000"/>
    <m/>
    <m/>
    <n v="60000"/>
    <m/>
    <m/>
    <m/>
    <n v="155450"/>
    <m/>
    <m/>
    <m/>
    <m/>
    <m/>
    <m/>
    <m/>
    <m/>
    <m/>
    <m/>
    <m/>
    <m/>
    <m/>
    <m/>
    <m/>
    <m/>
    <n v="70000"/>
  </r>
  <r>
    <m/>
    <x v="286"/>
    <x v="11"/>
    <s v="塗装工事"/>
    <x v="23"/>
    <x v="301"/>
    <x v="336"/>
    <n v="0.1684671532846715"/>
    <n v="1139200"/>
    <n v="120000"/>
    <m/>
    <m/>
    <m/>
    <m/>
    <n v="600000"/>
    <m/>
    <m/>
    <n v="60000"/>
    <m/>
    <m/>
    <n v="329200"/>
    <m/>
    <m/>
    <m/>
    <m/>
    <m/>
    <m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</r>
  <r>
    <m/>
    <x v="287"/>
    <x v="11"/>
    <s v="塗装"/>
    <x v="0"/>
    <x v="302"/>
    <x v="337"/>
    <n v="0.253625"/>
    <n v="1194200"/>
    <n v="130000"/>
    <m/>
    <m/>
    <m/>
    <m/>
    <n v="600000"/>
    <m/>
    <m/>
    <n v="180000"/>
    <m/>
    <m/>
    <n v="45400"/>
    <m/>
    <n v="20000"/>
    <m/>
    <m/>
    <m/>
    <n v="167000"/>
    <m/>
    <m/>
    <n v="40000"/>
    <m/>
    <m/>
    <m/>
    <m/>
    <m/>
    <m/>
    <m/>
    <m/>
    <m/>
    <n v="11800"/>
    <m/>
    <m/>
    <m/>
    <m/>
    <m/>
    <m/>
    <m/>
    <m/>
    <m/>
    <m/>
    <m/>
    <m/>
    <m/>
    <m/>
    <m/>
    <m/>
    <m/>
  </r>
  <r>
    <m/>
    <x v="288"/>
    <x v="2"/>
    <s v="積水RF K　UB　WC　洗面交換"/>
    <x v="0"/>
    <x v="303"/>
    <x v="338"/>
    <n v="0.05031938775510204"/>
    <n v="930687"/>
    <m/>
    <m/>
    <m/>
    <m/>
    <m/>
    <n v="15000"/>
    <m/>
    <m/>
    <m/>
    <m/>
    <m/>
    <m/>
    <m/>
    <n v="230000"/>
    <n v="46777"/>
    <m/>
    <m/>
    <n v="160000"/>
    <n v="334000"/>
    <n v="20300"/>
    <m/>
    <m/>
    <m/>
    <n v="80000"/>
    <m/>
    <m/>
    <m/>
    <m/>
    <m/>
    <m/>
    <n v="12610"/>
    <m/>
    <m/>
    <m/>
    <m/>
    <m/>
    <m/>
    <m/>
    <m/>
    <n v="32000"/>
    <m/>
    <m/>
    <m/>
    <m/>
    <m/>
    <m/>
    <m/>
    <m/>
  </r>
  <r>
    <m/>
    <x v="289"/>
    <x v="4"/>
    <s v="塗装"/>
    <x v="0"/>
    <x v="287"/>
    <x v="339"/>
    <n v="0.5846557377049181"/>
    <n v="1266800"/>
    <m/>
    <m/>
    <m/>
    <m/>
    <m/>
    <n v="1000000"/>
    <m/>
    <m/>
    <n v="100000"/>
    <m/>
    <m/>
    <n v="166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0"/>
    <x v="3"/>
    <s v="ｷｯﾁﾝ・洗面・UB・便器"/>
    <x v="23"/>
    <x v="304"/>
    <x v="340"/>
    <n v="-0.1311793500107067"/>
    <n v="602215"/>
    <m/>
    <m/>
    <m/>
    <m/>
    <m/>
    <m/>
    <m/>
    <m/>
    <m/>
    <m/>
    <m/>
    <m/>
    <m/>
    <n v="180000"/>
    <n v="25515"/>
    <m/>
    <m/>
    <n v="80000"/>
    <n v="302000"/>
    <n v="14700"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1"/>
    <x v="3"/>
    <s v="洗面床張替"/>
    <x v="23"/>
    <x v="305"/>
    <x v="341"/>
    <n v="0.5104895104895105"/>
    <n v="70000"/>
    <m/>
    <m/>
    <m/>
    <m/>
    <m/>
    <m/>
    <m/>
    <m/>
    <m/>
    <m/>
    <m/>
    <m/>
    <m/>
    <n v="50000"/>
    <m/>
    <m/>
    <m/>
    <m/>
    <n v="2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2"/>
    <x v="25"/>
    <s v="ダクト工事（１期）"/>
    <x v="23"/>
    <x v="306"/>
    <x v="342"/>
    <n v="0.1842105263157895"/>
    <n v="1550000"/>
    <m/>
    <m/>
    <m/>
    <m/>
    <m/>
    <m/>
    <m/>
    <m/>
    <m/>
    <m/>
    <m/>
    <m/>
    <m/>
    <m/>
    <m/>
    <m/>
    <m/>
    <m/>
    <m/>
    <m/>
    <m/>
    <n v="1550000"/>
    <m/>
    <m/>
    <m/>
    <m/>
    <m/>
    <m/>
    <m/>
    <m/>
    <m/>
    <m/>
    <m/>
    <m/>
    <m/>
    <m/>
    <m/>
    <m/>
    <m/>
    <m/>
    <m/>
    <m/>
    <m/>
    <m/>
    <m/>
    <m/>
    <m/>
    <m/>
  </r>
  <r>
    <m/>
    <x v="292"/>
    <x v="25"/>
    <s v="ダクト工事（2期）"/>
    <x v="23"/>
    <x v="307"/>
    <x v="343"/>
    <n v="0.2105263157894737"/>
    <n v="150000"/>
    <m/>
    <m/>
    <m/>
    <m/>
    <m/>
    <m/>
    <m/>
    <m/>
    <m/>
    <m/>
    <m/>
    <m/>
    <m/>
    <m/>
    <m/>
    <m/>
    <m/>
    <m/>
    <m/>
    <m/>
    <m/>
    <n v="150000"/>
    <m/>
    <m/>
    <m/>
    <m/>
    <m/>
    <m/>
    <m/>
    <m/>
    <m/>
    <m/>
    <m/>
    <m/>
    <m/>
    <m/>
    <m/>
    <m/>
    <m/>
    <m/>
    <m/>
    <m/>
    <m/>
    <m/>
    <m/>
    <m/>
    <m/>
    <m/>
  </r>
  <r>
    <m/>
    <x v="293"/>
    <x v="0"/>
    <m/>
    <x v="23"/>
    <x v="160"/>
    <x v="344"/>
    <n v="0.3343195266272189"/>
    <n v="225000"/>
    <n v="65000"/>
    <m/>
    <m/>
    <m/>
    <m/>
    <m/>
    <m/>
    <m/>
    <m/>
    <m/>
    <m/>
    <m/>
    <m/>
    <n v="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"/>
  </r>
  <r>
    <m/>
    <x v="294"/>
    <x v="3"/>
    <s v="トイレ改修"/>
    <x v="0"/>
    <x v="308"/>
    <x v="345"/>
    <n v="0.1129032258064516"/>
    <n v="110000"/>
    <m/>
    <m/>
    <m/>
    <m/>
    <m/>
    <m/>
    <m/>
    <m/>
    <m/>
    <m/>
    <m/>
    <m/>
    <m/>
    <n v="45000"/>
    <m/>
    <m/>
    <m/>
    <m/>
    <n v="35000"/>
    <m/>
    <m/>
    <m/>
    <m/>
    <n v="30000"/>
    <m/>
    <m/>
    <m/>
    <m/>
    <m/>
    <m/>
    <m/>
    <m/>
    <m/>
    <m/>
    <m/>
    <m/>
    <m/>
    <m/>
    <m/>
    <m/>
    <m/>
    <m/>
    <m/>
    <m/>
    <m/>
    <m/>
    <m/>
    <m/>
  </r>
  <r>
    <m/>
    <x v="295"/>
    <x v="11"/>
    <s v="和室改修工事"/>
    <x v="0"/>
    <x v="309"/>
    <x v="346"/>
    <n v="0.4865142857142857"/>
    <n v="539160"/>
    <m/>
    <m/>
    <m/>
    <m/>
    <m/>
    <n v="30000"/>
    <m/>
    <m/>
    <m/>
    <m/>
    <m/>
    <m/>
    <m/>
    <n v="300000"/>
    <n v="29160"/>
    <m/>
    <m/>
    <n v="48000"/>
    <m/>
    <m/>
    <m/>
    <m/>
    <m/>
    <n v="67000"/>
    <m/>
    <m/>
    <m/>
    <m/>
    <m/>
    <m/>
    <m/>
    <m/>
    <m/>
    <m/>
    <m/>
    <m/>
    <m/>
    <m/>
    <m/>
    <m/>
    <m/>
    <n v="65000"/>
    <m/>
    <m/>
    <m/>
    <m/>
    <m/>
    <m/>
  </r>
  <r>
    <m/>
    <x v="296"/>
    <x v="11"/>
    <s v="コイン新築工事"/>
    <x v="14"/>
    <x v="310"/>
    <x v="347"/>
    <n v="0.09689925000000001"/>
    <n v="3612403"/>
    <m/>
    <m/>
    <m/>
    <m/>
    <m/>
    <n v="120000"/>
    <m/>
    <m/>
    <m/>
    <m/>
    <m/>
    <n v="185000"/>
    <m/>
    <n v="150000"/>
    <n v="121185"/>
    <m/>
    <m/>
    <n v="650000"/>
    <n v="544000"/>
    <m/>
    <n v="220000"/>
    <n v="1000000"/>
    <m/>
    <n v="60000"/>
    <m/>
    <n v="25000"/>
    <m/>
    <m/>
    <m/>
    <n v="19500"/>
    <m/>
    <n v="210630"/>
    <m/>
    <n v="154650"/>
    <m/>
    <m/>
    <m/>
    <m/>
    <m/>
    <m/>
    <m/>
    <m/>
    <m/>
    <m/>
    <m/>
    <m/>
    <m/>
    <n v="152438"/>
  </r>
  <r>
    <m/>
    <x v="297"/>
    <x v="3"/>
    <s v="UB入替"/>
    <x v="14"/>
    <x v="311"/>
    <x v="348"/>
    <n v="0.1922103677185482"/>
    <n v="250914"/>
    <m/>
    <m/>
    <m/>
    <m/>
    <m/>
    <m/>
    <m/>
    <m/>
    <m/>
    <m/>
    <m/>
    <m/>
    <m/>
    <n v="80000"/>
    <n v="15914"/>
    <m/>
    <m/>
    <n v="35000"/>
    <n v="85000"/>
    <m/>
    <m/>
    <m/>
    <m/>
    <n v="35000"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10"/>
    <x v="298"/>
    <x v="2"/>
    <s v="換気扇工事"/>
    <x v="13"/>
    <x v="312"/>
    <x v="343"/>
    <n v="0.1142857142857143"/>
    <n v="310000"/>
    <m/>
    <m/>
    <m/>
    <m/>
    <m/>
    <m/>
    <m/>
    <m/>
    <m/>
    <m/>
    <m/>
    <m/>
    <m/>
    <m/>
    <m/>
    <m/>
    <m/>
    <n v="75000"/>
    <n v="23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11"/>
    <x v="299"/>
    <x v="1"/>
    <s v="鼻隠し修繕"/>
    <x v="14"/>
    <x v="313"/>
    <x v="349"/>
    <n v="0.3150567164179104"/>
    <n v="229456"/>
    <n v="70000"/>
    <m/>
    <m/>
    <m/>
    <m/>
    <n v="40000"/>
    <m/>
    <m/>
    <m/>
    <m/>
    <m/>
    <m/>
    <m/>
    <n v="100000"/>
    <n v="194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00"/>
    <x v="1"/>
    <s v="リノベーション"/>
    <x v="14"/>
    <x v="314"/>
    <x v="350"/>
    <n v="0.4103479020979021"/>
    <n v="1011843"/>
    <m/>
    <m/>
    <m/>
    <m/>
    <m/>
    <m/>
    <m/>
    <m/>
    <m/>
    <m/>
    <m/>
    <m/>
    <m/>
    <n v="400000"/>
    <n v="94883"/>
    <m/>
    <m/>
    <n v="80800"/>
    <n v="43000"/>
    <m/>
    <m/>
    <m/>
    <m/>
    <n v="311440"/>
    <m/>
    <m/>
    <m/>
    <m/>
    <m/>
    <m/>
    <m/>
    <n v="81720"/>
    <m/>
    <m/>
    <m/>
    <m/>
    <m/>
    <m/>
    <m/>
    <m/>
    <m/>
    <m/>
    <m/>
    <m/>
    <m/>
    <m/>
    <m/>
    <m/>
  </r>
  <r>
    <m/>
    <x v="301"/>
    <x v="26"/>
    <s v="フローリング工事"/>
    <x v="14"/>
    <x v="256"/>
    <x v="351"/>
    <n v="0.247771875"/>
    <n v="240713"/>
    <m/>
    <m/>
    <m/>
    <m/>
    <m/>
    <m/>
    <m/>
    <m/>
    <m/>
    <m/>
    <m/>
    <m/>
    <m/>
    <n v="120000"/>
    <n v="48963"/>
    <m/>
    <m/>
    <m/>
    <m/>
    <m/>
    <m/>
    <m/>
    <m/>
    <m/>
    <m/>
    <m/>
    <m/>
    <m/>
    <m/>
    <m/>
    <m/>
    <n v="71750"/>
    <m/>
    <m/>
    <m/>
    <m/>
    <m/>
    <m/>
    <m/>
    <m/>
    <m/>
    <m/>
    <m/>
    <m/>
    <m/>
    <m/>
    <m/>
    <m/>
  </r>
  <r>
    <m/>
    <x v="302"/>
    <x v="3"/>
    <s v="トイレ工事"/>
    <x v="14"/>
    <x v="315"/>
    <x v="352"/>
    <n v="0.3099482461184589"/>
    <n v="72000"/>
    <m/>
    <m/>
    <m/>
    <m/>
    <m/>
    <m/>
    <m/>
    <m/>
    <m/>
    <m/>
    <m/>
    <m/>
    <m/>
    <n v="25000"/>
    <m/>
    <m/>
    <m/>
    <m/>
    <n v="22000"/>
    <m/>
    <m/>
    <m/>
    <m/>
    <n v="25000"/>
    <m/>
    <m/>
    <m/>
    <m/>
    <m/>
    <m/>
    <m/>
    <m/>
    <m/>
    <m/>
    <m/>
    <m/>
    <m/>
    <m/>
    <m/>
    <m/>
    <m/>
    <m/>
    <m/>
    <m/>
    <m/>
    <m/>
    <m/>
    <m/>
  </r>
  <r>
    <m/>
    <x v="303"/>
    <x v="3"/>
    <s v="内装"/>
    <x v="14"/>
    <x v="316"/>
    <x v="73"/>
    <n v="0.5813953488372093"/>
    <n v="90000"/>
    <m/>
    <m/>
    <m/>
    <m/>
    <m/>
    <m/>
    <m/>
    <m/>
    <m/>
    <m/>
    <m/>
    <m/>
    <m/>
    <m/>
    <m/>
    <m/>
    <m/>
    <m/>
    <m/>
    <m/>
    <m/>
    <m/>
    <m/>
    <n v="90000"/>
    <m/>
    <m/>
    <m/>
    <m/>
    <m/>
    <m/>
    <m/>
    <m/>
    <m/>
    <m/>
    <m/>
    <m/>
    <m/>
    <m/>
    <m/>
    <m/>
    <m/>
    <m/>
    <m/>
    <m/>
    <m/>
    <m/>
    <m/>
    <m/>
  </r>
  <r>
    <m/>
    <x v="304"/>
    <x v="3"/>
    <s v="内装"/>
    <x v="14"/>
    <x v="5"/>
    <x v="353"/>
    <e v="#DIV/0!"/>
    <n v="43000"/>
    <m/>
    <m/>
    <m/>
    <m/>
    <m/>
    <m/>
    <m/>
    <m/>
    <m/>
    <m/>
    <m/>
    <m/>
    <m/>
    <n v="25000"/>
    <m/>
    <m/>
    <m/>
    <m/>
    <m/>
    <m/>
    <m/>
    <m/>
    <m/>
    <n v="18000"/>
    <m/>
    <m/>
    <m/>
    <m/>
    <m/>
    <m/>
    <m/>
    <m/>
    <m/>
    <m/>
    <m/>
    <m/>
    <m/>
    <m/>
    <m/>
    <m/>
    <m/>
    <m/>
    <m/>
    <m/>
    <m/>
    <m/>
    <m/>
    <m/>
  </r>
  <r>
    <m/>
    <x v="305"/>
    <x v="27"/>
    <s v="TV壁掛け"/>
    <x v="14"/>
    <x v="317"/>
    <x v="125"/>
    <n v="0.3793103448275862"/>
    <n v="90000"/>
    <m/>
    <m/>
    <m/>
    <m/>
    <m/>
    <m/>
    <m/>
    <m/>
    <m/>
    <m/>
    <m/>
    <m/>
    <m/>
    <n v="35000"/>
    <m/>
    <m/>
    <m/>
    <n v="35000"/>
    <m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306"/>
    <x v="3"/>
    <s v="塗装"/>
    <x v="15"/>
    <x v="318"/>
    <x v="354"/>
    <n v="0.2602083333333333"/>
    <n v="1065300"/>
    <n v="120000"/>
    <m/>
    <m/>
    <m/>
    <m/>
    <n v="600000"/>
    <m/>
    <m/>
    <n v="95000"/>
    <m/>
    <m/>
    <n v="220300"/>
    <m/>
    <m/>
    <m/>
    <m/>
    <m/>
    <m/>
    <m/>
    <m/>
    <m/>
    <m/>
    <m/>
    <m/>
    <m/>
    <n v="30000"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5.12"/>
    <x v="307"/>
    <x v="28"/>
    <s v="コイン改修"/>
    <x v="15"/>
    <x v="319"/>
    <x v="355"/>
    <n v="0.09341463414634146"/>
    <n v="743400"/>
    <m/>
    <m/>
    <m/>
    <m/>
    <m/>
    <m/>
    <m/>
    <m/>
    <m/>
    <m/>
    <m/>
    <m/>
    <m/>
    <n v="100000"/>
    <n v="35000"/>
    <m/>
    <m/>
    <n v="90000"/>
    <m/>
    <m/>
    <m/>
    <m/>
    <m/>
    <n v="317500"/>
    <m/>
    <n v="40000"/>
    <m/>
    <m/>
    <m/>
    <n v="160900"/>
    <m/>
    <m/>
    <m/>
    <m/>
    <m/>
    <m/>
    <m/>
    <m/>
    <m/>
    <m/>
    <m/>
    <m/>
    <m/>
    <m/>
    <m/>
    <m/>
    <m/>
    <m/>
  </r>
  <r>
    <m/>
    <x v="308"/>
    <x v="2"/>
    <s v="UB入替"/>
    <x v="15"/>
    <x v="320"/>
    <x v="356"/>
    <n v="0.3869414141414141"/>
    <n v="303464"/>
    <m/>
    <m/>
    <m/>
    <m/>
    <m/>
    <m/>
    <m/>
    <m/>
    <m/>
    <m/>
    <m/>
    <m/>
    <m/>
    <n v="80000"/>
    <n v="23464"/>
    <m/>
    <m/>
    <n v="47000"/>
    <n v="135000"/>
    <m/>
    <m/>
    <m/>
    <m/>
    <n v="18000"/>
    <m/>
    <m/>
    <m/>
    <m/>
    <m/>
    <m/>
    <m/>
    <m/>
    <m/>
    <m/>
    <m/>
    <m/>
    <m/>
    <m/>
    <m/>
    <m/>
    <m/>
    <m/>
    <m/>
    <m/>
    <m/>
    <m/>
    <m/>
    <m/>
  </r>
  <r>
    <m/>
    <x v="309"/>
    <x v="26"/>
    <s v="改修工事"/>
    <x v="15"/>
    <x v="321"/>
    <x v="357"/>
    <n v="0.1953881266490765"/>
    <n v="3049479"/>
    <m/>
    <m/>
    <m/>
    <m/>
    <m/>
    <m/>
    <m/>
    <m/>
    <m/>
    <m/>
    <m/>
    <m/>
    <m/>
    <n v="600000"/>
    <n v="217271"/>
    <m/>
    <m/>
    <n v="250000"/>
    <n v="942500"/>
    <m/>
    <m/>
    <m/>
    <m/>
    <n v="197500"/>
    <m/>
    <n v="80000"/>
    <m/>
    <m/>
    <m/>
    <m/>
    <m/>
    <n v="487208"/>
    <m/>
    <m/>
    <m/>
    <m/>
    <m/>
    <m/>
    <m/>
    <m/>
    <m/>
    <m/>
    <m/>
    <m/>
    <m/>
    <m/>
    <m/>
    <n v="275000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6.3"/>
    <x v="310"/>
    <x v="11"/>
    <s v="3部屋工事"/>
    <x v="15"/>
    <x v="289"/>
    <x v="358"/>
    <n v="0.3240746031746032"/>
    <n v="1277499"/>
    <m/>
    <m/>
    <m/>
    <m/>
    <m/>
    <n v="120000"/>
    <m/>
    <m/>
    <m/>
    <m/>
    <m/>
    <m/>
    <m/>
    <n v="150000"/>
    <n v="37917"/>
    <m/>
    <m/>
    <m/>
    <n v="96000"/>
    <m/>
    <n v="293680"/>
    <m/>
    <m/>
    <n v="363270"/>
    <m/>
    <n v="75000"/>
    <m/>
    <m/>
    <m/>
    <m/>
    <m/>
    <n v="141632"/>
    <m/>
    <m/>
    <m/>
    <m/>
    <m/>
    <m/>
    <m/>
    <m/>
    <m/>
    <m/>
    <m/>
    <m/>
    <m/>
    <m/>
    <m/>
    <m/>
  </r>
  <r>
    <m/>
    <x v="311"/>
    <x v="11"/>
    <m/>
    <x v="15"/>
    <x v="299"/>
    <x v="359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12"/>
    <x v="11"/>
    <s v="エコキュート交換"/>
    <x v="15"/>
    <x v="322"/>
    <x v="360"/>
    <n v="0.5179063360881543"/>
    <n v="175000"/>
    <m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n v="160000"/>
    <m/>
    <m/>
    <m/>
    <m/>
    <m/>
    <m/>
    <m/>
    <m/>
    <m/>
    <m/>
    <m/>
    <m/>
    <m/>
    <m/>
    <m/>
    <m/>
  </r>
  <r>
    <m/>
    <x v="313"/>
    <x v="11"/>
    <s v="便器交換"/>
    <x v="15"/>
    <x v="323"/>
    <x v="361"/>
    <n v="0.2938881118881119"/>
    <n v="201948"/>
    <m/>
    <m/>
    <m/>
    <m/>
    <m/>
    <m/>
    <m/>
    <m/>
    <m/>
    <m/>
    <m/>
    <m/>
    <m/>
    <m/>
    <m/>
    <m/>
    <m/>
    <m/>
    <n v="22000"/>
    <m/>
    <m/>
    <m/>
    <m/>
    <m/>
    <m/>
    <m/>
    <m/>
    <m/>
    <m/>
    <m/>
    <m/>
    <n v="165648"/>
    <m/>
    <m/>
    <m/>
    <m/>
    <m/>
    <m/>
    <m/>
    <m/>
    <m/>
    <m/>
    <m/>
    <m/>
    <m/>
    <m/>
    <m/>
    <n v="14300"/>
  </r>
  <r>
    <m/>
    <x v="253"/>
    <x v="11"/>
    <s v="天井ソーラトン張り"/>
    <x v="15"/>
    <x v="324"/>
    <x v="362"/>
    <n v="0.1972602739726027"/>
    <n v="117200"/>
    <m/>
    <m/>
    <m/>
    <m/>
    <m/>
    <m/>
    <m/>
    <m/>
    <m/>
    <m/>
    <m/>
    <m/>
    <m/>
    <n v="80000"/>
    <n v="9000"/>
    <m/>
    <m/>
    <m/>
    <m/>
    <m/>
    <m/>
    <m/>
    <m/>
    <m/>
    <m/>
    <m/>
    <m/>
    <m/>
    <m/>
    <m/>
    <n v="28200"/>
    <m/>
    <m/>
    <m/>
    <m/>
    <m/>
    <m/>
    <m/>
    <m/>
    <m/>
    <m/>
    <m/>
    <m/>
    <m/>
    <m/>
    <m/>
    <m/>
    <m/>
  </r>
  <r>
    <m/>
    <x v="298"/>
    <x v="2"/>
    <s v="防水・シーリング"/>
    <x v="16"/>
    <x v="325"/>
    <x v="363"/>
    <n v="0.2792798774259448"/>
    <n v="7055850"/>
    <n v="2550000"/>
    <n v="380000"/>
    <n v="144000"/>
    <m/>
    <m/>
    <n v="1800000"/>
    <m/>
    <m/>
    <n v="1560000"/>
    <m/>
    <m/>
    <n v="523350"/>
    <m/>
    <n v="30000"/>
    <m/>
    <m/>
    <m/>
    <m/>
    <m/>
    <m/>
    <m/>
    <m/>
    <m/>
    <m/>
    <m/>
    <m/>
    <m/>
    <m/>
    <m/>
    <n v="68500"/>
    <m/>
    <m/>
    <m/>
    <m/>
    <m/>
    <m/>
    <m/>
    <m/>
    <m/>
    <m/>
    <m/>
    <m/>
    <m/>
    <m/>
    <m/>
    <m/>
    <m/>
    <m/>
  </r>
  <r>
    <m/>
    <x v="314"/>
    <x v="11"/>
    <s v="リフォーム工事"/>
    <x v="16"/>
    <x v="326"/>
    <x v="364"/>
    <n v="0.3064825005502972"/>
    <n v="3150650"/>
    <m/>
    <m/>
    <m/>
    <m/>
    <m/>
    <m/>
    <m/>
    <m/>
    <m/>
    <m/>
    <m/>
    <m/>
    <m/>
    <n v="420000"/>
    <n v="37587"/>
    <m/>
    <m/>
    <n v="240000"/>
    <n v="328000"/>
    <m/>
    <m/>
    <m/>
    <m/>
    <n v="271630"/>
    <m/>
    <m/>
    <n v="28800"/>
    <m/>
    <m/>
    <m/>
    <m/>
    <n v="1758116"/>
    <m/>
    <n v="48400"/>
    <m/>
    <m/>
    <m/>
    <m/>
    <m/>
    <m/>
    <m/>
    <m/>
    <m/>
    <m/>
    <m/>
    <m/>
    <m/>
    <n v="18117"/>
  </r>
  <r>
    <m/>
    <x v="315"/>
    <x v="2"/>
    <s v="トイレ→シャワーユニット"/>
    <x v="16"/>
    <x v="327"/>
    <x v="365"/>
    <n v="0.3523064864864865"/>
    <n v="1198233"/>
    <m/>
    <m/>
    <m/>
    <m/>
    <m/>
    <m/>
    <m/>
    <m/>
    <m/>
    <m/>
    <m/>
    <m/>
    <m/>
    <n v="400000"/>
    <n v="57588"/>
    <m/>
    <m/>
    <n v="90000"/>
    <n v="433000"/>
    <m/>
    <m/>
    <m/>
    <m/>
    <n v="20000"/>
    <m/>
    <m/>
    <m/>
    <m/>
    <m/>
    <n v="109200"/>
    <m/>
    <n v="18445"/>
    <m/>
    <m/>
    <m/>
    <m/>
    <m/>
    <m/>
    <m/>
    <m/>
    <m/>
    <m/>
    <m/>
    <m/>
    <m/>
    <m/>
    <m/>
    <n v="70000"/>
  </r>
  <r>
    <m/>
    <x v="316"/>
    <x v="3"/>
    <s v="キッチン入替"/>
    <x v="16"/>
    <x v="328"/>
    <x v="366"/>
    <n v="-0.04137425149700599"/>
    <n v="695638"/>
    <m/>
    <m/>
    <m/>
    <m/>
    <m/>
    <m/>
    <m/>
    <m/>
    <m/>
    <m/>
    <m/>
    <m/>
    <m/>
    <n v="200000"/>
    <n v="28638"/>
    <m/>
    <m/>
    <n v="300000"/>
    <n v="87000"/>
    <m/>
    <m/>
    <m/>
    <m/>
    <n v="80000"/>
    <m/>
    <m/>
    <m/>
    <m/>
    <m/>
    <m/>
    <m/>
    <m/>
    <m/>
    <m/>
    <m/>
    <m/>
    <m/>
    <m/>
    <m/>
    <m/>
    <m/>
    <m/>
    <m/>
    <m/>
    <m/>
    <m/>
    <m/>
    <m/>
  </r>
  <r>
    <m/>
    <x v="317"/>
    <x v="11"/>
    <s v="塗装"/>
    <x v="17"/>
    <x v="10"/>
    <x v="367"/>
    <n v="0.6486075949367088"/>
    <n v="555200"/>
    <n v="140000"/>
    <m/>
    <m/>
    <m/>
    <m/>
    <n v="20000"/>
    <m/>
    <m/>
    <n v="55200"/>
    <m/>
    <m/>
    <n v="19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"/>
  </r>
  <r>
    <m/>
    <x v="318"/>
    <x v="11"/>
    <s v="五大保険工事"/>
    <x v="17"/>
    <x v="329"/>
    <x v="368"/>
    <n v="0.2389519230769231"/>
    <n v="395745"/>
    <m/>
    <m/>
    <m/>
    <m/>
    <m/>
    <n v="15000"/>
    <m/>
    <m/>
    <m/>
    <m/>
    <m/>
    <n v="3500"/>
    <m/>
    <m/>
    <m/>
    <m/>
    <m/>
    <n v="12000"/>
    <m/>
    <m/>
    <n v="356120"/>
    <m/>
    <m/>
    <m/>
    <m/>
    <m/>
    <m/>
    <m/>
    <m/>
    <m/>
    <m/>
    <m/>
    <m/>
    <m/>
    <m/>
    <m/>
    <m/>
    <m/>
    <m/>
    <m/>
    <m/>
    <m/>
    <m/>
    <m/>
    <m/>
    <m/>
    <m/>
    <n v="9125"/>
  </r>
  <r>
    <m/>
    <x v="319"/>
    <x v="11"/>
    <m/>
    <x v="17"/>
    <x v="330"/>
    <x v="369"/>
    <n v="0.4294398907103825"/>
    <n v="208825"/>
    <m/>
    <m/>
    <m/>
    <m/>
    <m/>
    <m/>
    <m/>
    <m/>
    <m/>
    <m/>
    <m/>
    <m/>
    <m/>
    <m/>
    <m/>
    <m/>
    <m/>
    <m/>
    <n v="110000"/>
    <m/>
    <m/>
    <m/>
    <m/>
    <m/>
    <m/>
    <m/>
    <m/>
    <m/>
    <m/>
    <m/>
    <m/>
    <m/>
    <m/>
    <m/>
    <m/>
    <m/>
    <m/>
    <m/>
    <m/>
    <m/>
    <m/>
    <m/>
    <m/>
    <m/>
    <m/>
    <m/>
    <m/>
    <n v="98825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6.5"/>
    <x v="320"/>
    <x v="3"/>
    <s v="UB入替"/>
    <x v="17"/>
    <x v="331"/>
    <x v="370"/>
    <n v="-0.01824240205053094"/>
    <n v="278082"/>
    <m/>
    <m/>
    <m/>
    <m/>
    <m/>
    <m/>
    <m/>
    <m/>
    <m/>
    <m/>
    <m/>
    <m/>
    <m/>
    <n v="80000"/>
    <n v="25082"/>
    <m/>
    <m/>
    <n v="45000"/>
    <n v="110000"/>
    <m/>
    <m/>
    <m/>
    <m/>
    <n v="18000"/>
    <m/>
    <m/>
    <m/>
    <m/>
    <m/>
    <m/>
    <m/>
    <m/>
    <m/>
    <m/>
    <m/>
    <m/>
    <m/>
    <m/>
    <m/>
    <m/>
    <m/>
    <m/>
    <m/>
    <m/>
    <m/>
    <m/>
    <m/>
    <m/>
  </r>
  <r>
    <m/>
    <x v="321"/>
    <x v="3"/>
    <s v="ガス→IH"/>
    <x v="17"/>
    <x v="332"/>
    <x v="371"/>
    <n v="0.538866930171278"/>
    <n v="35000"/>
    <m/>
    <m/>
    <m/>
    <m/>
    <m/>
    <m/>
    <m/>
    <m/>
    <m/>
    <m/>
    <m/>
    <m/>
    <m/>
    <m/>
    <m/>
    <m/>
    <m/>
    <n v="35000"/>
    <s v="-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22"/>
    <x v="3"/>
    <s v="便器交換"/>
    <x v="17"/>
    <x v="333"/>
    <x v="372"/>
    <n v="0.2432432432432433"/>
    <n v="63000"/>
    <m/>
    <m/>
    <m/>
    <m/>
    <m/>
    <m/>
    <m/>
    <m/>
    <m/>
    <m/>
    <m/>
    <m/>
    <m/>
    <n v="25000"/>
    <m/>
    <m/>
    <m/>
    <m/>
    <n v="20000"/>
    <m/>
    <m/>
    <m/>
    <m/>
    <n v="18000"/>
    <m/>
    <m/>
    <m/>
    <m/>
    <m/>
    <m/>
    <m/>
    <m/>
    <m/>
    <m/>
    <m/>
    <m/>
    <m/>
    <m/>
    <m/>
    <m/>
    <m/>
    <m/>
    <m/>
    <m/>
    <m/>
    <m/>
    <m/>
    <m/>
  </r>
  <r>
    <m/>
    <x v="323"/>
    <x v="3"/>
    <s v="現場不足分補填"/>
    <x v="28"/>
    <x v="334"/>
    <x v="373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6.7"/>
    <x v="324"/>
    <x v="3"/>
    <s v="UB入替"/>
    <x v="18"/>
    <x v="335"/>
    <x v="374"/>
    <n v="0.3248289199642964"/>
    <n v="226925"/>
    <m/>
    <m/>
    <m/>
    <m/>
    <m/>
    <m/>
    <m/>
    <m/>
    <m/>
    <m/>
    <m/>
    <m/>
    <m/>
    <n v="80000"/>
    <n v="1925"/>
    <m/>
    <m/>
    <n v="45000"/>
    <n v="80000"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325"/>
    <x v="3"/>
    <s v="インプラス下地工事"/>
    <x v="18"/>
    <x v="336"/>
    <x v="375"/>
    <n v="0.2949767441860465"/>
    <n v="60632"/>
    <m/>
    <m/>
    <m/>
    <m/>
    <m/>
    <m/>
    <m/>
    <m/>
    <m/>
    <m/>
    <m/>
    <m/>
    <m/>
    <n v="35000"/>
    <n v="5632"/>
    <m/>
    <m/>
    <m/>
    <m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326"/>
    <x v="11"/>
    <s v="床清掃　什器清掃"/>
    <x v="18"/>
    <x v="244"/>
    <x v="376"/>
    <n v="0.1259259259259259"/>
    <n v="236000"/>
    <m/>
    <m/>
    <m/>
    <m/>
    <m/>
    <m/>
    <m/>
    <m/>
    <m/>
    <m/>
    <n v="196000"/>
    <m/>
    <m/>
    <m/>
    <m/>
    <m/>
    <m/>
    <m/>
    <m/>
    <m/>
    <m/>
    <m/>
    <m/>
    <m/>
    <m/>
    <n v="40000"/>
    <m/>
    <m/>
    <m/>
    <m/>
    <m/>
    <m/>
    <m/>
    <m/>
    <m/>
    <m/>
    <m/>
    <m/>
    <m/>
    <m/>
    <m/>
    <m/>
    <m/>
    <m/>
    <m/>
    <m/>
    <m/>
    <m/>
  </r>
  <r>
    <m/>
    <x v="315"/>
    <x v="2"/>
    <s v="入口ドア交換"/>
    <x v="18"/>
    <x v="337"/>
    <x v="377"/>
    <n v="0.2403222222222222"/>
    <n v="273484"/>
    <m/>
    <m/>
    <m/>
    <m/>
    <m/>
    <m/>
    <m/>
    <m/>
    <m/>
    <m/>
    <m/>
    <m/>
    <m/>
    <m/>
    <m/>
    <m/>
    <m/>
    <m/>
    <m/>
    <m/>
    <n v="273484"/>
    <m/>
    <m/>
    <m/>
    <m/>
    <m/>
    <m/>
    <m/>
    <m/>
    <m/>
    <m/>
    <m/>
    <m/>
    <m/>
    <m/>
    <m/>
    <m/>
    <m/>
    <m/>
    <m/>
    <m/>
    <m/>
    <m/>
    <m/>
    <m/>
    <m/>
    <m/>
    <m/>
  </r>
  <r>
    <m/>
    <x v="327"/>
    <x v="29"/>
    <s v="リノベ"/>
    <x v="18"/>
    <x v="338"/>
    <x v="378"/>
    <n v="0.2771429602888086"/>
    <n v="2002314"/>
    <m/>
    <m/>
    <m/>
    <m/>
    <m/>
    <m/>
    <m/>
    <m/>
    <m/>
    <m/>
    <m/>
    <m/>
    <m/>
    <n v="500000"/>
    <n v="81199"/>
    <m/>
    <m/>
    <n v="120000"/>
    <n v="130000"/>
    <m/>
    <m/>
    <m/>
    <n v="355550"/>
    <m/>
    <m/>
    <m/>
    <m/>
    <m/>
    <m/>
    <m/>
    <m/>
    <n v="751565"/>
    <m/>
    <n v="44000"/>
    <m/>
    <m/>
    <m/>
    <m/>
    <n v="20000"/>
    <m/>
    <m/>
    <m/>
    <m/>
    <m/>
    <m/>
    <m/>
    <m/>
    <m/>
  </r>
  <r>
    <m/>
    <x v="328"/>
    <x v="11"/>
    <s v="便器交換"/>
    <x v="18"/>
    <x v="339"/>
    <x v="379"/>
    <n v="0.4478928571428571"/>
    <n v="154590"/>
    <m/>
    <m/>
    <m/>
    <m/>
    <m/>
    <m/>
    <m/>
    <m/>
    <m/>
    <m/>
    <m/>
    <m/>
    <m/>
    <m/>
    <m/>
    <m/>
    <m/>
    <m/>
    <n v="20000"/>
    <m/>
    <m/>
    <m/>
    <m/>
    <m/>
    <m/>
    <m/>
    <m/>
    <m/>
    <m/>
    <m/>
    <m/>
    <n v="134590"/>
    <m/>
    <m/>
    <m/>
    <m/>
    <m/>
    <m/>
    <m/>
    <m/>
    <m/>
    <m/>
    <m/>
    <m/>
    <m/>
    <m/>
    <m/>
    <m/>
  </r>
  <r>
    <m/>
    <x v="329"/>
    <x v="11"/>
    <s v="便器交換"/>
    <x v="18"/>
    <x v="340"/>
    <x v="380"/>
    <n v="0.540625"/>
    <n v="367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750"/>
    <m/>
    <m/>
    <m/>
    <m/>
    <m/>
    <m/>
    <m/>
    <m/>
    <m/>
    <m/>
    <m/>
    <m/>
    <m/>
    <m/>
    <m/>
    <m/>
  </r>
  <r>
    <m/>
    <x v="309"/>
    <x v="11"/>
    <s v="階段手摺取付け"/>
    <x v="18"/>
    <x v="341"/>
    <x v="381"/>
    <n v="0.3787757575757576"/>
    <n v="102502"/>
    <m/>
    <m/>
    <m/>
    <m/>
    <m/>
    <m/>
    <m/>
    <m/>
    <m/>
    <m/>
    <m/>
    <m/>
    <m/>
    <n v="60000"/>
    <n v="19610"/>
    <m/>
    <m/>
    <m/>
    <m/>
    <m/>
    <m/>
    <m/>
    <m/>
    <m/>
    <m/>
    <m/>
    <m/>
    <m/>
    <m/>
    <m/>
    <m/>
    <n v="22892"/>
    <m/>
    <m/>
    <m/>
    <m/>
    <m/>
    <m/>
    <m/>
    <m/>
    <m/>
    <m/>
    <m/>
    <m/>
    <m/>
    <m/>
    <m/>
    <m/>
  </r>
  <r>
    <m/>
    <x v="330"/>
    <x v="1"/>
    <s v="軒樋交換　屋根補修"/>
    <x v="18"/>
    <x v="342"/>
    <x v="382"/>
    <n v="0.3591182795698925"/>
    <n v="59602"/>
    <m/>
    <m/>
    <m/>
    <m/>
    <m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602"/>
  </r>
  <r>
    <m/>
    <x v="331"/>
    <x v="11"/>
    <s v="店舗新築工事"/>
    <x v="19"/>
    <x v="121"/>
    <x v="383"/>
    <n v="0.1321544303797468"/>
    <n v="2056794"/>
    <m/>
    <m/>
    <m/>
    <m/>
    <m/>
    <m/>
    <m/>
    <m/>
    <m/>
    <m/>
    <m/>
    <m/>
    <m/>
    <n v="500000"/>
    <n v="312794"/>
    <m/>
    <m/>
    <n v="550000"/>
    <n v="228000"/>
    <m/>
    <m/>
    <m/>
    <m/>
    <n v="358000"/>
    <m/>
    <m/>
    <m/>
    <m/>
    <m/>
    <n v="58000"/>
    <m/>
    <m/>
    <m/>
    <m/>
    <m/>
    <m/>
    <m/>
    <m/>
    <m/>
    <m/>
    <m/>
    <m/>
    <m/>
    <m/>
    <m/>
    <m/>
    <m/>
    <n v="50000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R6.8"/>
    <x v="276"/>
    <x v="1"/>
    <s v="リノベーション"/>
    <x v="19"/>
    <x v="46"/>
    <x v="384"/>
    <n v="0.1528752380952381"/>
    <n v="1778962"/>
    <m/>
    <m/>
    <m/>
    <m/>
    <m/>
    <m/>
    <m/>
    <m/>
    <m/>
    <m/>
    <m/>
    <m/>
    <m/>
    <n v="500000"/>
    <n v="118862"/>
    <m/>
    <m/>
    <n v="85000"/>
    <m/>
    <m/>
    <m/>
    <m/>
    <m/>
    <n v="428900"/>
    <m/>
    <m/>
    <m/>
    <m/>
    <m/>
    <m/>
    <m/>
    <m/>
    <m/>
    <m/>
    <n v="339200"/>
    <m/>
    <m/>
    <m/>
    <n v="60000"/>
    <m/>
    <m/>
    <m/>
    <m/>
    <m/>
    <m/>
    <m/>
    <m/>
    <n v="247000"/>
  </r>
  <r>
    <m/>
    <x v="332"/>
    <x v="3"/>
    <s v="インプラス窓ふかし　建具詰め"/>
    <x v="19"/>
    <x v="343"/>
    <x v="385"/>
    <n v="0.3723025479206895"/>
    <n v="133279"/>
    <m/>
    <m/>
    <m/>
    <m/>
    <m/>
    <m/>
    <m/>
    <m/>
    <m/>
    <m/>
    <m/>
    <m/>
    <m/>
    <n v="100000"/>
    <n v="332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33"/>
    <x v="3"/>
    <s v="防音フローリング+クロス"/>
    <x v="19"/>
    <x v="344"/>
    <x v="386"/>
    <n v="0.4168598277212216"/>
    <n v="595736"/>
    <m/>
    <m/>
    <m/>
    <m/>
    <m/>
    <m/>
    <m/>
    <m/>
    <m/>
    <m/>
    <m/>
    <m/>
    <m/>
    <n v="250000"/>
    <n v="15836"/>
    <m/>
    <m/>
    <m/>
    <m/>
    <m/>
    <m/>
    <m/>
    <m/>
    <n v="329900"/>
    <m/>
    <m/>
    <m/>
    <m/>
    <m/>
    <m/>
    <m/>
    <m/>
    <m/>
    <m/>
    <m/>
    <m/>
    <m/>
    <m/>
    <m/>
    <m/>
    <m/>
    <m/>
    <m/>
    <m/>
    <m/>
    <m/>
    <m/>
    <m/>
  </r>
  <r>
    <m/>
    <x v="334"/>
    <x v="11"/>
    <s v="キッチン入替"/>
    <x v="19"/>
    <x v="345"/>
    <x v="387"/>
    <n v="0.5687375381485249"/>
    <n v="423931"/>
    <m/>
    <m/>
    <m/>
    <m/>
    <m/>
    <m/>
    <m/>
    <m/>
    <m/>
    <m/>
    <m/>
    <m/>
    <m/>
    <n v="50000"/>
    <m/>
    <m/>
    <m/>
    <m/>
    <n v="110000"/>
    <m/>
    <m/>
    <m/>
    <m/>
    <m/>
    <m/>
    <m/>
    <m/>
    <m/>
    <m/>
    <m/>
    <m/>
    <n v="263931"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35"/>
    <x v="3"/>
    <s v="在来→UB　間仕切り移設"/>
    <x v="20"/>
    <x v="346"/>
    <x v="388"/>
    <n v="0.3389690555061808"/>
    <n v="818158"/>
    <m/>
    <m/>
    <m/>
    <m/>
    <m/>
    <m/>
    <m/>
    <m/>
    <m/>
    <m/>
    <m/>
    <m/>
    <m/>
    <n v="400000"/>
    <n v="137158"/>
    <m/>
    <m/>
    <n v="78000"/>
    <n v="148000"/>
    <m/>
    <m/>
    <m/>
    <m/>
    <n v="55000"/>
    <m/>
    <m/>
    <m/>
    <m/>
    <m/>
    <m/>
    <m/>
    <m/>
    <m/>
    <m/>
    <m/>
    <m/>
    <m/>
    <m/>
    <m/>
    <m/>
    <m/>
    <m/>
    <m/>
    <m/>
    <m/>
    <m/>
    <m/>
    <m/>
  </r>
  <r>
    <m/>
    <x v="336"/>
    <x v="3"/>
    <s v="キッチン　ﾄｲﾚ交換"/>
    <x v="20"/>
    <x v="347"/>
    <x v="389"/>
    <n v="0.5905292479108635"/>
    <n v="147000"/>
    <m/>
    <m/>
    <m/>
    <m/>
    <m/>
    <m/>
    <m/>
    <m/>
    <m/>
    <m/>
    <m/>
    <m/>
    <m/>
    <n v="50000"/>
    <m/>
    <m/>
    <m/>
    <m/>
    <n v="97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37"/>
    <x v="3"/>
    <s v="電気工事"/>
    <x v="20"/>
    <x v="293"/>
    <x v="390"/>
    <n v="0.4166666666666667"/>
    <n v="35000"/>
    <m/>
    <m/>
    <m/>
    <m/>
    <m/>
    <m/>
    <m/>
    <m/>
    <m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38"/>
    <x v="3"/>
    <s v="タイル→UB工事"/>
    <x v="21"/>
    <x v="348"/>
    <x v="391"/>
    <n v="0.2502928907826867"/>
    <n v="417868"/>
    <m/>
    <m/>
    <m/>
    <m/>
    <m/>
    <m/>
    <m/>
    <m/>
    <m/>
    <m/>
    <m/>
    <m/>
    <m/>
    <n v="200000"/>
    <n v="28868"/>
    <m/>
    <m/>
    <n v="45000"/>
    <n v="119000"/>
    <m/>
    <m/>
    <m/>
    <m/>
    <n v="25000"/>
    <m/>
    <m/>
    <m/>
    <m/>
    <m/>
    <m/>
    <m/>
    <m/>
    <m/>
    <m/>
    <m/>
    <m/>
    <m/>
    <m/>
    <m/>
    <m/>
    <m/>
    <m/>
    <m/>
    <m/>
    <m/>
    <m/>
    <m/>
    <m/>
  </r>
  <r>
    <m/>
    <x v="339"/>
    <x v="3"/>
    <s v="LIXIL"/>
    <x v="21"/>
    <x v="349"/>
    <x v="392"/>
    <n v="0.2293623000432339"/>
    <n v="356497"/>
    <m/>
    <m/>
    <m/>
    <m/>
    <m/>
    <m/>
    <m/>
    <m/>
    <m/>
    <m/>
    <m/>
    <m/>
    <m/>
    <n v="80000"/>
    <n v="14497"/>
    <m/>
    <m/>
    <n v="40000"/>
    <n v="197000"/>
    <m/>
    <m/>
    <m/>
    <m/>
    <n v="25000"/>
    <m/>
    <m/>
    <m/>
    <m/>
    <m/>
    <m/>
    <m/>
    <m/>
    <m/>
    <m/>
    <m/>
    <m/>
    <m/>
    <m/>
    <m/>
    <m/>
    <m/>
    <m/>
    <m/>
    <m/>
    <m/>
    <m/>
    <m/>
    <m/>
  </r>
  <r>
    <m/>
    <x v="340"/>
    <x v="3"/>
    <s v="リノベ"/>
    <x v="21"/>
    <x v="350"/>
    <x v="393"/>
    <n v="0.2418531133581693"/>
    <n v="1424558"/>
    <m/>
    <m/>
    <m/>
    <m/>
    <m/>
    <m/>
    <m/>
    <m/>
    <m/>
    <m/>
    <m/>
    <m/>
    <m/>
    <n v="330000"/>
    <n v="158954"/>
    <m/>
    <m/>
    <m/>
    <n v="148000"/>
    <m/>
    <m/>
    <m/>
    <m/>
    <n v="255850"/>
    <m/>
    <m/>
    <m/>
    <m/>
    <m/>
    <m/>
    <n v="3340"/>
    <n v="120314"/>
    <m/>
    <n v="67100"/>
    <m/>
    <m/>
    <m/>
    <m/>
    <n v="85000"/>
    <m/>
    <m/>
    <m/>
    <m/>
    <m/>
    <n v="149000"/>
    <n v="107000"/>
    <m/>
    <m/>
  </r>
  <r>
    <m/>
    <x v="341"/>
    <x v="3"/>
    <s v="タイル→UB工事"/>
    <x v="22"/>
    <x v="351"/>
    <x v="394"/>
    <n v="0.1367091932457786"/>
    <n v="460134"/>
    <m/>
    <m/>
    <m/>
    <m/>
    <m/>
    <m/>
    <m/>
    <m/>
    <m/>
    <m/>
    <m/>
    <m/>
    <m/>
    <n v="200000"/>
    <n v="51134"/>
    <m/>
    <m/>
    <n v="78000"/>
    <n v="96000"/>
    <m/>
    <m/>
    <m/>
    <m/>
    <n v="35000"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42"/>
    <x v="3"/>
    <s v="浴室改修工事"/>
    <x v="22"/>
    <x v="352"/>
    <x v="395"/>
    <n v="0.2391494845360825"/>
    <n v="738025"/>
    <m/>
    <m/>
    <m/>
    <m/>
    <m/>
    <n v="100000"/>
    <m/>
    <m/>
    <m/>
    <m/>
    <m/>
    <m/>
    <m/>
    <n v="350000"/>
    <n v="75035"/>
    <m/>
    <m/>
    <n v="55000"/>
    <n v="110000"/>
    <m/>
    <m/>
    <m/>
    <m/>
    <n v="30000"/>
    <m/>
    <m/>
    <m/>
    <m/>
    <m/>
    <m/>
    <n v="17990"/>
    <m/>
    <m/>
    <m/>
    <m/>
    <m/>
    <m/>
    <m/>
    <m/>
    <m/>
    <m/>
    <m/>
    <m/>
    <m/>
    <m/>
    <m/>
    <m/>
    <m/>
  </r>
  <r>
    <m/>
    <x v="343"/>
    <x v="1"/>
    <s v="フローリング工事貼替"/>
    <x v="22"/>
    <x v="353"/>
    <x v="396"/>
    <n v="0.421598334401025"/>
    <n v="361154"/>
    <m/>
    <m/>
    <m/>
    <m/>
    <m/>
    <m/>
    <m/>
    <m/>
    <m/>
    <m/>
    <m/>
    <m/>
    <m/>
    <n v="200000"/>
    <n v="6164"/>
    <m/>
    <m/>
    <m/>
    <m/>
    <m/>
    <m/>
    <m/>
    <m/>
    <m/>
    <m/>
    <m/>
    <m/>
    <m/>
    <m/>
    <m/>
    <m/>
    <n v="154990"/>
    <m/>
    <m/>
    <m/>
    <m/>
    <m/>
    <m/>
    <m/>
    <m/>
    <m/>
    <m/>
    <m/>
    <m/>
    <m/>
    <m/>
    <m/>
    <m/>
  </r>
  <r>
    <m/>
    <x v="344"/>
    <x v="11"/>
    <s v="リフォーム工事"/>
    <x v="29"/>
    <x v="354"/>
    <x v="397"/>
    <n v="0.1074653944020356"/>
    <n v="3507661"/>
    <n v="90000"/>
    <m/>
    <m/>
    <m/>
    <m/>
    <n v="500000"/>
    <m/>
    <m/>
    <m/>
    <m/>
    <m/>
    <n v="102600"/>
    <m/>
    <n v="650000"/>
    <n v="195659"/>
    <m/>
    <m/>
    <n v="275000"/>
    <n v="34000"/>
    <m/>
    <n v="784040"/>
    <m/>
    <m/>
    <n v="340500"/>
    <m/>
    <n v="65000"/>
    <m/>
    <m/>
    <m/>
    <m/>
    <m/>
    <n v="385862"/>
    <m/>
    <m/>
    <m/>
    <m/>
    <m/>
    <m/>
    <n v="85000"/>
    <m/>
    <m/>
    <m/>
    <m/>
    <m/>
    <m/>
    <m/>
    <m/>
    <m/>
  </r>
  <r>
    <m/>
    <x v="345"/>
    <x v="11"/>
    <s v="トイレ改修"/>
    <x v="22"/>
    <x v="355"/>
    <x v="398"/>
    <n v="0.3562153846153846"/>
    <n v="167384"/>
    <m/>
    <m/>
    <m/>
    <m/>
    <m/>
    <m/>
    <m/>
    <m/>
    <m/>
    <m/>
    <m/>
    <m/>
    <m/>
    <n v="20000"/>
    <m/>
    <m/>
    <m/>
    <n v="15000"/>
    <n v="23000"/>
    <m/>
    <m/>
    <m/>
    <m/>
    <n v="25000"/>
    <m/>
    <m/>
    <m/>
    <m/>
    <m/>
    <m/>
    <m/>
    <n v="84384"/>
    <m/>
    <m/>
    <m/>
    <m/>
    <m/>
    <m/>
    <m/>
    <m/>
    <m/>
    <m/>
    <m/>
    <m/>
    <m/>
    <m/>
    <m/>
    <m/>
  </r>
  <r>
    <m/>
    <x v="346"/>
    <x v="3"/>
    <s v="便器交換+パネル貼り"/>
    <x v="22"/>
    <x v="9"/>
    <x v="221"/>
    <n v="0.3058823529411765"/>
    <n v="118000"/>
    <m/>
    <m/>
    <m/>
    <m/>
    <m/>
    <m/>
    <m/>
    <m/>
    <m/>
    <m/>
    <m/>
    <m/>
    <m/>
    <n v="60000"/>
    <n v="12000"/>
    <m/>
    <m/>
    <m/>
    <n v="46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47"/>
    <x v="14"/>
    <s v="トイレタンク漏水修理"/>
    <x v="22"/>
    <x v="356"/>
    <x v="249"/>
    <n v="0.36"/>
    <n v="16000"/>
    <m/>
    <m/>
    <m/>
    <m/>
    <m/>
    <m/>
    <m/>
    <m/>
    <m/>
    <m/>
    <m/>
    <m/>
    <m/>
    <m/>
    <m/>
    <m/>
    <m/>
    <m/>
    <n v="16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48"/>
    <x v="3"/>
    <s v="キッチン　UB　トイレ　エコカラット"/>
    <x v="23"/>
    <x v="357"/>
    <x v="399"/>
    <n v="0.3555807598087432"/>
    <n v="1424983"/>
    <m/>
    <m/>
    <m/>
    <m/>
    <m/>
    <m/>
    <m/>
    <m/>
    <m/>
    <m/>
    <m/>
    <m/>
    <m/>
    <n v="400000"/>
    <n v="48983"/>
    <m/>
    <m/>
    <n v="200000"/>
    <n v="221000"/>
    <m/>
    <m/>
    <m/>
    <m/>
    <n v="405000"/>
    <m/>
    <n v="30000"/>
    <n v="120000"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49"/>
    <x v="3"/>
    <s v="UB入替"/>
    <x v="23"/>
    <x v="358"/>
    <x v="400"/>
    <n v="0.3803319166160696"/>
    <n v="306178"/>
    <m/>
    <m/>
    <m/>
    <m/>
    <m/>
    <m/>
    <m/>
    <m/>
    <m/>
    <m/>
    <m/>
    <m/>
    <m/>
    <n v="80000"/>
    <n v="8178"/>
    <m/>
    <m/>
    <n v="55000"/>
    <n v="133000"/>
    <m/>
    <m/>
    <m/>
    <m/>
    <n v="30000"/>
    <m/>
    <m/>
    <m/>
    <m/>
    <m/>
    <m/>
    <m/>
    <m/>
    <m/>
    <m/>
    <m/>
    <m/>
    <m/>
    <m/>
    <m/>
    <m/>
    <m/>
    <m/>
    <m/>
    <m/>
    <m/>
    <m/>
    <m/>
    <m/>
  </r>
  <r>
    <m/>
    <x v="350"/>
    <x v="3"/>
    <s v="キッチン　収納電気、内装"/>
    <x v="23"/>
    <x v="359"/>
    <x v="401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1"/>
    <x v="3"/>
    <s v="便器交換+内装"/>
    <x v="23"/>
    <x v="293"/>
    <x v="402"/>
    <n v="0.3666666666666666"/>
    <n v="38000"/>
    <m/>
    <m/>
    <m/>
    <m/>
    <m/>
    <m/>
    <m/>
    <m/>
    <m/>
    <m/>
    <m/>
    <m/>
    <m/>
    <m/>
    <m/>
    <m/>
    <m/>
    <m/>
    <n v="23000"/>
    <m/>
    <m/>
    <m/>
    <m/>
    <n v="15000"/>
    <m/>
    <m/>
    <m/>
    <m/>
    <m/>
    <m/>
    <m/>
    <m/>
    <m/>
    <m/>
    <m/>
    <m/>
    <m/>
    <m/>
    <m/>
    <m/>
    <m/>
    <m/>
    <m/>
    <m/>
    <m/>
    <m/>
    <m/>
    <m/>
  </r>
  <r>
    <m/>
    <x v="352"/>
    <x v="3"/>
    <s v="便器交換"/>
    <x v="23"/>
    <x v="360"/>
    <x v="403"/>
    <n v="0.16"/>
    <n v="63000"/>
    <m/>
    <m/>
    <m/>
    <m/>
    <m/>
    <m/>
    <m/>
    <m/>
    <m/>
    <m/>
    <m/>
    <m/>
    <m/>
    <m/>
    <m/>
    <m/>
    <m/>
    <m/>
    <n v="63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3"/>
    <x v="3"/>
    <s v="フォグラスシート+ホスクリーン2箇所"/>
    <x v="23"/>
    <x v="361"/>
    <x v="404"/>
    <n v="0.8114867412341334"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</r>
  <r>
    <m/>
    <x v="354"/>
    <x v="1"/>
    <s v="樋交換・雪止め設置"/>
    <x v="23"/>
    <x v="362"/>
    <x v="405"/>
    <n v="0.6621676942046856"/>
    <n v="273982"/>
    <n v="110000"/>
    <m/>
    <m/>
    <m/>
    <m/>
    <n v="40000"/>
    <m/>
    <m/>
    <m/>
    <m/>
    <m/>
    <m/>
    <m/>
    <n v="120000"/>
    <n v="39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5"/>
    <x v="3"/>
    <s v="UB入替　化粧台脱着"/>
    <x v="23"/>
    <x v="363"/>
    <x v="406"/>
    <n v="0.190195918367347"/>
    <n v="396804"/>
    <m/>
    <m/>
    <m/>
    <m/>
    <m/>
    <m/>
    <m/>
    <m/>
    <m/>
    <m/>
    <m/>
    <m/>
    <m/>
    <n v="85000"/>
    <n v="18804"/>
    <m/>
    <m/>
    <n v="68000"/>
    <n v="180000"/>
    <m/>
    <m/>
    <m/>
    <m/>
    <n v="45000"/>
    <m/>
    <m/>
    <m/>
    <m/>
    <m/>
    <m/>
    <m/>
    <m/>
    <m/>
    <m/>
    <m/>
    <m/>
    <m/>
    <m/>
    <m/>
    <m/>
    <m/>
    <m/>
    <m/>
    <m/>
    <m/>
    <m/>
    <m/>
    <m/>
  </r>
  <r>
    <m/>
    <x v="356"/>
    <x v="3"/>
    <s v="UB入替"/>
    <x v="23"/>
    <x v="364"/>
    <x v="407"/>
    <n v="0.2361999270339292"/>
    <n v="261697"/>
    <m/>
    <m/>
    <m/>
    <m/>
    <m/>
    <m/>
    <m/>
    <m/>
    <m/>
    <m/>
    <m/>
    <m/>
    <m/>
    <n v="100000"/>
    <n v="31697"/>
    <m/>
    <m/>
    <n v="45000"/>
    <n v="8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7"/>
    <x v="2"/>
    <s v="UB入替解体のみ"/>
    <x v="23"/>
    <x v="334"/>
    <x v="273"/>
    <n v="0"/>
    <n v="78000"/>
    <m/>
    <m/>
    <m/>
    <m/>
    <m/>
    <m/>
    <m/>
    <m/>
    <m/>
    <m/>
    <m/>
    <m/>
    <m/>
    <n v="35000"/>
    <m/>
    <m/>
    <m/>
    <n v="18000"/>
    <n v="2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8"/>
    <x v="2"/>
    <s v="キッチン取付け"/>
    <x v="0"/>
    <x v="293"/>
    <x v="408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59"/>
    <x v="3"/>
    <s v="洗濯ﾊﾟﾝ・洗濯機脱着"/>
    <x v="23"/>
    <x v="5"/>
    <x v="7"/>
    <e v="#DIV/0!"/>
    <n v="15000"/>
    <m/>
    <m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0"/>
    <x v="3"/>
    <s v="インプラス枠工事"/>
    <x v="23"/>
    <x v="365"/>
    <x v="409"/>
    <n v="0.5476276595744681"/>
    <n v="42523"/>
    <m/>
    <m/>
    <m/>
    <m/>
    <m/>
    <m/>
    <m/>
    <m/>
    <m/>
    <m/>
    <m/>
    <m/>
    <m/>
    <n v="30000"/>
    <n v="125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1"/>
    <x v="3"/>
    <s v="屋根補修　シール　板金"/>
    <x v="23"/>
    <x v="366"/>
    <x v="410"/>
    <n v="0.4002745098039215"/>
    <n v="61172"/>
    <m/>
    <m/>
    <m/>
    <m/>
    <m/>
    <m/>
    <m/>
    <m/>
    <m/>
    <m/>
    <m/>
    <m/>
    <m/>
    <n v="50000"/>
    <n v="111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2"/>
    <x v="0"/>
    <s v="リビング改修"/>
    <x v="0"/>
    <x v="5"/>
    <x v="411"/>
    <e v="#DIV/0!"/>
    <n v="5236075"/>
    <m/>
    <m/>
    <m/>
    <m/>
    <m/>
    <m/>
    <m/>
    <m/>
    <m/>
    <m/>
    <m/>
    <m/>
    <m/>
    <n v="500000"/>
    <n v="155632"/>
    <m/>
    <m/>
    <m/>
    <m/>
    <m/>
    <m/>
    <m/>
    <m/>
    <m/>
    <m/>
    <m/>
    <m/>
    <m/>
    <m/>
    <m/>
    <m/>
    <n v="4580443"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3"/>
    <x v="30"/>
    <s v="バルコニー交換"/>
    <x v="14"/>
    <x v="367"/>
    <x v="412"/>
    <n v="0.337801756587202"/>
    <n v="527772"/>
    <n v="140000"/>
    <m/>
    <m/>
    <m/>
    <m/>
    <m/>
    <m/>
    <m/>
    <n v="10000"/>
    <m/>
    <m/>
    <m/>
    <m/>
    <n v="35000"/>
    <n v="3772"/>
    <m/>
    <n v="291000"/>
    <n v="38000"/>
    <m/>
    <m/>
    <m/>
    <m/>
    <m/>
    <n v="10000"/>
    <m/>
    <m/>
    <m/>
    <m/>
    <m/>
    <m/>
    <m/>
    <m/>
    <m/>
    <m/>
    <m/>
    <m/>
    <m/>
    <m/>
    <m/>
    <m/>
    <m/>
    <m/>
    <m/>
    <m/>
    <m/>
    <m/>
    <m/>
    <m/>
  </r>
  <r>
    <m/>
    <x v="364"/>
    <x v="2"/>
    <s v="リノベ―ション工事"/>
    <x v="14"/>
    <x v="368"/>
    <x v="413"/>
    <n v="0.3419655013799448"/>
    <n v="2861134"/>
    <m/>
    <m/>
    <m/>
    <m/>
    <m/>
    <m/>
    <m/>
    <m/>
    <m/>
    <m/>
    <m/>
    <m/>
    <m/>
    <n v="1135000"/>
    <n v="310403"/>
    <m/>
    <m/>
    <n v="260000"/>
    <n v="261000"/>
    <m/>
    <m/>
    <m/>
    <m/>
    <n v="253600"/>
    <m/>
    <n v="50000"/>
    <m/>
    <m/>
    <m/>
    <m/>
    <m/>
    <m/>
    <m/>
    <n v="8000"/>
    <m/>
    <m/>
    <m/>
    <m/>
    <n v="390000"/>
    <m/>
    <m/>
    <n v="72000"/>
    <m/>
    <m/>
    <m/>
    <m/>
    <m/>
    <n v="121131"/>
  </r>
  <r>
    <m/>
    <x v="364"/>
    <x v="2"/>
    <s v="漏水復旧工事"/>
    <x v="14"/>
    <x v="369"/>
    <x v="414"/>
    <n v="0.6204379562043796"/>
    <n v="104000"/>
    <m/>
    <m/>
    <m/>
    <m/>
    <m/>
    <m/>
    <m/>
    <m/>
    <m/>
    <m/>
    <m/>
    <m/>
    <m/>
    <n v="60000"/>
    <m/>
    <m/>
    <m/>
    <m/>
    <n v="36000"/>
    <m/>
    <m/>
    <m/>
    <m/>
    <n v="8000"/>
    <m/>
    <m/>
    <m/>
    <m/>
    <m/>
    <m/>
    <m/>
    <m/>
    <m/>
    <m/>
    <m/>
    <m/>
    <m/>
    <m/>
    <m/>
    <m/>
    <m/>
    <m/>
    <m/>
    <m/>
    <m/>
    <m/>
    <m/>
    <m/>
  </r>
  <r>
    <m/>
    <x v="365"/>
    <x v="30"/>
    <s v="退去工事"/>
    <x v="14"/>
    <x v="133"/>
    <x v="415"/>
    <n v="0.7514970059880239"/>
    <n v="41500"/>
    <m/>
    <m/>
    <m/>
    <m/>
    <m/>
    <m/>
    <m/>
    <m/>
    <m/>
    <n v="29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"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6"/>
    <x v="11"/>
    <s v="コインランドリー新築"/>
    <x v="14"/>
    <x v="5"/>
    <x v="416"/>
    <e v="#DIV/0!"/>
    <n v="6604794"/>
    <m/>
    <m/>
    <m/>
    <m/>
    <m/>
    <m/>
    <m/>
    <m/>
    <m/>
    <m/>
    <m/>
    <m/>
    <m/>
    <m/>
    <n v="82544"/>
    <m/>
    <m/>
    <n v="1340500"/>
    <n v="1036000"/>
    <m/>
    <n v="1677500"/>
    <m/>
    <m/>
    <n v="368250"/>
    <m/>
    <m/>
    <m/>
    <m/>
    <m/>
    <m/>
    <m/>
    <m/>
    <m/>
    <m/>
    <m/>
    <m/>
    <m/>
    <m/>
    <m/>
    <m/>
    <m/>
    <m/>
    <m/>
    <m/>
    <m/>
    <n v="200000"/>
    <m/>
    <n v="1900000"/>
  </r>
  <r>
    <m/>
    <x v="367"/>
    <x v="31"/>
    <s v="玄関タイル補修"/>
    <x v="14"/>
    <x v="370"/>
    <x v="345"/>
    <n v="0.21875"/>
    <n v="50000"/>
    <m/>
    <m/>
    <m/>
    <m/>
    <m/>
    <m/>
    <m/>
    <m/>
    <m/>
    <m/>
    <m/>
    <m/>
    <m/>
    <m/>
    <m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8"/>
    <x v="30"/>
    <s v="可動棚設置"/>
    <x v="14"/>
    <x v="371"/>
    <x v="417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69"/>
    <x v="11"/>
    <s v="B108.110.111　基本"/>
    <x v="15"/>
    <x v="263"/>
    <x v="418"/>
    <n v="0.5148107692307692"/>
    <n v="946119"/>
    <m/>
    <m/>
    <m/>
    <m/>
    <m/>
    <m/>
    <m/>
    <m/>
    <m/>
    <m/>
    <m/>
    <m/>
    <m/>
    <m/>
    <m/>
    <m/>
    <m/>
    <m/>
    <n v="7000"/>
    <m/>
    <n v="283680"/>
    <m/>
    <m/>
    <n v="425990"/>
    <m/>
    <m/>
    <m/>
    <m/>
    <m/>
    <m/>
    <m/>
    <n v="229449"/>
    <m/>
    <m/>
    <m/>
    <m/>
    <m/>
    <m/>
    <m/>
    <m/>
    <m/>
    <m/>
    <m/>
    <m/>
    <m/>
    <m/>
    <m/>
    <m/>
  </r>
  <r>
    <m/>
    <x v="369"/>
    <x v="11"/>
    <s v="B108.110.111　改修"/>
    <x v="15"/>
    <x v="372"/>
    <x v="419"/>
    <n v="0.8159999999999999"/>
    <n v="23000"/>
    <m/>
    <m/>
    <m/>
    <m/>
    <m/>
    <m/>
    <m/>
    <m/>
    <m/>
    <m/>
    <m/>
    <m/>
    <m/>
    <m/>
    <m/>
    <m/>
    <m/>
    <m/>
    <m/>
    <m/>
    <n v="2300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0"/>
    <x v="11"/>
    <m/>
    <x v="15"/>
    <x v="166"/>
    <x v="420"/>
    <n v="0.8235294117647058"/>
    <n v="105000"/>
    <m/>
    <m/>
    <m/>
    <m/>
    <m/>
    <m/>
    <m/>
    <m/>
    <m/>
    <m/>
    <m/>
    <m/>
    <m/>
    <n v="20000"/>
    <m/>
    <m/>
    <m/>
    <m/>
    <n v="8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1"/>
    <x v="11"/>
    <s v="工場解体"/>
    <x v="15"/>
    <x v="5"/>
    <x v="421"/>
    <e v="#DIV/0!"/>
    <n v="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000"/>
    <m/>
    <m/>
    <m/>
    <m/>
    <m/>
    <m/>
  </r>
  <r>
    <m/>
    <x v="372"/>
    <x v="11"/>
    <s v="床張り工事"/>
    <x v="14"/>
    <x v="373"/>
    <x v="422"/>
    <n v="0.2798165137614679"/>
    <n v="157000"/>
    <m/>
    <m/>
    <m/>
    <m/>
    <m/>
    <m/>
    <m/>
    <m/>
    <m/>
    <m/>
    <m/>
    <m/>
    <m/>
    <m/>
    <m/>
    <m/>
    <m/>
    <m/>
    <m/>
    <m/>
    <m/>
    <m/>
    <m/>
    <n v="157000"/>
    <m/>
    <m/>
    <m/>
    <m/>
    <m/>
    <m/>
    <m/>
    <m/>
    <m/>
    <m/>
    <m/>
    <m/>
    <m/>
    <m/>
    <m/>
    <m/>
    <m/>
    <m/>
    <m/>
    <m/>
    <m/>
    <m/>
    <m/>
    <m/>
  </r>
  <r>
    <m/>
    <x v="373"/>
    <x v="11"/>
    <m/>
    <x v="14"/>
    <x v="374"/>
    <x v="390"/>
    <n v="0.2232142857142857"/>
    <n v="87000"/>
    <m/>
    <m/>
    <m/>
    <m/>
    <m/>
    <m/>
    <m/>
    <m/>
    <m/>
    <m/>
    <m/>
    <m/>
    <m/>
    <m/>
    <m/>
    <n v="8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4"/>
    <x v="3"/>
    <s v="エコカラット・アクセントクロス"/>
    <x v="14"/>
    <x v="375"/>
    <x v="423"/>
    <n v="0.4851994851994852"/>
    <n v="80000"/>
    <m/>
    <m/>
    <m/>
    <m/>
    <m/>
    <m/>
    <m/>
    <m/>
    <m/>
    <m/>
    <m/>
    <m/>
    <m/>
    <n v="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5"/>
    <x v="3"/>
    <s v="化粧台取付け工事"/>
    <x v="14"/>
    <x v="376"/>
    <x v="424"/>
    <n v="0.0904320447787301"/>
    <n v="52000"/>
    <m/>
    <m/>
    <m/>
    <m/>
    <m/>
    <m/>
    <m/>
    <m/>
    <m/>
    <m/>
    <m/>
    <m/>
    <m/>
    <n v="12000"/>
    <m/>
    <m/>
    <m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6"/>
    <x v="3"/>
    <s v="UB　化粧台　トイレ"/>
    <x v="15"/>
    <x v="377"/>
    <x v="425"/>
    <n v="0.172552380952381"/>
    <n v="521292"/>
    <m/>
    <m/>
    <m/>
    <m/>
    <m/>
    <m/>
    <m/>
    <m/>
    <m/>
    <m/>
    <m/>
    <m/>
    <m/>
    <n v="130000"/>
    <n v="13792"/>
    <m/>
    <m/>
    <n v="70000"/>
    <n v="255000"/>
    <m/>
    <m/>
    <m/>
    <m/>
    <n v="52500"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77"/>
    <x v="11"/>
    <s v="屋根工事　外壁塗装"/>
    <x v="16"/>
    <x v="378"/>
    <x v="426"/>
    <n v="0.517088402270884"/>
    <n v="1190860"/>
    <n v="160000"/>
    <m/>
    <m/>
    <m/>
    <m/>
    <n v="50000"/>
    <m/>
    <m/>
    <n v="40000"/>
    <m/>
    <m/>
    <n v="106700"/>
    <m/>
    <n v="809160"/>
    <m/>
    <m/>
    <m/>
    <m/>
    <m/>
    <m/>
    <m/>
    <m/>
    <m/>
    <m/>
    <m/>
    <n v="25000"/>
    <m/>
    <m/>
    <m/>
    <m/>
    <m/>
    <m/>
    <m/>
    <m/>
    <m/>
    <m/>
    <m/>
    <m/>
    <m/>
    <m/>
    <m/>
    <m/>
    <m/>
    <m/>
    <m/>
    <m/>
    <m/>
    <m/>
  </r>
  <r>
    <m/>
    <x v="378"/>
    <x v="11"/>
    <s v="屋根、外壁塗装"/>
    <x v="16"/>
    <x v="234"/>
    <x v="427"/>
    <n v="0.3474909090909091"/>
    <n v="1076640"/>
    <n v="125000"/>
    <m/>
    <m/>
    <m/>
    <m/>
    <n v="500000"/>
    <m/>
    <m/>
    <m/>
    <m/>
    <m/>
    <n v="388230"/>
    <m/>
    <n v="25000"/>
    <m/>
    <m/>
    <m/>
    <m/>
    <m/>
    <m/>
    <m/>
    <m/>
    <m/>
    <m/>
    <m/>
    <n v="25000"/>
    <m/>
    <m/>
    <m/>
    <m/>
    <m/>
    <n v="13410"/>
    <m/>
    <m/>
    <m/>
    <m/>
    <m/>
    <m/>
    <m/>
    <m/>
    <m/>
    <m/>
    <m/>
    <m/>
    <m/>
    <m/>
    <m/>
    <m/>
  </r>
  <r>
    <m/>
    <x v="379"/>
    <x v="11"/>
    <s v="屋根、外壁塗装"/>
    <x v="16"/>
    <x v="379"/>
    <x v="428"/>
    <n v="0.5012281262485018"/>
    <n v="1248426"/>
    <n v="135000"/>
    <m/>
    <m/>
    <m/>
    <m/>
    <n v="500000"/>
    <m/>
    <m/>
    <m/>
    <m/>
    <m/>
    <n v="262000"/>
    <m/>
    <n v="30000"/>
    <n v="3926"/>
    <m/>
    <m/>
    <m/>
    <m/>
    <m/>
    <n v="292500"/>
    <m/>
    <m/>
    <m/>
    <m/>
    <n v="25000"/>
    <m/>
    <m/>
    <m/>
    <m/>
    <m/>
    <m/>
    <m/>
    <m/>
    <m/>
    <m/>
    <m/>
    <m/>
    <m/>
    <m/>
    <m/>
    <m/>
    <m/>
    <m/>
    <m/>
    <m/>
    <m/>
    <m/>
  </r>
  <r>
    <m/>
    <x v="380"/>
    <x v="32"/>
    <s v="屋根修理"/>
    <x v="16"/>
    <x v="380"/>
    <x v="267"/>
    <n v="0.4814814814814815"/>
    <n v="70000"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81"/>
    <x v="32"/>
    <s v="リフォーム工事"/>
    <x v="16"/>
    <x v="381"/>
    <x v="429"/>
    <n v="0.3391159838430468"/>
    <n v="1145312"/>
    <m/>
    <m/>
    <m/>
    <m/>
    <m/>
    <m/>
    <m/>
    <m/>
    <m/>
    <m/>
    <m/>
    <m/>
    <m/>
    <n v="300000"/>
    <n v="18764"/>
    <m/>
    <m/>
    <n v="111000"/>
    <n v="137000"/>
    <n v="27000"/>
    <m/>
    <m/>
    <m/>
    <n v="236150"/>
    <m/>
    <m/>
    <m/>
    <m/>
    <m/>
    <m/>
    <m/>
    <n v="185598"/>
    <m/>
    <m/>
    <m/>
    <m/>
    <m/>
    <m/>
    <n v="85000"/>
    <n v="44800"/>
    <m/>
    <m/>
    <m/>
    <m/>
    <m/>
    <m/>
    <m/>
    <m/>
  </r>
  <r>
    <m/>
    <x v="382"/>
    <x v="3"/>
    <s v="UB入替"/>
    <x v="16"/>
    <x v="382"/>
    <x v="430"/>
    <n v="0.1928256290876843"/>
    <n v="364076"/>
    <m/>
    <m/>
    <m/>
    <m/>
    <m/>
    <m/>
    <m/>
    <m/>
    <m/>
    <m/>
    <m/>
    <m/>
    <m/>
    <n v="80000"/>
    <n v="22076"/>
    <m/>
    <m/>
    <n v="73000"/>
    <n v="139000"/>
    <m/>
    <m/>
    <m/>
    <m/>
    <n v="50000"/>
    <m/>
    <m/>
    <m/>
    <m/>
    <m/>
    <m/>
    <m/>
    <m/>
    <m/>
    <m/>
    <m/>
    <m/>
    <m/>
    <m/>
    <m/>
    <m/>
    <m/>
    <m/>
    <m/>
    <m/>
    <m/>
    <m/>
    <m/>
    <m/>
  </r>
  <r>
    <m/>
    <x v="383"/>
    <x v="31"/>
    <s v="ガラスシート工事"/>
    <x v="16"/>
    <x v="383"/>
    <x v="376"/>
    <n v="0.2281879194630873"/>
    <n v="115000"/>
    <m/>
    <m/>
    <m/>
    <m/>
    <m/>
    <m/>
    <m/>
    <m/>
    <m/>
    <m/>
    <m/>
    <m/>
    <m/>
    <m/>
    <m/>
    <m/>
    <m/>
    <m/>
    <m/>
    <m/>
    <m/>
    <m/>
    <m/>
    <m/>
    <m/>
    <m/>
    <m/>
    <m/>
    <m/>
    <n v="115000"/>
    <m/>
    <m/>
    <m/>
    <m/>
    <m/>
    <m/>
    <m/>
    <m/>
    <m/>
    <m/>
    <m/>
    <m/>
    <m/>
    <m/>
    <m/>
    <m/>
    <m/>
    <m/>
  </r>
  <r>
    <m/>
    <x v="384"/>
    <x v="11"/>
    <s v="フェンスブロック　コンテナ撤去"/>
    <x v="16"/>
    <x v="384"/>
    <x v="431"/>
    <n v="0.3930902654867257"/>
    <n v="342904"/>
    <m/>
    <m/>
    <m/>
    <m/>
    <m/>
    <m/>
    <m/>
    <m/>
    <m/>
    <m/>
    <m/>
    <m/>
    <m/>
    <m/>
    <m/>
    <m/>
    <m/>
    <m/>
    <m/>
    <m/>
    <n v="65000"/>
    <m/>
    <m/>
    <m/>
    <m/>
    <m/>
    <m/>
    <m/>
    <m/>
    <m/>
    <m/>
    <m/>
    <m/>
    <m/>
    <m/>
    <m/>
    <m/>
    <m/>
    <m/>
    <m/>
    <m/>
    <m/>
    <m/>
    <m/>
    <m/>
    <m/>
    <m/>
    <n v="277904"/>
  </r>
  <r>
    <m/>
    <x v="385"/>
    <x v="33"/>
    <s v="クロス・カーペット他"/>
    <x v="16"/>
    <x v="385"/>
    <x v="432"/>
    <n v="0.09316681022107379"/>
    <n v="315850"/>
    <m/>
    <m/>
    <m/>
    <m/>
    <m/>
    <m/>
    <m/>
    <m/>
    <m/>
    <m/>
    <m/>
    <m/>
    <m/>
    <n v="20000"/>
    <m/>
    <m/>
    <m/>
    <m/>
    <m/>
    <m/>
    <m/>
    <m/>
    <m/>
    <n v="255850"/>
    <m/>
    <n v="40000"/>
    <m/>
    <m/>
    <m/>
    <m/>
    <m/>
    <m/>
    <m/>
    <m/>
    <m/>
    <m/>
    <m/>
    <m/>
    <m/>
    <m/>
    <m/>
    <m/>
    <m/>
    <m/>
    <m/>
    <m/>
    <m/>
    <m/>
  </r>
  <r>
    <m/>
    <x v="386"/>
    <x v="3"/>
    <s v="トイレ交換　産廃運搬"/>
    <x v="16"/>
    <x v="386"/>
    <x v="433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68"/>
    <x v="11"/>
    <s v="UBシート張り"/>
    <x v="16"/>
    <x v="355"/>
    <x v="434"/>
    <n v="0.1642307692307692"/>
    <n v="217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9400"/>
    <m/>
    <m/>
    <m/>
    <m/>
    <m/>
    <m/>
    <m/>
    <m/>
    <n v="17900"/>
  </r>
  <r>
    <m/>
    <x v="387"/>
    <x v="3"/>
    <s v="カーポート電源工事"/>
    <x v="16"/>
    <x v="387"/>
    <x v="435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88"/>
    <x v="31"/>
    <s v="タッチアップ"/>
    <x v="30"/>
    <x v="388"/>
    <x v="403"/>
    <n v="0.5454545454545454"/>
    <n v="10000"/>
    <m/>
    <m/>
    <m/>
    <m/>
    <m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44"/>
    <x v="11"/>
    <s v="屋根工事"/>
    <x v="16"/>
    <x v="389"/>
    <x v="436"/>
    <n v="0.1335700066357001"/>
    <n v="130571"/>
    <n v="70000"/>
    <m/>
    <m/>
    <m/>
    <m/>
    <n v="8000"/>
    <m/>
    <m/>
    <m/>
    <m/>
    <m/>
    <m/>
    <m/>
    <n v="40000"/>
    <n v="125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86"/>
    <x v="3"/>
    <s v="UB入替　化粧台入替"/>
    <x v="16"/>
    <x v="390"/>
    <x v="437"/>
    <n v="-0.04014272970561998"/>
    <n v="347468"/>
    <m/>
    <m/>
    <m/>
    <m/>
    <m/>
    <m/>
    <m/>
    <m/>
    <m/>
    <m/>
    <m/>
    <m/>
    <m/>
    <n v="80000"/>
    <n v="12468"/>
    <m/>
    <m/>
    <n v="70000"/>
    <n v="140000"/>
    <m/>
    <m/>
    <m/>
    <m/>
    <n v="45000"/>
    <m/>
    <m/>
    <m/>
    <m/>
    <m/>
    <m/>
    <m/>
    <m/>
    <m/>
    <m/>
    <m/>
    <m/>
    <m/>
    <m/>
    <m/>
    <m/>
    <m/>
    <m/>
    <m/>
    <m/>
    <m/>
    <m/>
    <m/>
    <m/>
  </r>
  <r>
    <m/>
    <x v="389"/>
    <x v="3"/>
    <s v="浴室乾燥　洗面暖房工事"/>
    <x v="16"/>
    <x v="365"/>
    <x v="438"/>
    <n v="-0.04772340425531915"/>
    <n v="98486"/>
    <m/>
    <m/>
    <m/>
    <m/>
    <m/>
    <m/>
    <m/>
    <m/>
    <m/>
    <m/>
    <m/>
    <m/>
    <m/>
    <n v="16000"/>
    <n v="7486"/>
    <m/>
    <m/>
    <n v="55000"/>
    <m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390"/>
    <x v="3"/>
    <s v="ﾚﾝｼﾞﾌｰﾄﾞ交換　キッチン水栓交換"/>
    <x v="16"/>
    <x v="391"/>
    <x v="439"/>
    <n v="0.8151058518997873"/>
    <n v="12000"/>
    <m/>
    <m/>
    <m/>
    <m/>
    <m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1"/>
    <x v="3"/>
    <s v="UB入替"/>
    <x v="16"/>
    <x v="392"/>
    <x v="440"/>
    <n v="0.1700570273087058"/>
    <n v="239695"/>
    <m/>
    <m/>
    <m/>
    <m/>
    <m/>
    <m/>
    <m/>
    <m/>
    <m/>
    <m/>
    <m/>
    <m/>
    <m/>
    <n v="75000"/>
    <n v="9695"/>
    <m/>
    <m/>
    <n v="45000"/>
    <n v="11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2"/>
    <x v="11"/>
    <m/>
    <x v="16"/>
    <x v="5"/>
    <x v="441"/>
    <e v="#DIV/0!"/>
    <n v="60000"/>
    <m/>
    <m/>
    <m/>
    <m/>
    <m/>
    <m/>
    <m/>
    <m/>
    <m/>
    <m/>
    <m/>
    <m/>
    <m/>
    <m/>
    <m/>
    <m/>
    <m/>
    <n v="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3"/>
    <x v="11"/>
    <s v="植栽剪定"/>
    <x v="16"/>
    <x v="393"/>
    <x v="442"/>
    <n v="0.2132352941176471"/>
    <n v="53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5000"/>
    <m/>
  </r>
  <r>
    <m/>
    <x v="394"/>
    <x v="11"/>
    <s v="ヒーター巻き トイレ交換 水栓交換"/>
    <x v="16"/>
    <x v="394"/>
    <x v="443"/>
    <n v="0.207252049512181"/>
    <n v="259445"/>
    <m/>
    <m/>
    <m/>
    <m/>
    <m/>
    <m/>
    <m/>
    <m/>
    <m/>
    <m/>
    <m/>
    <m/>
    <m/>
    <m/>
    <m/>
    <m/>
    <m/>
    <m/>
    <n v="153000"/>
    <m/>
    <m/>
    <m/>
    <m/>
    <m/>
    <m/>
    <m/>
    <m/>
    <m/>
    <m/>
    <m/>
    <m/>
    <n v="106445"/>
    <m/>
    <m/>
    <m/>
    <m/>
    <m/>
    <m/>
    <m/>
    <m/>
    <m/>
    <m/>
    <m/>
    <m/>
    <m/>
    <m/>
    <m/>
    <m/>
  </r>
  <r>
    <m/>
    <x v="395"/>
    <x v="11"/>
    <s v="東杜シーテック　漏水工事"/>
    <x v="16"/>
    <x v="395"/>
    <x v="444"/>
    <n v="0.3662184300341297"/>
    <n v="185698"/>
    <m/>
    <m/>
    <m/>
    <m/>
    <m/>
    <m/>
    <m/>
    <m/>
    <m/>
    <m/>
    <m/>
    <m/>
    <m/>
    <n v="20000"/>
    <n v="4698"/>
    <m/>
    <m/>
    <m/>
    <n v="161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6"/>
    <x v="11"/>
    <s v="吸着フロア張り"/>
    <x v="16"/>
    <x v="396"/>
    <x v="445"/>
    <n v="0.6756756756756757"/>
    <n v="24000"/>
    <m/>
    <m/>
    <m/>
    <m/>
    <m/>
    <m/>
    <m/>
    <m/>
    <m/>
    <m/>
    <m/>
    <m/>
    <m/>
    <n v="2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6"/>
    <x v="11"/>
    <s v="バルコニータイル　浴室水栓"/>
    <x v="16"/>
    <x v="397"/>
    <x v="125"/>
    <n v="0.8208955223880597"/>
    <n v="12000"/>
    <m/>
    <m/>
    <m/>
    <m/>
    <m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7"/>
    <x v="11"/>
    <s v="雨漏れ　内装"/>
    <x v="16"/>
    <x v="398"/>
    <x v="446"/>
    <n v="0.3157171717171717"/>
    <n v="67744"/>
    <m/>
    <m/>
    <m/>
    <m/>
    <m/>
    <m/>
    <m/>
    <m/>
    <m/>
    <m/>
    <m/>
    <m/>
    <m/>
    <n v="62000"/>
    <n v="57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8"/>
    <x v="3"/>
    <s v="エコカラット"/>
    <x v="17"/>
    <x v="399"/>
    <x v="447"/>
    <n v="0.2327511490479317"/>
    <n v="58426"/>
    <m/>
    <m/>
    <m/>
    <m/>
    <m/>
    <m/>
    <m/>
    <m/>
    <m/>
    <m/>
    <m/>
    <m/>
    <m/>
    <n v="50000"/>
    <n v="84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99"/>
    <x v="3"/>
    <s v="キッチン・UB・トイレ"/>
    <x v="17"/>
    <x v="400"/>
    <x v="448"/>
    <n v="0.1323895913505589"/>
    <n v="378764"/>
    <m/>
    <m/>
    <m/>
    <m/>
    <m/>
    <m/>
    <m/>
    <m/>
    <m/>
    <m/>
    <m/>
    <m/>
    <m/>
    <n v="110000"/>
    <n v="15764"/>
    <m/>
    <m/>
    <n v="90000"/>
    <n v="108000"/>
    <m/>
    <m/>
    <m/>
    <m/>
    <n v="55000"/>
    <m/>
    <m/>
    <m/>
    <m/>
    <m/>
    <m/>
    <m/>
    <m/>
    <m/>
    <m/>
    <m/>
    <m/>
    <m/>
    <m/>
    <m/>
    <m/>
    <m/>
    <m/>
    <m/>
    <m/>
    <m/>
    <m/>
    <m/>
    <m/>
  </r>
  <r>
    <m/>
    <x v="400"/>
    <x v="3"/>
    <s v="トイレ交換　エコカラット　インプラス枠"/>
    <x v="17"/>
    <x v="401"/>
    <x v="449"/>
    <n v="-0.1561466302522434"/>
    <n v="136312"/>
    <m/>
    <m/>
    <m/>
    <m/>
    <m/>
    <m/>
    <m/>
    <m/>
    <m/>
    <m/>
    <m/>
    <m/>
    <m/>
    <n v="25000"/>
    <n v="2312"/>
    <m/>
    <m/>
    <n v="15000"/>
    <n v="59000"/>
    <m/>
    <m/>
    <m/>
    <m/>
    <n v="35000"/>
    <m/>
    <m/>
    <m/>
    <m/>
    <m/>
    <m/>
    <m/>
    <m/>
    <m/>
    <m/>
    <m/>
    <m/>
    <m/>
    <m/>
    <m/>
    <m/>
    <m/>
    <m/>
    <m/>
    <m/>
    <m/>
    <m/>
    <m/>
    <m/>
  </r>
  <r>
    <m/>
    <x v="348"/>
    <x v="3"/>
    <s v="ｽｲｯﾁ追加　絵k商大LED"/>
    <x v="17"/>
    <x v="402"/>
    <x v="450"/>
    <n v="0.06040268456375839"/>
    <n v="70000"/>
    <m/>
    <m/>
    <m/>
    <m/>
    <m/>
    <m/>
    <m/>
    <m/>
    <m/>
    <m/>
    <m/>
    <m/>
    <m/>
    <m/>
    <m/>
    <m/>
    <m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01"/>
    <x v="3"/>
    <s v="インプラス枠　壁断熱工事"/>
    <x v="17"/>
    <x v="403"/>
    <x v="451"/>
    <n v="0.3167045823854404"/>
    <n v="138765"/>
    <m/>
    <m/>
    <m/>
    <m/>
    <m/>
    <m/>
    <m/>
    <m/>
    <m/>
    <m/>
    <m/>
    <m/>
    <m/>
    <n v="100000"/>
    <n v="18765"/>
    <m/>
    <m/>
    <m/>
    <m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402"/>
    <x v="34"/>
    <s v="積上げ　キッチン交換"/>
    <x v="17"/>
    <x v="404"/>
    <x v="452"/>
    <n v="0.4978966565349544"/>
    <n v="495576"/>
    <m/>
    <m/>
    <m/>
    <m/>
    <m/>
    <m/>
    <m/>
    <m/>
    <m/>
    <m/>
    <m/>
    <m/>
    <m/>
    <n v="123000"/>
    <n v="29518"/>
    <m/>
    <m/>
    <n v="26000"/>
    <m/>
    <n v="48000"/>
    <m/>
    <m/>
    <m/>
    <n v="103000"/>
    <m/>
    <n v="21500"/>
    <m/>
    <m/>
    <m/>
    <m/>
    <m/>
    <n v="23000"/>
    <m/>
    <m/>
    <m/>
    <n v="121558"/>
    <m/>
    <m/>
    <m/>
    <m/>
    <m/>
    <m/>
    <m/>
    <m/>
    <m/>
    <m/>
    <m/>
    <m/>
  </r>
  <r>
    <m/>
    <x v="403"/>
    <x v="34"/>
    <s v="積上げ　キッチン交換"/>
    <x v="17"/>
    <x v="405"/>
    <x v="453"/>
    <n v="0.4743284671532847"/>
    <n v="576136"/>
    <m/>
    <m/>
    <m/>
    <m/>
    <m/>
    <m/>
    <m/>
    <m/>
    <m/>
    <m/>
    <m/>
    <m/>
    <m/>
    <n v="123000"/>
    <n v="29518"/>
    <m/>
    <m/>
    <n v="26000"/>
    <m/>
    <n v="48000"/>
    <m/>
    <m/>
    <m/>
    <n v="183560"/>
    <m/>
    <n v="21500"/>
    <m/>
    <m/>
    <m/>
    <m/>
    <m/>
    <n v="23000"/>
    <m/>
    <m/>
    <m/>
    <n v="121558"/>
    <m/>
    <m/>
    <m/>
    <m/>
    <m/>
    <m/>
    <m/>
    <m/>
    <m/>
    <m/>
    <m/>
    <m/>
  </r>
  <r>
    <m/>
    <x v="404"/>
    <x v="34"/>
    <s v="積上げ　キッチン交換"/>
    <x v="17"/>
    <x v="406"/>
    <x v="454"/>
    <n v="0.3535373891001267"/>
    <n v="510059"/>
    <m/>
    <m/>
    <m/>
    <m/>
    <m/>
    <m/>
    <m/>
    <m/>
    <m/>
    <m/>
    <m/>
    <m/>
    <m/>
    <n v="78000"/>
    <n v="26768"/>
    <m/>
    <m/>
    <n v="70000"/>
    <m/>
    <n v="48000"/>
    <m/>
    <m/>
    <m/>
    <n v="81408"/>
    <m/>
    <n v="21500"/>
    <m/>
    <m/>
    <m/>
    <m/>
    <m/>
    <m/>
    <m/>
    <m/>
    <m/>
    <n v="184383"/>
    <m/>
    <m/>
    <m/>
    <m/>
    <m/>
    <m/>
    <m/>
    <m/>
    <m/>
    <m/>
    <m/>
    <m/>
  </r>
  <r>
    <m/>
    <x v="405"/>
    <x v="34"/>
    <s v="積上げ　キッチン交換"/>
    <x v="17"/>
    <x v="407"/>
    <x v="455"/>
    <n v="0.3851932692307692"/>
    <n v="639399"/>
    <m/>
    <m/>
    <m/>
    <m/>
    <m/>
    <m/>
    <m/>
    <m/>
    <m/>
    <m/>
    <m/>
    <m/>
    <m/>
    <n v="117000"/>
    <n v="26768"/>
    <m/>
    <m/>
    <n v="48000"/>
    <m/>
    <n v="138000"/>
    <m/>
    <m/>
    <m/>
    <n v="118535"/>
    <m/>
    <n v="21500"/>
    <m/>
    <m/>
    <m/>
    <m/>
    <m/>
    <m/>
    <m/>
    <m/>
    <m/>
    <n v="169596"/>
    <m/>
    <m/>
    <m/>
    <m/>
    <m/>
    <m/>
    <m/>
    <m/>
    <m/>
    <m/>
    <m/>
    <m/>
  </r>
  <r>
    <m/>
    <x v="406"/>
    <x v="34"/>
    <s v="積上げ　キッチン交換"/>
    <x v="17"/>
    <x v="408"/>
    <x v="456"/>
    <n v="0.2991369000786782"/>
    <n v="890797"/>
    <m/>
    <m/>
    <m/>
    <m/>
    <m/>
    <m/>
    <m/>
    <m/>
    <m/>
    <m/>
    <m/>
    <m/>
    <m/>
    <n v="120000"/>
    <n v="44252"/>
    <m/>
    <m/>
    <n v="45000"/>
    <m/>
    <n v="133200"/>
    <m/>
    <m/>
    <m/>
    <n v="149650"/>
    <m/>
    <n v="23500"/>
    <m/>
    <m/>
    <m/>
    <m/>
    <m/>
    <n v="315486"/>
    <m/>
    <m/>
    <m/>
    <n v="59709"/>
    <m/>
    <m/>
    <m/>
    <m/>
    <m/>
    <m/>
    <m/>
    <m/>
    <m/>
    <m/>
    <m/>
    <m/>
  </r>
  <r>
    <m/>
    <x v="376"/>
    <x v="3"/>
    <s v="PB貼替"/>
    <x v="17"/>
    <x v="409"/>
    <x v="457"/>
    <n v="0.2133448275862069"/>
    <n v="45626"/>
    <m/>
    <m/>
    <m/>
    <m/>
    <m/>
    <m/>
    <m/>
    <m/>
    <m/>
    <m/>
    <m/>
    <m/>
    <m/>
    <n v="40000"/>
    <n v="56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07"/>
    <x v="11"/>
    <s v="青野さん　シューズ追加"/>
    <x v="17"/>
    <x v="410"/>
    <x v="458"/>
    <n v="0.981776729495197"/>
    <n v="435000"/>
    <m/>
    <m/>
    <m/>
    <m/>
    <m/>
    <m/>
    <m/>
    <m/>
    <m/>
    <m/>
    <m/>
    <m/>
    <m/>
    <n v="280000"/>
    <m/>
    <m/>
    <m/>
    <n v="65000"/>
    <n v="70000"/>
    <m/>
    <m/>
    <m/>
    <m/>
    <n v="20000"/>
    <m/>
    <m/>
    <m/>
    <m/>
    <m/>
    <m/>
    <m/>
    <m/>
    <m/>
    <m/>
    <m/>
    <m/>
    <m/>
    <m/>
    <m/>
    <m/>
    <m/>
    <m/>
    <m/>
    <m/>
    <m/>
    <m/>
    <m/>
    <m/>
  </r>
  <r>
    <m/>
    <x v="408"/>
    <x v="11"/>
    <s v="内装工事"/>
    <x v="17"/>
    <x v="411"/>
    <x v="459"/>
    <n v="0.5789152542372882"/>
    <n v="74532"/>
    <m/>
    <m/>
    <m/>
    <m/>
    <m/>
    <m/>
    <m/>
    <m/>
    <m/>
    <m/>
    <m/>
    <m/>
    <m/>
    <m/>
    <m/>
    <m/>
    <m/>
    <m/>
    <m/>
    <m/>
    <m/>
    <m/>
    <m/>
    <n v="56032"/>
    <m/>
    <n v="18500"/>
    <m/>
    <m/>
    <m/>
    <m/>
    <m/>
    <m/>
    <m/>
    <m/>
    <m/>
    <m/>
    <m/>
    <m/>
    <m/>
    <m/>
    <m/>
    <m/>
    <m/>
    <m/>
    <m/>
    <m/>
    <m/>
    <m/>
  </r>
  <r>
    <m/>
    <x v="409"/>
    <x v="11"/>
    <s v="キッチン給湯器交換"/>
    <x v="17"/>
    <x v="370"/>
    <x v="249"/>
    <n v="0.140625"/>
    <n v="55000"/>
    <m/>
    <m/>
    <m/>
    <m/>
    <m/>
    <m/>
    <m/>
    <m/>
    <m/>
    <m/>
    <m/>
    <m/>
    <m/>
    <m/>
    <m/>
    <m/>
    <m/>
    <m/>
    <n v="5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0"/>
    <x v="34"/>
    <s v="一面塗装工事"/>
    <x v="18"/>
    <x v="412"/>
    <x v="460"/>
    <n v="0.1868"/>
    <n v="203300"/>
    <m/>
    <m/>
    <m/>
    <m/>
    <m/>
    <n v="100000"/>
    <m/>
    <m/>
    <n v="52800"/>
    <m/>
    <m/>
    <n v="50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1"/>
    <x v="11"/>
    <s v="クロス・HC"/>
    <x v="18"/>
    <x v="413"/>
    <x v="461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2"/>
    <x v="11"/>
    <s v="塗装・HC"/>
    <x v="18"/>
    <x v="414"/>
    <x v="462"/>
    <n v="0.5294117647058824"/>
    <n v="40000"/>
    <m/>
    <m/>
    <m/>
    <m/>
    <m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3"/>
    <x v="3"/>
    <s v="トイレ塗装"/>
    <x v="18"/>
    <x v="415"/>
    <x v="463"/>
    <n v="0.4140625"/>
    <n v="75000"/>
    <m/>
    <m/>
    <m/>
    <m/>
    <m/>
    <n v="7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4"/>
    <x v="35"/>
    <s v="エアコン周り大工+塗装"/>
    <x v="18"/>
    <x v="416"/>
    <x v="464"/>
    <n v="0.133780269058296"/>
    <n v="386334"/>
    <m/>
    <m/>
    <m/>
    <m/>
    <m/>
    <n v="100000"/>
    <m/>
    <m/>
    <m/>
    <m/>
    <m/>
    <m/>
    <m/>
    <n v="200000"/>
    <n v="863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5"/>
    <x v="11"/>
    <m/>
    <x v="12"/>
    <x v="417"/>
    <x v="465"/>
    <n v="0.9405658134558998"/>
    <n v="150000"/>
    <m/>
    <m/>
    <m/>
    <m/>
    <m/>
    <m/>
    <m/>
    <m/>
    <m/>
    <m/>
    <m/>
    <m/>
    <m/>
    <n v="15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6"/>
    <x v="11"/>
    <s v="エアコン取付・専用回路"/>
    <x v="19"/>
    <x v="418"/>
    <x v="156"/>
    <n v="0.1259842519685039"/>
    <n v="111000"/>
    <m/>
    <m/>
    <m/>
    <m/>
    <m/>
    <m/>
    <m/>
    <m/>
    <m/>
    <m/>
    <m/>
    <m/>
    <m/>
    <m/>
    <m/>
    <m/>
    <m/>
    <n v="11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7"/>
    <x v="11"/>
    <s v="FFヒーター撤去"/>
    <x v="19"/>
    <x v="419"/>
    <x v="466"/>
    <n v="0.25"/>
    <n v="12000"/>
    <m/>
    <m/>
    <m/>
    <m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8"/>
    <x v="34"/>
    <s v="キッチン・UB・ドアホン"/>
    <x v="19"/>
    <x v="420"/>
    <x v="467"/>
    <n v="0.2784961725817676"/>
    <n v="1036801"/>
    <m/>
    <m/>
    <m/>
    <m/>
    <m/>
    <m/>
    <m/>
    <m/>
    <m/>
    <m/>
    <m/>
    <m/>
    <m/>
    <n v="164000"/>
    <n v="29518"/>
    <m/>
    <m/>
    <n v="78000"/>
    <m/>
    <n v="67200"/>
    <m/>
    <m/>
    <m/>
    <n v="186158"/>
    <m/>
    <n v="12500"/>
    <m/>
    <m/>
    <m/>
    <m/>
    <m/>
    <n v="315403"/>
    <m/>
    <m/>
    <m/>
    <n v="184022"/>
    <m/>
    <m/>
    <m/>
    <m/>
    <m/>
    <m/>
    <m/>
    <m/>
    <m/>
    <m/>
    <m/>
    <m/>
  </r>
  <r>
    <m/>
    <x v="419"/>
    <x v="34"/>
    <s v="キッチン・UB・ドアホン"/>
    <x v="19"/>
    <x v="420"/>
    <x v="468"/>
    <n v="0.2924140570633263"/>
    <n v="1016801"/>
    <m/>
    <m/>
    <m/>
    <m/>
    <m/>
    <m/>
    <m/>
    <m/>
    <m/>
    <m/>
    <m/>
    <m/>
    <m/>
    <n v="144000"/>
    <n v="29518"/>
    <m/>
    <m/>
    <n v="78000"/>
    <m/>
    <n v="67200"/>
    <m/>
    <m/>
    <m/>
    <n v="186158"/>
    <m/>
    <n v="12500"/>
    <m/>
    <m/>
    <m/>
    <m/>
    <m/>
    <n v="315403"/>
    <m/>
    <m/>
    <m/>
    <n v="184022"/>
    <m/>
    <m/>
    <m/>
    <m/>
    <m/>
    <m/>
    <m/>
    <m/>
    <m/>
    <m/>
    <m/>
    <m/>
  </r>
  <r>
    <m/>
    <x v="420"/>
    <x v="34"/>
    <s v="キッチン・ドアホン"/>
    <x v="19"/>
    <x v="421"/>
    <x v="469"/>
    <n v="0.3800033185840708"/>
    <n v="560477"/>
    <m/>
    <m/>
    <m/>
    <m/>
    <m/>
    <m/>
    <m/>
    <m/>
    <m/>
    <m/>
    <m/>
    <m/>
    <m/>
    <n v="102000"/>
    <m/>
    <m/>
    <m/>
    <n v="65000"/>
    <m/>
    <n v="44200"/>
    <m/>
    <m/>
    <m/>
    <n v="146755"/>
    <m/>
    <n v="18500"/>
    <m/>
    <m/>
    <m/>
    <m/>
    <m/>
    <m/>
    <m/>
    <m/>
    <m/>
    <n v="184022"/>
    <m/>
    <m/>
    <m/>
    <m/>
    <m/>
    <m/>
    <m/>
    <m/>
    <m/>
    <m/>
    <m/>
    <m/>
  </r>
  <r>
    <m/>
    <x v="421"/>
    <x v="11"/>
    <s v="動力ブレーカー交換・漏電調査・動力電源"/>
    <x v="19"/>
    <x v="422"/>
    <x v="470"/>
    <n v="0.2121739130434783"/>
    <n v="453000"/>
    <m/>
    <m/>
    <m/>
    <m/>
    <m/>
    <m/>
    <m/>
    <m/>
    <m/>
    <m/>
    <m/>
    <m/>
    <m/>
    <m/>
    <m/>
    <m/>
    <m/>
    <n v="45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21"/>
    <x v="11"/>
    <s v="ガス工事"/>
    <x v="19"/>
    <x v="423"/>
    <x v="471"/>
    <n v="0.04290076335877863"/>
    <n v="1253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5380"/>
    <m/>
    <m/>
    <m/>
    <m/>
    <m/>
    <m/>
    <m/>
    <m/>
    <m/>
    <m/>
    <m/>
    <m/>
    <m/>
    <m/>
    <m/>
  </r>
  <r>
    <m/>
    <x v="422"/>
    <x v="11"/>
    <s v="砂利敷工事"/>
    <x v="19"/>
    <x v="424"/>
    <x v="472"/>
    <n v="0.152046783625731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5000"/>
    <m/>
    <m/>
    <m/>
    <m/>
    <m/>
  </r>
  <r>
    <m/>
    <x v="423"/>
    <x v="11"/>
    <s v="網戸交換"/>
    <x v="19"/>
    <x v="425"/>
    <x v="473"/>
    <n v="0.2226470588235294"/>
    <n v="52860"/>
    <m/>
    <m/>
    <m/>
    <m/>
    <m/>
    <m/>
    <m/>
    <m/>
    <m/>
    <m/>
    <m/>
    <m/>
    <m/>
    <m/>
    <m/>
    <m/>
    <m/>
    <m/>
    <m/>
    <m/>
    <n v="5286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424"/>
    <x v="11"/>
    <s v="内装工事"/>
    <x v="19"/>
    <x v="413"/>
    <x v="474"/>
    <n v="0.5187931034482759"/>
    <n v="55820"/>
    <m/>
    <m/>
    <m/>
    <m/>
    <m/>
    <m/>
    <m/>
    <m/>
    <m/>
    <m/>
    <m/>
    <m/>
    <m/>
    <m/>
    <m/>
    <m/>
    <m/>
    <m/>
    <m/>
    <m/>
    <m/>
    <m/>
    <m/>
    <n v="37320"/>
    <m/>
    <n v="18500"/>
    <m/>
    <m/>
    <m/>
    <m/>
    <m/>
    <m/>
    <m/>
    <m/>
    <m/>
    <m/>
    <m/>
    <m/>
    <m/>
    <m/>
    <m/>
    <m/>
    <m/>
    <m/>
    <m/>
    <m/>
    <m/>
    <m/>
  </r>
  <r>
    <m/>
    <x v="425"/>
    <x v="3"/>
    <s v="便器交換"/>
    <x v="19"/>
    <x v="426"/>
    <x v="475"/>
    <n v="0.1678726483357453"/>
    <n v="23000"/>
    <m/>
    <m/>
    <m/>
    <m/>
    <m/>
    <m/>
    <m/>
    <m/>
    <m/>
    <m/>
    <m/>
    <m/>
    <m/>
    <m/>
    <m/>
    <m/>
    <m/>
    <m/>
    <n v="23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26"/>
    <x v="13"/>
    <s v="ウッドデッキ交換"/>
    <x v="19"/>
    <x v="427"/>
    <x v="476"/>
    <n v="-0.03743396226415095"/>
    <n v="549840"/>
    <m/>
    <m/>
    <m/>
    <m/>
    <m/>
    <m/>
    <m/>
    <m/>
    <m/>
    <m/>
    <m/>
    <m/>
    <m/>
    <m/>
    <m/>
    <m/>
    <m/>
    <m/>
    <m/>
    <m/>
    <n v="549840"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27"/>
    <x v="3"/>
    <s v="漏水復旧工事"/>
    <x v="20"/>
    <x v="428"/>
    <x v="477"/>
    <n v="0.3104383963629536"/>
    <n v="829966"/>
    <m/>
    <m/>
    <m/>
    <m/>
    <m/>
    <m/>
    <m/>
    <m/>
    <m/>
    <m/>
    <m/>
    <m/>
    <m/>
    <n v="200000"/>
    <n v="63166"/>
    <m/>
    <m/>
    <n v="75000"/>
    <n v="414000"/>
    <m/>
    <m/>
    <m/>
    <m/>
    <n v="77800"/>
    <m/>
    <m/>
    <m/>
    <m/>
    <m/>
    <m/>
    <m/>
    <m/>
    <m/>
    <m/>
    <m/>
    <m/>
    <m/>
    <m/>
    <m/>
    <m/>
    <m/>
    <m/>
    <m/>
    <m/>
    <m/>
    <m/>
    <m/>
    <m/>
  </r>
  <r>
    <m/>
    <x v="428"/>
    <x v="3"/>
    <s v="UB・トイレ工事"/>
    <x v="20"/>
    <x v="429"/>
    <x v="478"/>
    <n v="-0.07934957242809018"/>
    <n v="416521"/>
    <m/>
    <m/>
    <m/>
    <m/>
    <m/>
    <m/>
    <m/>
    <m/>
    <m/>
    <m/>
    <m/>
    <m/>
    <m/>
    <n v="80000"/>
    <n v="43521"/>
    <m/>
    <m/>
    <n v="48000"/>
    <n v="180000"/>
    <m/>
    <m/>
    <m/>
    <m/>
    <n v="65000"/>
    <m/>
    <m/>
    <m/>
    <m/>
    <m/>
    <m/>
    <m/>
    <m/>
    <m/>
    <m/>
    <m/>
    <m/>
    <m/>
    <m/>
    <m/>
    <m/>
    <m/>
    <m/>
    <m/>
    <m/>
    <m/>
    <m/>
    <m/>
    <m/>
  </r>
  <r>
    <m/>
    <x v="429"/>
    <x v="3"/>
    <s v="浴室乾燥暖房交換"/>
    <x v="20"/>
    <x v="430"/>
    <x v="479"/>
    <n v="-0.3428483732351136"/>
    <n v="35000"/>
    <m/>
    <m/>
    <m/>
    <m/>
    <m/>
    <m/>
    <m/>
    <m/>
    <m/>
    <m/>
    <m/>
    <m/>
    <m/>
    <m/>
    <m/>
    <m/>
    <m/>
    <n v="3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30"/>
    <x v="3"/>
    <s v="漏水復旧工事"/>
    <x v="20"/>
    <x v="431"/>
    <x v="480"/>
    <n v="0.2961436272622257"/>
    <n v="731166"/>
    <m/>
    <m/>
    <m/>
    <m/>
    <m/>
    <m/>
    <m/>
    <m/>
    <m/>
    <m/>
    <m/>
    <m/>
    <m/>
    <n v="250000"/>
    <n v="63166"/>
    <m/>
    <m/>
    <n v="65000"/>
    <n v="70000"/>
    <m/>
    <m/>
    <m/>
    <m/>
    <n v="283000"/>
    <m/>
    <m/>
    <m/>
    <m/>
    <m/>
    <m/>
    <m/>
    <m/>
    <m/>
    <m/>
    <m/>
    <m/>
    <m/>
    <m/>
    <m/>
    <m/>
    <m/>
    <m/>
    <m/>
    <m/>
    <m/>
    <m/>
    <m/>
    <m/>
  </r>
  <r>
    <m/>
    <x v="431"/>
    <x v="3"/>
    <s v="クロス"/>
    <x v="20"/>
    <x v="432"/>
    <x v="481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32"/>
    <x v="3"/>
    <s v="トイレ交換"/>
    <x v="20"/>
    <x v="433"/>
    <x v="482"/>
    <n v="0.1400978965471623"/>
    <n v="26000"/>
    <m/>
    <m/>
    <m/>
    <m/>
    <m/>
    <m/>
    <m/>
    <m/>
    <m/>
    <m/>
    <m/>
    <m/>
    <m/>
    <m/>
    <m/>
    <m/>
    <m/>
    <m/>
    <n v="26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33"/>
    <x v="11"/>
    <s v="電気・カウンター撤去・内装"/>
    <x v="20"/>
    <x v="434"/>
    <x v="483"/>
    <n v="0.5135933609958506"/>
    <n v="117224"/>
    <m/>
    <m/>
    <m/>
    <m/>
    <m/>
    <m/>
    <m/>
    <m/>
    <m/>
    <m/>
    <m/>
    <m/>
    <m/>
    <n v="20000"/>
    <n v="7224"/>
    <m/>
    <m/>
    <n v="40000"/>
    <m/>
    <m/>
    <m/>
    <m/>
    <m/>
    <n v="50000"/>
    <m/>
    <m/>
    <m/>
    <m/>
    <m/>
    <m/>
    <m/>
    <m/>
    <m/>
    <m/>
    <m/>
    <m/>
    <m/>
    <m/>
    <m/>
    <m/>
    <m/>
    <m/>
    <m/>
    <m/>
    <m/>
    <m/>
    <m/>
    <m/>
  </r>
  <r>
    <m/>
    <x v="434"/>
    <x v="3"/>
    <s v="キッチン交換"/>
    <x v="20"/>
    <x v="435"/>
    <x v="484"/>
    <n v="0.4429842271293375"/>
    <n v="176574"/>
    <m/>
    <m/>
    <m/>
    <m/>
    <m/>
    <m/>
    <m/>
    <m/>
    <m/>
    <m/>
    <m/>
    <m/>
    <m/>
    <n v="70000"/>
    <n v="16574"/>
    <m/>
    <m/>
    <n v="40000"/>
    <n v="5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35"/>
    <x v="34"/>
    <s v="キッチン・UB・ドアホン"/>
    <x v="20"/>
    <x v="436"/>
    <x v="485"/>
    <n v="0.3050575916230366"/>
    <n v="929138"/>
    <m/>
    <m/>
    <m/>
    <m/>
    <m/>
    <m/>
    <m/>
    <m/>
    <m/>
    <m/>
    <m/>
    <m/>
    <m/>
    <n v="124000"/>
    <m/>
    <m/>
    <m/>
    <n v="80000"/>
    <m/>
    <n v="132000"/>
    <m/>
    <m/>
    <m/>
    <n v="183158"/>
    <m/>
    <n v="14000"/>
    <m/>
    <m/>
    <m/>
    <m/>
    <m/>
    <n v="251980"/>
    <m/>
    <m/>
    <m/>
    <n v="144000"/>
    <m/>
    <m/>
    <m/>
    <m/>
    <m/>
    <m/>
    <m/>
    <m/>
    <m/>
    <m/>
    <m/>
    <m/>
  </r>
  <r>
    <m/>
    <x v="436"/>
    <x v="34"/>
    <s v="キッチン・UB・ドアホン"/>
    <x v="20"/>
    <x v="437"/>
    <x v="486"/>
    <n v="0.2931628613010751"/>
    <n v="903352"/>
    <m/>
    <m/>
    <m/>
    <m/>
    <m/>
    <m/>
    <m/>
    <m/>
    <m/>
    <m/>
    <m/>
    <m/>
    <m/>
    <n v="124000"/>
    <n v="8779"/>
    <m/>
    <m/>
    <n v="80000"/>
    <m/>
    <n v="132000"/>
    <m/>
    <m/>
    <m/>
    <n v="148593"/>
    <m/>
    <n v="14000"/>
    <m/>
    <m/>
    <m/>
    <m/>
    <m/>
    <n v="251980"/>
    <m/>
    <m/>
    <m/>
    <n v="144000"/>
    <m/>
    <m/>
    <m/>
    <m/>
    <m/>
    <m/>
    <m/>
    <m/>
    <m/>
    <m/>
    <m/>
    <m/>
  </r>
  <r>
    <m/>
    <x v="437"/>
    <x v="11"/>
    <s v="店舗造作"/>
    <x v="20"/>
    <x v="44"/>
    <x v="487"/>
    <n v="0.4049626666666667"/>
    <n v="1785112"/>
    <m/>
    <m/>
    <m/>
    <m/>
    <n v="30000"/>
    <m/>
    <m/>
    <m/>
    <m/>
    <m/>
    <m/>
    <m/>
    <m/>
    <n v="230000"/>
    <n v="110522"/>
    <m/>
    <m/>
    <m/>
    <n v="266000"/>
    <m/>
    <n v="500000"/>
    <m/>
    <m/>
    <n v="467800"/>
    <m/>
    <m/>
    <m/>
    <m/>
    <m/>
    <n v="26000"/>
    <m/>
    <n v="154790"/>
    <m/>
    <m/>
    <m/>
    <m/>
    <m/>
    <m/>
    <m/>
    <m/>
    <m/>
    <m/>
    <m/>
    <m/>
    <m/>
    <m/>
    <m/>
    <m/>
  </r>
  <r>
    <m/>
    <x v="438"/>
    <x v="34"/>
    <s v="トイレ・化粧台 ｲﾝﾀｰ・浴室水栓"/>
    <x v="20"/>
    <x v="438"/>
    <x v="488"/>
    <n v="0.617287833246547"/>
    <n v="371160"/>
    <m/>
    <m/>
    <m/>
    <m/>
    <m/>
    <m/>
    <m/>
    <m/>
    <m/>
    <m/>
    <m/>
    <m/>
    <m/>
    <n v="52000"/>
    <m/>
    <m/>
    <m/>
    <m/>
    <m/>
    <n v="142000"/>
    <m/>
    <m/>
    <m/>
    <m/>
    <m/>
    <m/>
    <m/>
    <m/>
    <m/>
    <m/>
    <n v="74360"/>
    <n v="67800"/>
    <m/>
    <m/>
    <m/>
    <m/>
    <n v="35000"/>
    <m/>
    <m/>
    <m/>
    <m/>
    <m/>
    <m/>
    <m/>
    <m/>
    <m/>
    <m/>
    <m/>
  </r>
  <r>
    <m/>
    <x v="22"/>
    <x v="0"/>
    <m/>
    <x v="12"/>
    <x v="5"/>
    <x v="21"/>
    <s v="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39"/>
    <x v="11"/>
    <s v="コンセント移設工事"/>
    <x v="20"/>
    <x v="439"/>
    <x v="273"/>
    <n v="0"/>
    <n v="15000"/>
    <m/>
    <m/>
    <m/>
    <m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0"/>
    <x v="34"/>
    <s v="キッチン・UB・インターホン"/>
    <x v="20"/>
    <x v="440"/>
    <x v="489"/>
    <n v="0.6086325553560742"/>
    <n v="523180"/>
    <m/>
    <m/>
    <m/>
    <m/>
    <m/>
    <m/>
    <m/>
    <m/>
    <m/>
    <m/>
    <m/>
    <m/>
    <m/>
    <n v="124000"/>
    <m/>
    <m/>
    <m/>
    <n v="80000"/>
    <m/>
    <n v="67200"/>
    <m/>
    <m/>
    <m/>
    <m/>
    <m/>
    <m/>
    <m/>
    <m/>
    <m/>
    <m/>
    <m/>
    <n v="251980"/>
    <m/>
    <m/>
    <m/>
    <m/>
    <m/>
    <m/>
    <m/>
    <m/>
    <m/>
    <m/>
    <m/>
    <m/>
    <m/>
    <m/>
    <m/>
    <m/>
  </r>
  <r>
    <m/>
    <x v="441"/>
    <x v="11"/>
    <s v="内装工事"/>
    <x v="20"/>
    <x v="441"/>
    <x v="490"/>
    <n v="0.3205601851851852"/>
    <n v="146759"/>
    <m/>
    <m/>
    <m/>
    <m/>
    <m/>
    <m/>
    <m/>
    <m/>
    <m/>
    <m/>
    <m/>
    <m/>
    <m/>
    <n v="50000"/>
    <n v="5859"/>
    <m/>
    <m/>
    <m/>
    <m/>
    <m/>
    <m/>
    <m/>
    <m/>
    <n v="66400"/>
    <m/>
    <n v="14000"/>
    <n v="10500"/>
    <m/>
    <m/>
    <m/>
    <m/>
    <m/>
    <m/>
    <m/>
    <m/>
    <m/>
    <m/>
    <m/>
    <m/>
    <m/>
    <m/>
    <m/>
    <m/>
    <m/>
    <m/>
    <m/>
    <m/>
    <m/>
  </r>
  <r>
    <m/>
    <x v="442"/>
    <x v="3"/>
    <s v="内装工事"/>
    <x v="12"/>
    <x v="442"/>
    <x v="491"/>
    <n v="-0.1011011011011011"/>
    <n v="55000"/>
    <m/>
    <m/>
    <m/>
    <m/>
    <m/>
    <m/>
    <m/>
    <m/>
    <m/>
    <m/>
    <m/>
    <m/>
    <m/>
    <m/>
    <m/>
    <m/>
    <m/>
    <m/>
    <m/>
    <m/>
    <m/>
    <m/>
    <m/>
    <n v="55000"/>
    <m/>
    <m/>
    <m/>
    <m/>
    <m/>
    <m/>
    <m/>
    <m/>
    <m/>
    <m/>
    <m/>
    <m/>
    <m/>
    <m/>
    <m/>
    <m/>
    <m/>
    <m/>
    <m/>
    <m/>
    <m/>
    <m/>
    <m/>
    <m/>
  </r>
  <r>
    <m/>
    <x v="443"/>
    <x v="11"/>
    <s v="部品交換"/>
    <x v="21"/>
    <x v="443"/>
    <x v="492"/>
    <n v="0.5908612440191388"/>
    <n v="256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53"/>
    <m/>
    <m/>
    <m/>
    <m/>
    <m/>
    <m/>
    <m/>
    <m/>
    <m/>
    <m/>
    <m/>
    <m/>
    <m/>
    <m/>
    <m/>
    <m/>
  </r>
  <r>
    <m/>
    <x v="424"/>
    <x v="11"/>
    <s v="水栓交換"/>
    <x v="21"/>
    <x v="444"/>
    <x v="16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4"/>
    <x v="11"/>
    <s v="屋根塗装"/>
    <x v="21"/>
    <x v="445"/>
    <x v="493"/>
    <n v="0.2613793103448276"/>
    <n v="428400"/>
    <n v="110000"/>
    <m/>
    <m/>
    <m/>
    <n v="240000"/>
    <m/>
    <m/>
    <m/>
    <m/>
    <m/>
    <m/>
    <n v="78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5"/>
    <x v="3"/>
    <s v="UB・化粧台工事"/>
    <x v="21"/>
    <x v="446"/>
    <x v="494"/>
    <n v="0.2520076835844384"/>
    <n v="323200"/>
    <m/>
    <m/>
    <m/>
    <m/>
    <m/>
    <m/>
    <m/>
    <m/>
    <m/>
    <m/>
    <m/>
    <m/>
    <m/>
    <n v="92800"/>
    <m/>
    <m/>
    <m/>
    <n v="66400"/>
    <n v="120000"/>
    <m/>
    <m/>
    <m/>
    <m/>
    <n v="44000"/>
    <m/>
    <m/>
    <m/>
    <m/>
    <m/>
    <m/>
    <m/>
    <m/>
    <m/>
    <m/>
    <m/>
    <m/>
    <m/>
    <m/>
    <m/>
    <m/>
    <m/>
    <m/>
    <m/>
    <m/>
    <m/>
    <m/>
    <m/>
    <m/>
  </r>
  <r>
    <m/>
    <x v="446"/>
    <x v="3"/>
    <s v="インプラス枠"/>
    <x v="21"/>
    <x v="447"/>
    <x v="495"/>
    <n v="0.2792792792792793"/>
    <n v="77600"/>
    <m/>
    <m/>
    <m/>
    <m/>
    <m/>
    <m/>
    <m/>
    <m/>
    <m/>
    <m/>
    <m/>
    <m/>
    <m/>
    <n v="77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7"/>
    <x v="3"/>
    <s v="キッチン水栓・ガスコンロ　エコカラット工事"/>
    <x v="21"/>
    <x v="448"/>
    <x v="496"/>
    <n v="0.1910277624563339"/>
    <n v="88000"/>
    <m/>
    <m/>
    <m/>
    <m/>
    <m/>
    <m/>
    <m/>
    <m/>
    <m/>
    <m/>
    <m/>
    <m/>
    <m/>
    <n v="43000"/>
    <m/>
    <m/>
    <m/>
    <m/>
    <n v="45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8"/>
    <x v="3"/>
    <s v="トイレ交換　キッチン床"/>
    <x v="21"/>
    <x v="449"/>
    <x v="497"/>
    <n v="0.25997425997426"/>
    <n v="92000"/>
    <m/>
    <m/>
    <m/>
    <m/>
    <m/>
    <m/>
    <m/>
    <m/>
    <m/>
    <m/>
    <m/>
    <m/>
    <m/>
    <n v="20000"/>
    <m/>
    <m/>
    <m/>
    <n v="12000"/>
    <n v="20000"/>
    <m/>
    <m/>
    <m/>
    <m/>
    <n v="40000"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49"/>
    <x v="3"/>
    <s v="トイレ交換　照明・エコカラット"/>
    <x v="22"/>
    <x v="450"/>
    <x v="498"/>
    <n v="-0.004421268333911407"/>
    <n v="251942"/>
    <m/>
    <m/>
    <m/>
    <m/>
    <m/>
    <m/>
    <m/>
    <m/>
    <m/>
    <m/>
    <m/>
    <m/>
    <m/>
    <n v="40000"/>
    <n v="11942"/>
    <m/>
    <m/>
    <n v="50000"/>
    <n v="63000"/>
    <m/>
    <m/>
    <m/>
    <m/>
    <n v="87000"/>
    <m/>
    <m/>
    <m/>
    <m/>
    <m/>
    <m/>
    <m/>
    <m/>
    <m/>
    <m/>
    <m/>
    <m/>
    <m/>
    <m/>
    <m/>
    <m/>
    <m/>
    <m/>
    <m/>
    <m/>
    <m/>
    <m/>
    <m/>
    <m/>
  </r>
  <r>
    <m/>
    <x v="450"/>
    <x v="3"/>
    <s v="UB・洗面所工事"/>
    <x v="22"/>
    <x v="451"/>
    <x v="499"/>
    <n v="0.03939433184398541"/>
    <n v="445039"/>
    <m/>
    <m/>
    <m/>
    <m/>
    <m/>
    <m/>
    <m/>
    <m/>
    <m/>
    <m/>
    <m/>
    <m/>
    <m/>
    <n v="91000"/>
    <n v="26039"/>
    <m/>
    <m/>
    <n v="80000"/>
    <n v="173000"/>
    <m/>
    <m/>
    <m/>
    <m/>
    <n v="75000"/>
    <m/>
    <m/>
    <m/>
    <m/>
    <m/>
    <m/>
    <m/>
    <m/>
    <m/>
    <m/>
    <m/>
    <m/>
    <m/>
    <m/>
    <m/>
    <m/>
    <m/>
    <m/>
    <m/>
    <m/>
    <m/>
    <m/>
    <m/>
    <m/>
  </r>
  <r>
    <m/>
    <x v="451"/>
    <x v="36"/>
    <m/>
    <x v="22"/>
    <x v="5"/>
    <x v="500"/>
    <e v="#DIV/0!"/>
    <n v="1735973"/>
    <m/>
    <m/>
    <m/>
    <m/>
    <m/>
    <m/>
    <m/>
    <m/>
    <m/>
    <m/>
    <m/>
    <m/>
    <m/>
    <n v="660000"/>
    <n v="549973"/>
    <m/>
    <m/>
    <n v="168000"/>
    <n v="358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52"/>
    <x v="36"/>
    <m/>
    <x v="22"/>
    <x v="5"/>
    <x v="501"/>
    <e v="#DIV/0!"/>
    <n v="120000"/>
    <m/>
    <m/>
    <m/>
    <m/>
    <m/>
    <m/>
    <m/>
    <m/>
    <m/>
    <m/>
    <m/>
    <m/>
    <m/>
    <m/>
    <m/>
    <m/>
    <m/>
    <n v="1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53"/>
    <x v="36"/>
    <s v="ガードポール交換　清野"/>
    <x v="22"/>
    <x v="5"/>
    <x v="502"/>
    <e v="#DIV/0!"/>
    <n v="5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"/>
    <m/>
    <m/>
    <m/>
    <m/>
    <m/>
  </r>
  <r>
    <m/>
    <x v="454"/>
    <x v="36"/>
    <m/>
    <x v="22"/>
    <x v="5"/>
    <x v="501"/>
    <e v="#DIV/0!"/>
    <n v="120000"/>
    <m/>
    <m/>
    <m/>
    <m/>
    <m/>
    <m/>
    <m/>
    <m/>
    <m/>
    <m/>
    <m/>
    <m/>
    <m/>
    <m/>
    <m/>
    <m/>
    <m/>
    <m/>
    <m/>
    <m/>
    <m/>
    <m/>
    <m/>
    <n v="120000"/>
    <m/>
    <m/>
    <m/>
    <m/>
    <m/>
    <m/>
    <m/>
    <m/>
    <m/>
    <m/>
    <m/>
    <m/>
    <m/>
    <m/>
    <m/>
    <m/>
    <m/>
    <m/>
    <m/>
    <m/>
    <m/>
    <m/>
    <m/>
    <m/>
  </r>
  <r>
    <m/>
    <x v="414"/>
    <x v="35"/>
    <s v="体育館工事　テナント外壁補修"/>
    <x v="22"/>
    <x v="452"/>
    <x v="503"/>
    <n v="0.3474088291746641"/>
    <n v="34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0000"/>
    <m/>
    <m/>
    <m/>
    <m/>
    <m/>
    <m/>
    <m/>
    <m/>
    <m/>
    <m/>
    <m/>
    <m/>
    <m/>
    <m/>
    <m/>
    <m/>
  </r>
  <r>
    <m/>
    <x v="455"/>
    <x v="3"/>
    <s v="ブラインド取付"/>
    <x v="22"/>
    <x v="453"/>
    <x v="504"/>
    <n v="0.2783765702817215"/>
    <n v="48540"/>
    <m/>
    <m/>
    <m/>
    <m/>
    <m/>
    <m/>
    <m/>
    <m/>
    <m/>
    <m/>
    <m/>
    <m/>
    <m/>
    <n v="15000"/>
    <m/>
    <m/>
    <m/>
    <m/>
    <m/>
    <m/>
    <m/>
    <m/>
    <m/>
    <m/>
    <m/>
    <m/>
    <m/>
    <m/>
    <m/>
    <m/>
    <m/>
    <m/>
    <m/>
    <m/>
    <m/>
    <m/>
    <m/>
    <m/>
    <m/>
    <m/>
    <m/>
    <n v="33540"/>
    <m/>
    <m/>
    <m/>
    <m/>
    <m/>
    <m/>
  </r>
  <r>
    <m/>
    <x v="456"/>
    <x v="34"/>
    <s v="UB・キッチン　リノベ"/>
    <x v="22"/>
    <x v="454"/>
    <x v="505"/>
    <n v="0.4728721762312333"/>
    <n v="751368"/>
    <m/>
    <m/>
    <m/>
    <m/>
    <m/>
    <m/>
    <m/>
    <m/>
    <m/>
    <m/>
    <m/>
    <m/>
    <m/>
    <n v="122000"/>
    <n v="18682"/>
    <m/>
    <m/>
    <n v="60000"/>
    <m/>
    <n v="92200"/>
    <m/>
    <m/>
    <m/>
    <m/>
    <m/>
    <m/>
    <m/>
    <m/>
    <m/>
    <m/>
    <m/>
    <n v="315486"/>
    <m/>
    <m/>
    <m/>
    <n v="143000"/>
    <m/>
    <m/>
    <m/>
    <m/>
    <m/>
    <m/>
    <m/>
    <m/>
    <m/>
    <m/>
    <m/>
    <m/>
  </r>
  <r>
    <m/>
    <x v="457"/>
    <x v="34"/>
    <s v="キッチン入替 インターホン ジャック"/>
    <x v="22"/>
    <x v="455"/>
    <x v="506"/>
    <n v="0.4522020410642692"/>
    <n v="901785"/>
    <m/>
    <m/>
    <m/>
    <m/>
    <n v="44600"/>
    <m/>
    <m/>
    <m/>
    <m/>
    <m/>
    <m/>
    <m/>
    <m/>
    <n v="93400"/>
    <m/>
    <m/>
    <m/>
    <n v="77000"/>
    <m/>
    <n v="66200"/>
    <m/>
    <m/>
    <m/>
    <n v="353185"/>
    <m/>
    <n v="51400"/>
    <m/>
    <m/>
    <m/>
    <m/>
    <m/>
    <m/>
    <m/>
    <m/>
    <m/>
    <n v="147000"/>
    <n v="69000"/>
    <m/>
    <m/>
    <m/>
    <m/>
    <m/>
    <m/>
    <m/>
    <m/>
    <m/>
    <m/>
    <m/>
  </r>
  <r>
    <m/>
    <x v="458"/>
    <x v="34"/>
    <s v="リフォーム工事"/>
    <x v="22"/>
    <x v="456"/>
    <x v="507"/>
    <n v="0.5105295471987721"/>
    <n v="637780"/>
    <m/>
    <m/>
    <m/>
    <m/>
    <m/>
    <m/>
    <m/>
    <m/>
    <m/>
    <m/>
    <m/>
    <m/>
    <m/>
    <n v="140000"/>
    <n v="30802"/>
    <m/>
    <m/>
    <m/>
    <m/>
    <m/>
    <m/>
    <m/>
    <m/>
    <n v="215570"/>
    <m/>
    <n v="21000"/>
    <m/>
    <m/>
    <m/>
    <m/>
    <m/>
    <n v="94408"/>
    <m/>
    <m/>
    <m/>
    <m/>
    <n v="136000"/>
    <m/>
    <m/>
    <m/>
    <m/>
    <m/>
    <m/>
    <m/>
    <m/>
    <m/>
    <m/>
    <m/>
  </r>
  <r>
    <m/>
    <x v="459"/>
    <x v="34"/>
    <s v="洗浄・シール・玄関ドアシート"/>
    <x v="22"/>
    <x v="457"/>
    <x v="508"/>
    <n v="0.4421621621621621"/>
    <n v="516000"/>
    <m/>
    <m/>
    <m/>
    <m/>
    <m/>
    <m/>
    <m/>
    <m/>
    <n v="108000"/>
    <m/>
    <m/>
    <m/>
    <m/>
    <m/>
    <m/>
    <m/>
    <m/>
    <m/>
    <m/>
    <m/>
    <m/>
    <m/>
    <m/>
    <m/>
    <m/>
    <m/>
    <m/>
    <m/>
    <m/>
    <m/>
    <m/>
    <m/>
    <m/>
    <m/>
    <m/>
    <m/>
    <n v="408000"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60"/>
    <x v="3"/>
    <s v="UB・便器交換"/>
    <x v="22"/>
    <x v="458"/>
    <x v="509"/>
    <n v="-0.274069659371757"/>
    <n v="305699"/>
    <m/>
    <m/>
    <m/>
    <m/>
    <m/>
    <m/>
    <m/>
    <m/>
    <m/>
    <m/>
    <m/>
    <m/>
    <m/>
    <n v="60000"/>
    <n v="19699"/>
    <m/>
    <m/>
    <m/>
    <n v="156000"/>
    <m/>
    <m/>
    <m/>
    <m/>
    <n v="70000"/>
    <m/>
    <m/>
    <m/>
    <m/>
    <m/>
    <m/>
    <m/>
    <m/>
    <m/>
    <m/>
    <m/>
    <m/>
    <m/>
    <m/>
    <m/>
    <m/>
    <m/>
    <m/>
    <m/>
    <m/>
    <m/>
    <m/>
    <m/>
    <m/>
  </r>
  <r>
    <m/>
    <x v="461"/>
    <x v="0"/>
    <m/>
    <x v="12"/>
    <x v="5"/>
    <x v="273"/>
    <e v="#DIV/0!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62"/>
    <x v="11"/>
    <s v="UB,トイレ内装工事"/>
    <x v="0"/>
    <x v="459"/>
    <x v="510"/>
    <n v="0.2187009638554217"/>
    <n v="3242391"/>
    <m/>
    <m/>
    <m/>
    <m/>
    <m/>
    <m/>
    <m/>
    <m/>
    <m/>
    <m/>
    <m/>
    <m/>
    <m/>
    <n v="150000"/>
    <n v="37263"/>
    <m/>
    <m/>
    <n v="170000"/>
    <n v="250000"/>
    <m/>
    <m/>
    <m/>
    <m/>
    <n v="766300"/>
    <m/>
    <m/>
    <m/>
    <m/>
    <m/>
    <m/>
    <m/>
    <n v="1868828"/>
    <m/>
    <m/>
    <m/>
    <m/>
    <m/>
    <m/>
    <m/>
    <m/>
    <m/>
    <m/>
    <m/>
    <m/>
    <m/>
    <m/>
    <m/>
    <m/>
  </r>
  <r>
    <m/>
    <x v="463"/>
    <x v="11"/>
    <s v="インプラス・化粧台・内装"/>
    <x v="0"/>
    <x v="460"/>
    <x v="511"/>
    <n v="0.1260168571428572"/>
    <n v="3058941"/>
    <m/>
    <m/>
    <m/>
    <m/>
    <n v="25000"/>
    <m/>
    <m/>
    <m/>
    <m/>
    <m/>
    <m/>
    <m/>
    <m/>
    <n v="80000"/>
    <n v="95586"/>
    <m/>
    <m/>
    <n v="145000"/>
    <n v="37000"/>
    <m/>
    <n v="2453845"/>
    <m/>
    <m/>
    <n v="35000"/>
    <m/>
    <m/>
    <m/>
    <m/>
    <m/>
    <m/>
    <m/>
    <n v="187510"/>
    <m/>
    <m/>
    <m/>
    <m/>
    <m/>
    <m/>
    <m/>
    <m/>
    <m/>
    <m/>
    <m/>
    <m/>
    <m/>
    <m/>
    <m/>
    <m/>
  </r>
  <r>
    <m/>
    <x v="464"/>
    <x v="11"/>
    <s v="インプラス　押入"/>
    <x v="23"/>
    <x v="461"/>
    <x v="512"/>
    <n v="0.2043403448275862"/>
    <n v="2307413"/>
    <m/>
    <m/>
    <m/>
    <m/>
    <m/>
    <m/>
    <m/>
    <m/>
    <m/>
    <m/>
    <m/>
    <m/>
    <m/>
    <n v="40000"/>
    <n v="4133"/>
    <m/>
    <m/>
    <m/>
    <m/>
    <m/>
    <n v="2172200"/>
    <m/>
    <m/>
    <n v="45000"/>
    <m/>
    <m/>
    <m/>
    <m/>
    <m/>
    <m/>
    <m/>
    <n v="46080"/>
    <m/>
    <m/>
    <m/>
    <m/>
    <m/>
    <m/>
    <m/>
    <m/>
    <m/>
    <m/>
    <m/>
    <m/>
    <m/>
    <m/>
    <m/>
    <m/>
  </r>
  <r>
    <m/>
    <x v="465"/>
    <x v="3"/>
    <s v="便器交換"/>
    <x v="0"/>
    <x v="462"/>
    <x v="513"/>
    <n v="0.2781178019085225"/>
    <n v="87752"/>
    <m/>
    <m/>
    <m/>
    <m/>
    <m/>
    <m/>
    <m/>
    <m/>
    <m/>
    <m/>
    <m/>
    <m/>
    <m/>
    <n v="20000"/>
    <n v="5752"/>
    <m/>
    <m/>
    <n v="22000"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14"/>
    <x v="35"/>
    <s v="給湯器交換"/>
    <x v="0"/>
    <x v="463"/>
    <x v="514"/>
    <n v="0.1956"/>
    <n v="160880"/>
    <m/>
    <m/>
    <m/>
    <m/>
    <m/>
    <m/>
    <m/>
    <m/>
    <m/>
    <m/>
    <m/>
    <m/>
    <m/>
    <m/>
    <m/>
    <m/>
    <m/>
    <m/>
    <n v="90000"/>
    <m/>
    <m/>
    <m/>
    <m/>
    <m/>
    <m/>
    <m/>
    <m/>
    <m/>
    <m/>
    <m/>
    <m/>
    <n v="70880"/>
    <m/>
    <m/>
    <m/>
    <m/>
    <m/>
    <m/>
    <m/>
    <m/>
    <m/>
    <m/>
    <m/>
    <m/>
    <m/>
    <m/>
    <m/>
    <m/>
  </r>
  <r>
    <m/>
    <x v="466"/>
    <x v="11"/>
    <s v="エアコン交換"/>
    <x v="23"/>
    <x v="464"/>
    <x v="515"/>
    <n v="0.185781990521327"/>
    <n v="171800"/>
    <m/>
    <m/>
    <m/>
    <m/>
    <m/>
    <m/>
    <m/>
    <m/>
    <m/>
    <m/>
    <m/>
    <m/>
    <m/>
    <m/>
    <m/>
    <m/>
    <m/>
    <n v="17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67"/>
    <x v="35"/>
    <s v="外壁"/>
    <x v="23"/>
    <x v="130"/>
    <x v="516"/>
    <n v="0.3401307189542483"/>
    <n v="100960"/>
    <m/>
    <m/>
    <m/>
    <m/>
    <m/>
    <m/>
    <m/>
    <m/>
    <m/>
    <m/>
    <m/>
    <m/>
    <m/>
    <n v="70000"/>
    <n v="309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68"/>
    <x v="34"/>
    <s v="101漏水復旧工事"/>
    <x v="0"/>
    <x v="465"/>
    <x v="517"/>
    <n v="0.5829879381629993"/>
    <n v="490485"/>
    <m/>
    <m/>
    <m/>
    <m/>
    <n v="8000"/>
    <m/>
    <m/>
    <m/>
    <m/>
    <m/>
    <m/>
    <m/>
    <m/>
    <n v="300000"/>
    <n v="45237"/>
    <m/>
    <m/>
    <m/>
    <n v="45000"/>
    <m/>
    <m/>
    <m/>
    <m/>
    <m/>
    <m/>
    <m/>
    <m/>
    <m/>
    <m/>
    <m/>
    <m/>
    <n v="92248"/>
    <m/>
    <m/>
    <m/>
    <m/>
    <m/>
    <m/>
    <m/>
    <m/>
    <m/>
    <m/>
    <m/>
    <m/>
    <m/>
    <m/>
    <m/>
    <m/>
  </r>
  <r>
    <m/>
    <x v="469"/>
    <x v="11"/>
    <s v="フローリング工事"/>
    <x v="0"/>
    <x v="466"/>
    <x v="518"/>
    <n v="-0.1907428571428571"/>
    <n v="125028"/>
    <m/>
    <m/>
    <m/>
    <m/>
    <m/>
    <m/>
    <m/>
    <m/>
    <m/>
    <m/>
    <m/>
    <m/>
    <m/>
    <n v="40000"/>
    <n v="850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70"/>
    <x v="11"/>
    <s v="フローリング工事重ね張り"/>
    <x v="0"/>
    <x v="467"/>
    <x v="519"/>
    <n v="0.3869508422138192"/>
    <n v="89168"/>
    <m/>
    <m/>
    <m/>
    <m/>
    <m/>
    <m/>
    <m/>
    <m/>
    <m/>
    <m/>
    <m/>
    <m/>
    <m/>
    <n v="45000"/>
    <n v="441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71"/>
    <x v="3"/>
    <s v="UB入替"/>
    <x v="0"/>
    <x v="468"/>
    <x v="520"/>
    <n v="0.4137257155994942"/>
    <n v="255000"/>
    <m/>
    <m/>
    <m/>
    <m/>
    <m/>
    <m/>
    <m/>
    <m/>
    <m/>
    <m/>
    <m/>
    <m/>
    <m/>
    <n v="60000"/>
    <m/>
    <m/>
    <m/>
    <n v="45000"/>
    <n v="15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72"/>
    <x v="2"/>
    <s v="サッシ脱着"/>
    <x v="13"/>
    <x v="340"/>
    <x v="195"/>
    <n v="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473"/>
    <x v="11"/>
    <s v="便器交換"/>
    <x v="0"/>
    <x v="266"/>
    <x v="521"/>
    <n v="0.453027027027027"/>
    <n v="101190"/>
    <m/>
    <m/>
    <m/>
    <m/>
    <m/>
    <m/>
    <m/>
    <m/>
    <m/>
    <m/>
    <m/>
    <m/>
    <m/>
    <m/>
    <m/>
    <m/>
    <m/>
    <m/>
    <n v="27000"/>
    <m/>
    <m/>
    <m/>
    <m/>
    <m/>
    <m/>
    <m/>
    <m/>
    <m/>
    <m/>
    <m/>
    <m/>
    <n v="74190"/>
    <m/>
    <m/>
    <m/>
    <m/>
    <m/>
    <m/>
    <m/>
    <m/>
    <m/>
    <m/>
    <m/>
    <m/>
    <m/>
    <m/>
    <m/>
    <m/>
  </r>
  <r>
    <m/>
    <x v="474"/>
    <x v="11"/>
    <s v="便座交換"/>
    <x v="0"/>
    <x v="469"/>
    <x v="522"/>
    <n v="0.1780821917808219"/>
    <n v="60000"/>
    <m/>
    <m/>
    <m/>
    <m/>
    <m/>
    <m/>
    <m/>
    <m/>
    <m/>
    <m/>
    <m/>
    <m/>
    <m/>
    <m/>
    <m/>
    <m/>
    <m/>
    <m/>
    <n v="24000"/>
    <m/>
    <m/>
    <m/>
    <m/>
    <m/>
    <m/>
    <m/>
    <m/>
    <m/>
    <m/>
    <m/>
    <m/>
    <n v="36000"/>
    <m/>
    <m/>
    <m/>
    <m/>
    <m/>
    <m/>
    <m/>
    <m/>
    <m/>
    <m/>
    <m/>
    <m/>
    <m/>
    <m/>
    <m/>
    <m/>
  </r>
  <r>
    <m/>
    <x v="268"/>
    <x v="11"/>
    <s v="リビングクロス工事"/>
    <x v="0"/>
    <x v="470"/>
    <x v="523"/>
    <n v="0.8057553956834532"/>
    <n v="2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000"/>
    <m/>
    <m/>
    <m/>
    <m/>
    <m/>
    <m/>
    <m/>
    <m/>
  </r>
  <r>
    <m/>
    <x v="466"/>
    <x v="11"/>
    <s v="脱衣所エアコン交換"/>
    <x v="0"/>
    <x v="413"/>
    <x v="472"/>
    <n v="0.2241379310344828"/>
    <n v="90000"/>
    <m/>
    <m/>
    <m/>
    <m/>
    <m/>
    <m/>
    <m/>
    <m/>
    <m/>
    <m/>
    <m/>
    <m/>
    <m/>
    <m/>
    <m/>
    <m/>
    <m/>
    <n v="9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2"/>
    <x v="0"/>
    <m/>
    <x v="12"/>
    <x v="5"/>
    <x v="21"/>
    <s v="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ピボットテーブル2" cacheId="0" dataOnRows="0" dataCaption="値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4:C100" firstHeaderRow="0" firstDataRow="1" firstDataCol="1" rowPageCount="1" colPageCount="1"/>
  <pivotFields count="57"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76">
        <item t="data" sd="1" x="194"/>
        <item t="data" sd="1" x="323"/>
        <item t="data" sd="1" x="461"/>
        <item t="data" sd="1" x="283"/>
        <item t="data" sd="1" x="443"/>
        <item t="data" sd="1" x="424"/>
        <item t="data" sd="1" x="420"/>
        <item t="data" sd="1" x="86"/>
        <item t="data" sd="1" x="98"/>
        <item t="data" sd="1" x="123"/>
        <item t="data" sd="1" x="266"/>
        <item t="data" sd="1" x="210"/>
        <item t="data" sd="1" x="101"/>
        <item t="data" sd="1" x="102"/>
        <item t="data" sd="1" x="100"/>
        <item t="data" sd="1" x="64"/>
        <item t="data" sd="1" x="174"/>
        <item t="data" sd="1" x="1"/>
        <item t="data" sd="1" x="103"/>
        <item t="data" sd="1" x="117"/>
        <item t="data" sd="1" x="122"/>
        <item t="data" sd="1" x="135"/>
        <item t="data" sd="1" x="53"/>
        <item t="data" sd="1" x="80"/>
        <item t="data" sd="1" x="398"/>
        <item t="data" sd="1" x="354"/>
        <item t="data" sd="1" x="388"/>
        <item t="data" sd="1" x="455"/>
        <item t="data" sd="1" x="217"/>
        <item t="data" sd="1" x="360"/>
        <item t="data" sd="1" x="71"/>
        <item t="data" sd="1" x="82"/>
        <item t="data" sd="1" x="167"/>
        <item t="data" sd="1" x="121"/>
        <item t="data" sd="1" x="46"/>
        <item t="data" sd="1" x="104"/>
        <item t="data" sd="1" x="300"/>
        <item t="data" sd="1" x="83"/>
        <item t="data" sd="1" x="402"/>
        <item t="data" sd="1" x="403"/>
        <item t="data" sd="1" x="84"/>
        <item t="data" sd="1" x="177"/>
        <item t="data" sd="1" x="8"/>
        <item t="data" sd="1" x="176"/>
        <item t="data" sd="1" x="25"/>
        <item t="data" sd="1" x="15"/>
        <item t="data" sd="1" x="199"/>
        <item t="data" sd="1" x="149"/>
        <item t="data" sd="1" x="148"/>
        <item t="data" sd="1" x="147"/>
        <item t="data" sd="1" x="60"/>
        <item t="data" sd="1" x="145"/>
        <item t="data" sd="1" x="230"/>
        <item t="data" sd="1" x="160"/>
        <item t="data" sd="1" x="159"/>
        <item t="data" sd="1" x="131"/>
        <item t="data" sd="1" x="274"/>
        <item t="data" sd="1" x="278"/>
        <item t="data" sd="1" x="99"/>
        <item t="data" sd="1" x="247"/>
        <item t="data" sd="1" x="47"/>
        <item t="data" sd="1" x="457"/>
        <item t="data" sd="1" x="187"/>
        <item t="data" sd="1" x="119"/>
        <item t="data" sd="1" x="392"/>
        <item t="data" sd="1" x="364"/>
        <item t="data" sd="1" x="215"/>
        <item t="data" sd="1" x="94"/>
        <item t="data" sd="1" x="204"/>
        <item t="data" sd="1" x="14"/>
        <item t="data" sd="1" x="234"/>
        <item t="data" sd="1" x="381"/>
        <item t="data" sd="1" x="458"/>
        <item t="data" sd="1" x="340"/>
        <item t="data" sd="1" x="72"/>
        <item t="data" sd="1" x="73"/>
        <item t="data" sd="1" x="12"/>
        <item t="data" sd="1" x="164"/>
        <item t="data" sd="1" x="411"/>
        <item t="data" sd="1" x="466"/>
        <item t="data" sd="1" x="412"/>
        <item t="data" sd="1" x="441"/>
        <item t="data" sd="1" x="61"/>
        <item t="data" sd="1" x="62"/>
        <item t="data" sd="1" x="43"/>
        <item t="data" sd="1" x="130"/>
        <item t="data" sd="1" x="36"/>
        <item t="data" sd="1" x="289"/>
        <item t="data" sd="1" x="416"/>
        <item t="data" sd="1" x="31"/>
        <item t="data" sd="1" x="279"/>
        <item t="data" sd="1" x="307"/>
        <item t="data" sd="1" x="418"/>
        <item t="data" sd="1" x="435"/>
        <item t="data" sd="1" x="419"/>
        <item t="data" sd="1" x="436"/>
        <item t="data" sd="1" x="440"/>
        <item t="data" sd="1" x="118"/>
        <item t="data" sd="1" x="404"/>
        <item t="data" sd="1" x="48"/>
        <item t="data" sd="1" x="438"/>
        <item t="data" sd="1" x="50"/>
        <item t="data" sd="1" x="146"/>
        <item t="data" sd="1" x="39"/>
        <item t="data" sd="1" x="227"/>
        <item t="data" sd="1" x="456"/>
        <item t="data" sd="1" x="406"/>
        <item t="data" sd="1" x="240"/>
        <item t="data" sd="1" x="81"/>
        <item t="data" sd="1" x="51"/>
        <item t="data" sd="1" x="154"/>
        <item t="data" sd="1" x="248"/>
        <item t="data" sd="1" x="257"/>
        <item t="data" sd="1" x="19"/>
        <item t="data" sd="1" x="371"/>
        <item t="data" sd="1" x="314"/>
        <item t="data" sd="1" x="285"/>
        <item t="data" sd="1" x="97"/>
        <item t="data" sd="1" x="376"/>
        <item t="data" sd="1" x="408"/>
        <item t="data" sd="1" x="92"/>
        <item t="data" sd="1" x="32"/>
        <item t="data" sd="1" x="184"/>
        <item t="data" sd="1" x="330"/>
        <item t="data" sd="1" x="114"/>
        <item t="data" sd="1" x="293"/>
        <item t="data" sd="1" x="343"/>
        <item t="data" sd="1" x="175"/>
        <item t="data" sd="1" x="363"/>
        <item t="data" sd="1" x="256"/>
        <item t="data" sd="1" x="57"/>
        <item t="data" sd="1" x="5"/>
        <item t="data" sd="1" x="69"/>
        <item t="data" sd="1" x="78"/>
        <item t="data" sd="1" x="396"/>
        <item t="data" sd="1" x="296"/>
        <item t="data" sd="1" x="366"/>
        <item t="data" sd="1" x="55"/>
        <item t="data" sd="1" x="59"/>
        <item t="data" sd="1" x="56"/>
        <item t="data" sd="1" x="128"/>
        <item t="data" sd="1" x="7"/>
        <item t="data" sd="1" x="251"/>
        <item t="data" sd="1" x="242"/>
        <item t="data" sd="1" x="6"/>
        <item t="data" sd="1" x="37"/>
        <item t="data" sd="1" x="331"/>
        <item t="data" sd="1" x="150"/>
        <item t="data" sd="1" x="76"/>
        <item t="data" sd="1" x="327"/>
        <item t="data" sd="1" x="255"/>
        <item t="data" sd="1" x="325"/>
        <item t="data" sd="1" x="23"/>
        <item t="data" sd="1" x="153"/>
        <item t="data" sd="1" x="26"/>
        <item t="data" sd="1" x="33"/>
        <item t="data" sd="1" x="40"/>
        <item t="data" sd="1" x="29"/>
        <item t="data" sd="1" x="27"/>
        <item t="data" sd="1" x="183"/>
        <item t="data" sd="1" x="151"/>
        <item t="data" sd="1" x="459"/>
        <item t="data" sd="1" x="260"/>
        <item t="data" sd="1" x="384"/>
        <item t="data" sd="1" x="16"/>
        <item t="data" sd="1" x="471"/>
        <item t="data" sd="1" x="433"/>
        <item t="data" sd="1" x="301"/>
        <item t="data" sd="1" x="430"/>
        <item t="data" sd="1" x="427"/>
        <item t="data" sd="1" x="303"/>
        <item t="data" sd="1" x="304"/>
        <item t="data" sd="1" x="333"/>
        <item t="data" sd="1" x="110"/>
        <item t="data" sd="1" x="157"/>
        <item t="data" sd="1" x="449"/>
        <item t="data" sd="1" x="465"/>
        <item t="data" sd="1" x="460"/>
        <item t="data" sd="1" x="447"/>
        <item t="data" sd="1" x="448"/>
        <item t="data" sd="1" x="442"/>
        <item t="data" sd="1" x="237"/>
        <item t="data" sd="1" x="401"/>
        <item t="data" sd="1" x="386"/>
        <item t="data" sd="1" x="399"/>
        <item t="data" sd="1" x="450"/>
        <item t="data" sd="1" x="400"/>
        <item t="data" sd="1" x="462"/>
        <item t="data" sd="1" x="348"/>
        <item t="data" sd="1" x="52"/>
        <item t="data" sd="1" x="380"/>
        <item t="data" sd="1" x="198"/>
        <item t="data" sd="1" x="370"/>
        <item t="data" sd="1" x="310"/>
        <item t="data" sd="1" x="311"/>
        <item t="data" sd="1" x="369"/>
        <item t="data" sd="1" x="166"/>
        <item t="data" sd="1" x="11"/>
        <item t="data" sd="1" x="30"/>
        <item t="data" sd="1" x="225"/>
        <item t="data" sd="1" x="315"/>
        <item t="data" sd="1" x="144"/>
        <item t="data" sd="1" x="28"/>
        <item t="data" sd="1" x="108"/>
        <item t="data" sd="1" x="85"/>
        <item t="data" sd="1" x="142"/>
        <item t="data" sd="1" x="299"/>
        <item t="data" sd="1" x="249"/>
        <item t="data" sd="1" x="201"/>
        <item t="data" sd="1" x="202"/>
        <item t="data" sd="1" x="277"/>
        <item t="data" sd="1" x="228"/>
        <item t="data" sd="1" x="38"/>
        <item t="data" sd="1" x="42"/>
        <item t="data" sd="1" x="24"/>
        <item t="data" sd="1" x="93"/>
        <item t="data" sd="1" x="439"/>
        <item t="data" sd="1" x="329"/>
        <item t="data" sd="1" x="474"/>
        <item t="data" sd="1" x="417"/>
        <item t="data" sd="1" x="372"/>
        <item t="data" sd="1" x="305"/>
        <item t="data" sd="1" x="54"/>
        <item t="data" sd="1" x="9"/>
        <item t="data" sd="1" x="65"/>
        <item t="data" sd="1" x="226"/>
        <item t="data" sd="1" x="236"/>
        <item t="data" sd="1" x="161"/>
        <item t="data" sd="1" x="405"/>
        <item t="data" sd="1" x="41"/>
        <item t="data" sd="1" x="34"/>
        <item t="data" sd="1" x="10"/>
        <item t="data" sd="1" x="309"/>
        <item t="data" sd="1" x="77"/>
        <item t="data" sd="1" x="252"/>
        <item t="data" sd="1" x="414"/>
        <item t="data" sd="1" x="467"/>
        <item t="data" sd="1" x="275"/>
        <item t="data" sd="1" x="423"/>
        <item t="data" sd="1" x="415"/>
        <item t="data" sd="1" x="233"/>
        <item t="data" sd="1" x="207"/>
        <item t="data" sd="1" x="317"/>
        <item t="data" sd="1" x="140"/>
        <item t="data" sd="1" x="318"/>
        <item t="data" sd="1" x="138"/>
        <item t="data" sd="1" x="453"/>
        <item t="data" sd="1" x="235"/>
        <item t="data" sd="1" x="413"/>
        <item t="data" sd="1" x="221"/>
        <item t="data" sd="1" x="45"/>
        <item t="data" sd="1" x="244"/>
        <item t="data" sd="1" x="63"/>
        <item t="data" sd="1" x="79"/>
        <item t="data" sd="1" x="58"/>
        <item t="data" sd="1" x="70"/>
        <item t="data" sd="1" x="126"/>
        <item t="data" sd="1" x="468"/>
        <item t="data" sd="1" x="185"/>
        <item t="data" sd="1" x="267"/>
        <item t="data" sd="1" x="200"/>
        <item t="data" sd="1" x="245"/>
        <item t="data" sd="1" x="428"/>
        <item t="data" sd="1" x="276"/>
        <item t="data" sd="1" x="206"/>
        <item t="data" sd="1" x="262"/>
        <item t="data" sd="1" x="141"/>
        <item t="data" sd="1" x="0"/>
        <item t="data" sd="1" x="139"/>
        <item t="data" sd="1" x="143"/>
        <item t="data" sd="1" x="288"/>
        <item t="data" sd="1" x="298"/>
        <item t="data" sd="1" x="312"/>
        <item t="data" sd="1" x="49"/>
        <item t="data" sd="1" x="66"/>
        <item t="data" sd="1" x="239"/>
        <item t="data" sd="1" x="375"/>
        <item t="data" sd="1" x="203"/>
        <item t="data" sd="1" x="294"/>
        <item t="data" sd="1" x="321"/>
        <item t="data" sd="1" x="387"/>
        <item t="data" sd="1" x="211"/>
        <item t="data" sd="1" x="106"/>
        <item t="data" sd="1" x="328"/>
        <item t="data" sd="1" x="189"/>
        <item t="data" sd="1" x="113"/>
        <item t="data" sd="1" x="191"/>
        <item t="data" sd="1" x="259"/>
        <item t="data" sd="1" x="265"/>
        <item t="data" sd="1" x="20"/>
        <item t="data" sd="1" x="219"/>
        <item t="data" sd="1" x="342"/>
        <item t="data" sd="1" x="308"/>
        <item t="data" sd="1" x="263"/>
        <item t="data" sd="1" x="224"/>
        <item t="data" sd="1" x="316"/>
        <item t="data" sd="1" x="421"/>
        <item t="data" sd="1" x="186"/>
        <item t="data" sd="1" x="368"/>
        <item t="data" sd="1" x="209"/>
        <item t="data" sd="1" x="410"/>
        <item t="data" sd="1" x="170"/>
        <item t="data" sd="1" x="365"/>
        <item t="data" sd="1" x="334"/>
        <item t="data" sd="1" x="322"/>
        <item t="data" sd="1" x="163"/>
        <item t="data" sd="1" x="407"/>
        <item t="data" sd="1" x="250"/>
        <item t="data" sd="1" x="425"/>
        <item t="data" sd="1" x="306"/>
        <item t="data" sd="1" x="136"/>
        <item t="data" sd="1" x="208"/>
        <item t="data" sd="1" x="451"/>
        <item t="data" sd="1" x="88"/>
        <item t="data" sd="1" x="188"/>
        <item t="data" sd="1" x="253"/>
        <item t="data" sd="1" x="389"/>
        <item t="data" sd="1" x="67"/>
        <item t="data" sd="1" x="111"/>
        <item t="data" sd="1" x="156"/>
        <item t="data" sd="1" x="4"/>
        <item t="data" sd="1" x="125"/>
        <item t="data" sd="1" x="21"/>
        <item t="data" sd="1" x="241"/>
        <item t="data" sd="1" x="243"/>
        <item t="data" sd="1" x="350"/>
        <item t="data" sd="1" x="220"/>
        <item t="data" sd="1" x="377"/>
        <item t="data" sd="1" x="190"/>
        <item t="data" sd="1" x="362"/>
        <item t="data" sd="1" x="446"/>
        <item t="data" sd="1" x="395"/>
        <item t="data" sd="1" x="335"/>
        <item t="data" sd="1" x="429"/>
        <item t="data" sd="1" x="223"/>
        <item t="data" sd="1" x="297"/>
        <item t="data" sd="1" x="445"/>
        <item t="data" sd="1" x="454"/>
        <item t="data" sd="1" x="105"/>
        <item t="data" sd="1" x="195"/>
        <item t="data" sd="1" x="214"/>
        <item t="data" sd="1" x="74"/>
        <item t="data" sd="1" x="112"/>
        <item t="data" sd="1" x="273"/>
        <item t="data" sd="1" x="179"/>
        <item t="data" sd="1" x="351"/>
        <item t="data" sd="1" x="229"/>
        <item t="data" sd="1" x="359"/>
        <item t="data" sd="1" x="464"/>
        <item t="data" sd="1" x="320"/>
        <item t="data" sd="1" x="44"/>
        <item t="data" sd="1" x="158"/>
        <item t="data" sd="1" x="356"/>
        <item t="data" sd="1" x="286"/>
        <item t="data" sd="1" x="116"/>
        <item t="data" sd="1" x="390"/>
        <item t="data" sd="1" x="107"/>
        <item t="data" sd="1" x="353"/>
        <item t="data" sd="1" x="258"/>
        <item t="data" sd="1" x="216"/>
        <item t="data" sd="1" x="218"/>
        <item t="data" sd="1" x="373"/>
        <item t="data" sd="1" x="270"/>
        <item t="data" sd="1" x="292"/>
        <item t="data" sd="1" x="133"/>
        <item t="data" sd="1" x="349"/>
        <item t="data" sd="1" x="336"/>
        <item t="data" sd="1" x="332"/>
        <item t="data" sd="1" x="361"/>
        <item t="data" sd="1" x="291"/>
        <item t="data" sd="1" x="422"/>
        <item t="data" sd="1" x="319"/>
        <item t="data" sd="1" x="469"/>
        <item t="data" sd="1" x="212"/>
        <item t="data" sd="1" x="213"/>
        <item t="data" sd="1" x="232"/>
        <item t="data" sd="1" x="162"/>
        <item t="data" sd="1" x="222"/>
        <item t="data" sd="1" x="109"/>
        <item t="data" sd="1" x="290"/>
        <item t="data" sd="1" x="432"/>
        <item t="data" sd="1" x="127"/>
        <item t="data" sd="1" x="358"/>
        <item t="data" sd="1" x="178"/>
        <item t="data" sd="1" x="231"/>
        <item t="data" sd="1" x="120"/>
        <item t="data" sd="1" x="196"/>
        <item t="data" sd="1" x="68"/>
        <item t="data" sd="1" x="152"/>
        <item t="data" sd="1" x="269"/>
        <item t="data" sd="1" x="345"/>
        <item t="data" sd="1" x="169"/>
        <item t="data" sd="1" x="382"/>
        <item t="data" sd="1" x="129"/>
        <item t="data" sd="1" x="287"/>
        <item t="data" sd="1" x="470"/>
        <item t="data" sd="1" x="347"/>
        <item t="data" sd="1" x="385"/>
        <item t="data" sd="1" x="352"/>
        <item t="data" sd="1" x="172"/>
        <item t="data" sd="1" x="355"/>
        <item t="data" sd="1" x="132"/>
        <item t="data" sd="1" x="180"/>
        <item t="data" sd="1" x="18"/>
        <item t="data" sd="1" x="393"/>
        <item t="data" sd="1" x="473"/>
        <item t="data" sd="1" x="193"/>
        <item t="data" sd="1" x="261"/>
        <item t="data" sd="1" x="264"/>
        <item t="data" sd="1" x="192"/>
        <item t="data" sd="1" x="137"/>
        <item t="data" sd="1" x="155"/>
        <item t="data" sd="1" x="444"/>
        <item t="data" sd="1" x="346"/>
        <item t="data" sd="1" x="165"/>
        <item t="data" sd="1" x="96"/>
        <item t="data" sd="1" x="295"/>
        <item t="data" sd="1" x="238"/>
        <item t="data" sd="1" x="2"/>
        <item t="data" sd="1" x="3"/>
        <item t="data" sd="1" x="397"/>
        <item t="data" sd="1" x="379"/>
        <item t="data" sd="1" x="284"/>
        <item t="data" sd="1" x="313"/>
        <item t="data" sd="1" x="324"/>
        <item t="data" sd="1" x="171"/>
        <item t="data" sd="1" x="280"/>
        <item t="data" sd="1" x="13"/>
        <item t="data" sd="1" x="168"/>
        <item t="data" sd="1" x="367"/>
        <item t="data" sd="1" x="90"/>
        <item t="data" sd="1" x="271"/>
        <item t="data" sd="1" x="272"/>
        <item t="data" sd="1" x="35"/>
        <item t="data" sd="1" x="437"/>
        <item t="data" sd="1" x="357"/>
        <item t="data" sd="1" x="338"/>
        <item t="data" sd="1" x="341"/>
        <item t="data" sd="1" x="426"/>
        <item t="data" sd="1" x="115"/>
        <item t="data" sd="1" x="339"/>
        <item t="data" sd="1" x="463"/>
        <item t="data" sd="1" x="452"/>
        <item t="data" sd="1" x="95"/>
        <item t="data" sd="1" x="394"/>
        <item t="data" sd="1" x="87"/>
        <item t="data" sd="1" x="91"/>
        <item t="data" sd="1" x="281"/>
        <item t="data" sd="1" x="431"/>
        <item t="data" sd="1" x="134"/>
        <item t="data" sd="1" x="17"/>
        <item t="data" sd="1" x="383"/>
        <item t="data" sd="1" x="378"/>
        <item t="data" sd="1" x="282"/>
        <item t="data" sd="1" x="246"/>
        <item t="data" sd="1" x="89"/>
        <item t="data" sd="1" x="409"/>
        <item t="data" sd="1" x="326"/>
        <item t="data" sd="1" x="268"/>
        <item t="data" sd="1" x="254"/>
        <item t="data" sd="1" x="124"/>
        <item t="data" sd="1" x="173"/>
        <item t="data" sd="1" x="205"/>
        <item t="data" sd="1" x="391"/>
        <item t="data" sd="1" x="181"/>
        <item t="data" sd="1" x="182"/>
        <item t="data" sd="1" x="344"/>
        <item t="data" sd="1" x="302"/>
        <item t="data" sd="1" x="197"/>
        <item t="data" sd="1" x="472"/>
        <item t="data" sd="1" x="374"/>
        <item t="data" sd="1" x="75"/>
        <item t="data" sd="1" x="337"/>
        <item t="data" sd="1" x="434"/>
        <item t="data" sd="1" x="2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8">
        <item t="data" sd="1" x="9"/>
        <item t="data" sd="1" x="6"/>
        <item t="data" sd="1" x="3"/>
        <item t="data" sd="1" x="25"/>
        <item t="data" sd="1" x="15"/>
        <item t="data" sd="1" x="21"/>
        <item t="data" sd="1" x="26"/>
        <item t="data" sd="1" x="12"/>
        <item t="data" sd="1" x="19"/>
        <item t="data" sd="1" x="16"/>
        <item t="data" sd="1" x="2"/>
        <item t="data" sd="1" x="29"/>
        <item t="data" sd="1" x="8"/>
        <item t="data" sd="1" x="27"/>
        <item t="data" sd="1" x="28"/>
        <item t="data" sd="1" x="14"/>
        <item t="data" sd="1" x="35"/>
        <item t="data" sd="1" x="7"/>
        <item t="data" sd="1" x="18"/>
        <item t="data" sd="1" x="11"/>
        <item t="data" sd="1" x="24"/>
        <item t="data" sd="1" x="13"/>
        <item t="data" sd="1" x="4"/>
        <item t="data" sd="1" x="23"/>
        <item t="data" sd="1" x="10"/>
        <item t="data" sd="1" x="36"/>
        <item t="data" sd="1" x="20"/>
        <item t="data" sd="1" x="22"/>
        <item t="data" sd="1" x="34"/>
        <item t="data" sd="1" x="30"/>
        <item t="data" sd="1" x="32"/>
        <item t="data" sd="1" x="1"/>
        <item t="data" sd="1" x="17"/>
        <item t="data" sd="1" x="31"/>
        <item t="data" sd="1" x="5"/>
        <item t="data" sd="1" x="33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32"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0"/>
        <item t="data" sd="1" x="28"/>
        <item t="data" sd="1" x="26"/>
        <item t="data" sd="1" x="29"/>
        <item t="data" sd="1" x="27"/>
        <item t="data" sd="1" x="24"/>
        <item t="data" sd="1" x="30"/>
        <item t="data" sd="1" x="25"/>
        <item t="data" sd="1" x="4"/>
        <item t="data" sd="1" x="7"/>
        <item t="data" sd="1" x="6"/>
        <item t="data" sd="1" x="5"/>
        <item t="data" sd="1" x="8"/>
        <item t="data" sd="1" x="9"/>
        <item t="data" sd="1" x="1"/>
        <item t="data" sd="1" x="10"/>
        <item t="data" sd="1" x="11"/>
        <item t="data" sd="1" x="2"/>
        <item t="data" sd="1" x="3"/>
        <item t="data" sd="1" x="12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>
      <items count="472">
        <item t="data" sd="1" x="154"/>
        <item t="data" sd="1" x="6"/>
        <item t="data" sd="1" x="439"/>
        <item t="data" sd="1" x="419"/>
        <item t="data" sd="1" x="284"/>
        <item t="data" sd="1" x="388"/>
        <item t="data" sd="1" x="356"/>
        <item t="data" sd="1" x="430"/>
        <item t="data" sd="1" x="426"/>
        <item t="data" sd="1" x="433"/>
        <item t="data" sd="1" x="432"/>
        <item t="data" sd="1" x="444"/>
        <item t="data" sd="1" x="226"/>
        <item t="data" sd="1" x="442"/>
        <item t="data" sd="1" x="74"/>
        <item t="data" sd="1" x="376"/>
        <item t="data" sd="1" x="409"/>
        <item t="data" sd="1" x="293"/>
        <item t="data" sd="1" x="386"/>
        <item t="data" sd="1" x="443"/>
        <item t="data" sd="1" x="370"/>
        <item t="data" sd="1" x="391"/>
        <item t="data" sd="1" x="359"/>
        <item t="data" sd="1" x="101"/>
        <item t="data" sd="1" x="397"/>
        <item t="data" sd="1" x="453"/>
        <item t="data" sd="1" x="425"/>
        <item t="data" sd="1" x="220"/>
        <item t="data" sd="1" x="469"/>
        <item t="data" sd="1" x="396"/>
        <item t="data" sd="1" x="402"/>
        <item t="data" sd="1" x="360"/>
        <item t="data" sd="1" x="332"/>
        <item t="data" sd="1" x="4"/>
        <item t="data" sd="1" x="399"/>
        <item t="data" sd="1" x="334"/>
        <item t="data" sd="1" x="361"/>
        <item t="data" sd="1" x="340"/>
        <item t="data" sd="1" x="191"/>
        <item t="data" sd="1" x="333"/>
        <item t="data" sd="1" x="414"/>
        <item t="data" sd="1" x="336"/>
        <item t="data" sd="1" x="371"/>
        <item t="data" sd="1" x="342"/>
        <item t="data" sd="1" x="365"/>
        <item t="data" sd="1" x="110"/>
        <item t="data" sd="1" x="398"/>
        <item t="data" sd="1" x="197"/>
        <item t="data" sd="1" x="366"/>
        <item t="data" sd="1" x="315"/>
        <item t="data" sd="1" x="466"/>
        <item t="data" sd="1" x="267"/>
        <item t="data" sd="1" x="447"/>
        <item t="data" sd="1" x="448"/>
        <item t="data" sd="1" x="374"/>
        <item t="data" sd="1" x="413"/>
        <item t="data" sd="1" x="401"/>
        <item t="data" sd="1" x="192"/>
        <item t="data" sd="1" x="462"/>
        <item t="data" sd="1" x="297"/>
        <item t="data" sd="1" x="308"/>
        <item t="data" sd="1" x="449"/>
        <item t="data" sd="1" x="372"/>
        <item t="data" sd="1" x="418"/>
        <item t="data" sd="1" x="415"/>
        <item t="data" sd="1" x="387"/>
        <item t="data" sd="1" x="423"/>
        <item t="data" sd="1" x="380"/>
        <item t="data" sd="1" x="470"/>
        <item t="data" sd="1" x="236"/>
        <item t="data" sd="1" x="305"/>
        <item t="data" sd="1" x="317"/>
        <item t="data" sd="1" x="467"/>
        <item t="data" sd="1" x="324"/>
        <item t="data" sd="1" x="225"/>
        <item t="data" sd="1" x="383"/>
        <item t="data" sd="1" x="237"/>
        <item t="data" sd="1" x="389"/>
        <item t="data" sd="1" x="130"/>
        <item t="data" sd="1" x="92"/>
        <item t="data" sd="1" x="375"/>
        <item t="data" sd="1" x="259"/>
        <item t="data" sd="1" x="247"/>
        <item t="data" sd="1" x="8"/>
        <item t="data" sd="1" x="179"/>
        <item t="data" sd="1" x="341"/>
        <item t="data" sd="1" x="133"/>
        <item t="data" sd="1" x="178"/>
        <item t="data" sd="1" x="9"/>
        <item t="data" sd="1" x="424"/>
        <item t="data" sd="1" x="227"/>
        <item t="data" sd="1" x="168"/>
        <item t="data" sd="1" x="177"/>
        <item t="data" sd="1" x="411"/>
        <item t="data" sd="1" x="271"/>
        <item t="data" sd="1" x="11"/>
        <item t="data" sd="1" x="266"/>
        <item t="data" sd="1" x="93"/>
        <item t="data" sd="1" x="307"/>
        <item t="data" sd="1" x="171"/>
        <item t="data" sd="1" x="62"/>
        <item t="data" sd="1" x="463"/>
        <item t="data" sd="1" x="403"/>
        <item t="data" sd="1" x="105"/>
        <item t="data" sd="1" x="464"/>
        <item t="data" sd="1" x="343"/>
        <item t="data" sd="1" x="316"/>
        <item t="data" sd="1" x="441"/>
        <item t="data" sd="1" x="136"/>
        <item t="data" sd="1" x="373"/>
        <item t="data" sd="1" x="109"/>
        <item t="data" sd="1" x="276"/>
        <item t="data" sd="1" x="299"/>
        <item t="data" sd="1" x="272"/>
        <item t="data" sd="1" x="229"/>
        <item t="data" sd="1" x="458"/>
        <item t="data" sd="1" x="434"/>
        <item t="data" sd="1" x="7"/>
        <item t="data" sd="1" x="412"/>
        <item t="data" sd="1" x="450"/>
        <item t="data" sd="1" x="355"/>
        <item t="data" sd="1" x="190"/>
        <item t="data" sd="1" x="238"/>
        <item t="data" sd="1" x="233"/>
        <item t="data" sd="1" x="198"/>
        <item t="data" sd="1" x="244"/>
        <item t="data" sd="1" x="331"/>
        <item t="data" sd="1" x="369"/>
        <item t="data" sd="1" x="294"/>
        <item t="data" sd="1" x="339"/>
        <item t="data" sd="1" x="245"/>
        <item t="data" sd="1" x="323"/>
        <item t="data" sd="1" x="164"/>
        <item t="data" sd="1" x="392"/>
        <item t="data" sd="1" x="279"/>
        <item t="data" sd="1" x="54"/>
        <item t="data" sd="1" x="395"/>
        <item t="data" sd="1" x="216"/>
        <item t="data" sd="1" x="239"/>
        <item t="data" sd="1" x="213"/>
        <item t="data" sd="1" x="113"/>
        <item t="data" sd="1" x="311"/>
        <item t="data" sd="1" x="59"/>
        <item t="data" sd="1" x="283"/>
        <item t="data" sd="1" x="435"/>
        <item t="data" sd="1" x="218"/>
        <item t="data" sd="1" x="256"/>
        <item t="data" sd="1" x="144"/>
        <item t="data" sd="1" x="2"/>
        <item t="data" sd="1" x="394"/>
        <item t="data" sd="1" x="390"/>
        <item t="data" sd="1" x="313"/>
        <item t="data" sd="1" x="335"/>
        <item t="data" sd="1" x="160"/>
        <item t="data" sd="1" x="135"/>
        <item t="data" sd="1" x="364"/>
        <item t="data" sd="1" x="385"/>
        <item t="data" sd="1" x="312"/>
        <item t="data" sd="1" x="347"/>
        <item t="data" sd="1" x="337"/>
        <item t="data" sd="1" x="322"/>
        <item t="data" sd="1" x="330"/>
        <item t="data" sd="1" x="195"/>
        <item t="data" sd="1" x="70"/>
        <item t="data" sd="1" x="55"/>
        <item t="data" sd="1" x="208"/>
        <item t="data" sd="1" x="188"/>
        <item t="data" sd="1" x="211"/>
        <item t="data" sd="1" x="429"/>
        <item t="data" sd="1" x="151"/>
        <item t="data" sd="1" x="170"/>
        <item t="data" sd="1" x="107"/>
        <item t="data" sd="1" x="270"/>
        <item t="data" sd="1" x="183"/>
        <item t="data" sd="1" x="175"/>
        <item t="data" sd="1" x="184"/>
        <item t="data" sd="1" x="169"/>
        <item t="data" sd="1" x="152"/>
        <item t="data" sd="1" x="242"/>
        <item t="data" sd="1" x="116"/>
        <item t="data" sd="1" x="446"/>
        <item t="data" sd="1" x="468"/>
        <item t="data" sd="1" x="400"/>
        <item t="data" sd="1" x="111"/>
        <item t="data" sd="1" x="89"/>
        <item t="data" sd="1" x="416"/>
        <item t="data" sd="1" x="87"/>
        <item t="data" sd="1" x="382"/>
        <item t="data" sd="1" x="161"/>
        <item t="data" sd="1" x="108"/>
        <item t="data" sd="1" x="349"/>
        <item t="data" sd="1" x="451"/>
        <item t="data" sd="1" x="132"/>
        <item t="data" sd="1" x="206"/>
        <item t="data" sd="1" x="147"/>
        <item t="data" sd="1" x="363"/>
        <item t="data" sd="1" x="358"/>
        <item t="data" sd="1" x="320"/>
        <item t="data" sd="1" x="141"/>
        <item t="data" sd="1" x="57"/>
        <item t="data" sd="1" x="240"/>
        <item t="data" sd="1" x="329"/>
        <item t="data" sd="1" x="452"/>
        <item t="data" sd="1" x="114"/>
        <item t="data" sd="1" x="427"/>
        <item t="data" sd="1" x="304"/>
        <item t="data" sd="1" x="351"/>
        <item t="data" sd="1" x="63"/>
        <item t="data" sd="1" x="42"/>
        <item t="data" sd="1" x="58"/>
        <item t="data" sd="1" x="196"/>
        <item t="data" sd="1" x="65"/>
        <item t="data" sd="1" x="142"/>
        <item t="data" sd="1" x="243"/>
        <item t="data" sd="1" x="348"/>
        <item t="data" sd="1" x="292"/>
        <item t="data" sd="1" x="384"/>
        <item t="data" sd="1" x="248"/>
        <item t="data" sd="1" x="422"/>
        <item t="data" sd="1" x="445"/>
        <item t="data" sd="1" x="85"/>
        <item t="data" sd="1" x="166"/>
        <item t="data" sd="1" x="174"/>
        <item t="data" sd="1" x="262"/>
        <item t="data" sd="1" x="127"/>
        <item t="data" sd="1" x="353"/>
        <item t="data" sd="1" x="88"/>
        <item t="data" sd="1" x="99"/>
        <item t="data" sd="1" x="377"/>
        <item t="data" sd="1" x="100"/>
        <item t="data" sd="1" x="15"/>
        <item t="data" sd="1" x="296"/>
        <item t="data" sd="1" x="201"/>
        <item t="data" sd="1" x="282"/>
        <item t="data" sd="1" x="328"/>
        <item t="data" sd="1" x="78"/>
        <item t="data" sd="1" x="393"/>
        <item t="data" sd="1" x="117"/>
        <item t="data" sd="1" x="258"/>
        <item t="data" sd="1" x="273"/>
        <item t="data" sd="1" x="126"/>
        <item t="data" sd="1" x="295"/>
        <item t="data" sd="1" x="150"/>
        <item t="data" sd="1" x="235"/>
        <item t="data" sd="1" x="148"/>
        <item t="data" sd="1" x="77"/>
        <item t="data" sd="1" x="122"/>
        <item t="data" sd="1" x="254"/>
        <item t="data" sd="1" x="251"/>
        <item t="data" sd="1" x="137"/>
        <item t="data" sd="1" x="260"/>
        <item t="data" sd="1" x="203"/>
        <item t="data" sd="1" x="406"/>
        <item t="data" sd="1" x="155"/>
        <item t="data" sd="1" x="173"/>
        <item t="data" sd="1" x="367"/>
        <item t="data" sd="1" x="281"/>
        <item t="data" sd="1" x="264"/>
        <item t="data" sd="1" x="362"/>
        <item t="data" sd="1" x="319"/>
        <item t="data" sd="1" x="214"/>
        <item t="data" sd="1" x="145"/>
        <item t="data" sd="1" x="210"/>
        <item t="data" sd="1" x="186"/>
        <item t="data" sd="1" x="182"/>
        <item t="data" sd="1" x="421"/>
        <item t="data" sd="1" x="457"/>
        <item t="data" sd="1" x="146"/>
        <item t="data" sd="1" x="140"/>
        <item t="data" sd="1" x="64"/>
        <item t="data" sd="1" x="286"/>
        <item t="data" sd="1" x="438"/>
        <item t="data" sd="1" x="352"/>
        <item t="data" sd="1" x="275"/>
        <item t="data" sd="1" x="303"/>
        <item t="data" sd="1" x="345"/>
        <item t="data" sd="1" x="404"/>
        <item t="data" sd="1" x="219"/>
        <item t="data" sd="1" x="291"/>
        <item t="data" sd="1" x="344"/>
        <item t="data" sd="1" x="431"/>
        <item t="data" sd="1" x="84"/>
        <item t="data" sd="1" x="407"/>
        <item t="data" sd="1" x="309"/>
        <item t="data" sd="1" x="274"/>
        <item t="data" sd="1" x="106"/>
        <item t="data" sd="1" x="129"/>
        <item t="data" sd="1" x="153"/>
        <item t="data" sd="1" x="405"/>
        <item t="data" sd="1" x="157"/>
        <item t="data" sd="1" x="232"/>
        <item t="data" sd="1" x="71"/>
        <item t="data" sd="1" x="241"/>
        <item t="data" sd="1" x="13"/>
        <item t="data" sd="1" x="465"/>
        <item t="data" sd="1" x="181"/>
        <item t="data" sd="1" x="249"/>
        <item t="data" sd="1" x="428"/>
        <item t="data" sd="1" x="31"/>
        <item t="data" sd="1" x="40"/>
        <item t="data" sd="1" x="346"/>
        <item t="data" sd="1" x="1"/>
        <item t="data" sd="1" x="98"/>
        <item t="data" sd="1" x="408"/>
        <item t="data" sd="1" x="437"/>
        <item t="data" sd="1" x="456"/>
        <item t="data" sd="1" x="204"/>
        <item t="data" sd="1" x="230"/>
        <item t="data" sd="1" x="253"/>
        <item t="data" sd="1" x="440"/>
        <item t="data" sd="1" x="436"/>
        <item t="data" sd="1" x="257"/>
        <item t="data" sd="1" x="167"/>
        <item t="data" sd="1" x="97"/>
        <item t="data" sd="1" x="301"/>
        <item t="data" sd="1" x="96"/>
        <item t="data" sd="1" x="454"/>
        <item t="data" sd="1" x="187"/>
        <item t="data" sd="1" x="420"/>
        <item t="data" sd="1" x="318"/>
        <item t="data" sd="1" x="32"/>
        <item t="data" sd="1" x="125"/>
        <item t="data" sd="1" x="118"/>
        <item t="data" sd="1" x="48"/>
        <item t="data" sd="1" x="68"/>
        <item t="data" sd="1" x="189"/>
        <item t="data" sd="1" x="45"/>
        <item t="data" sd="1" x="29"/>
        <item t="data" sd="1" x="138"/>
        <item t="data" sd="1" x="17"/>
        <item t="data" sd="1" x="131"/>
        <item t="data" sd="1" x="95"/>
        <item t="data" sd="1" x="10"/>
        <item t="data" sd="1" x="66"/>
        <item t="data" sd="1" x="302"/>
        <item t="data" sd="1" x="86"/>
        <item t="data" sd="1" x="73"/>
        <item t="data" sd="1" x="455"/>
        <item t="data" sd="1" x="234"/>
        <item t="data" sd="1" x="53"/>
        <item t="data" sd="1" x="69"/>
        <item t="data" sd="1" x="19"/>
        <item t="data" sd="1" x="27"/>
        <item t="data" sd="1" x="51"/>
        <item t="data" sd="1" x="314"/>
        <item t="data" sd="1" x="52"/>
        <item t="data" sd="1" x="381"/>
        <item t="data" sd="1" x="33"/>
        <item t="data" sd="1" x="60"/>
        <item t="data" sd="1" x="223"/>
        <item t="data" sd="1" x="231"/>
        <item t="data" sd="1" x="61"/>
        <item t="data" sd="1" x="34"/>
        <item t="data" sd="1" x="25"/>
        <item t="data" sd="1" x="24"/>
        <item t="data" sd="1" x="104"/>
        <item t="data" sd="1" x="91"/>
        <item t="data" sd="1" x="50"/>
        <item t="data" sd="1" x="327"/>
        <item t="data" sd="1" x="261"/>
        <item t="data" sd="1" x="124"/>
        <item t="data" sd="1" x="350"/>
        <item t="data" sd="1" x="289"/>
        <item t="data" sd="1" x="306"/>
        <item t="data" sd="1" x="82"/>
        <item t="data" sd="1" x="222"/>
        <item t="data" sd="1" x="103"/>
        <item t="data" sd="1" x="76"/>
        <item t="data" sd="1" x="35"/>
        <item t="data" sd="1" x="263"/>
        <item t="data" sd="1" x="41"/>
        <item t="data" sd="1" x="14"/>
        <item t="data" sd="1" x="36"/>
        <item t="data" sd="1" x="72"/>
        <item t="data" sd="1" x="288"/>
        <item t="data" sd="1" x="205"/>
        <item t="data" sd="1" x="46"/>
        <item t="data" sd="1" x="94"/>
        <item t="data" sd="1" x="81"/>
        <item t="data" sd="1" x="300"/>
        <item t="data" sd="1" x="357"/>
        <item t="data" sd="1" x="280"/>
        <item t="data" sd="1" x="26"/>
        <item t="data" sd="1" x="215"/>
        <item t="data" sd="1" x="0"/>
        <item t="data" sd="1" x="121"/>
        <item t="data" sd="1" x="30"/>
        <item t="data" sd="1" x="49"/>
        <item t="data" sd="1" x="180"/>
        <item t="data" sd="1" x="80"/>
        <item t="data" sd="1" x="228"/>
        <item t="data" sd="1" x="39"/>
        <item t="data" sd="1" x="3"/>
        <item t="data" sd="1" x="378"/>
        <item t="data" sd="1" x="165"/>
        <item t="data" sd="1" x="379"/>
        <item t="data" sd="1" x="417"/>
        <item t="data" sd="1" x="298"/>
        <item t="data" sd="1" x="158"/>
        <item t="data" sd="1" x="176"/>
        <item t="data" sd="1" x="194"/>
        <item t="data" sd="1" x="285"/>
        <item t="data" sd="1" x="224"/>
        <item t="data" sd="1" x="338"/>
        <item t="data" sd="1" x="119"/>
        <item t="data" sd="1" x="162"/>
        <item t="data" sd="1" x="461"/>
        <item t="data" sd="1" x="21"/>
        <item t="data" sd="1" x="44"/>
        <item t="data" sd="1" x="287"/>
        <item t="data" sd="1" x="20"/>
        <item t="data" sd="1" x="16"/>
        <item t="data" sd="1" x="90"/>
        <item t="data" sd="1" x="163"/>
        <item t="data" sd="1" x="123"/>
        <item t="data" sd="1" x="156"/>
        <item t="data" sd="1" x="460"/>
        <item t="data" sd="1" x="149"/>
        <item t="data" sd="1" x="22"/>
        <item t="data" sd="1" x="221"/>
        <item t="data" sd="1" x="134"/>
        <item t="data" sd="1" x="321"/>
        <item t="data" sd="1" x="159"/>
        <item t="data" sd="1" x="115"/>
        <item t="data" sd="1" x="139"/>
        <item t="data" sd="1" x="252"/>
        <item t="data" sd="1" x="354"/>
        <item t="data" sd="1" x="310"/>
        <item t="data" sd="1" x="459"/>
        <item t="data" sd="1" x="246"/>
        <item t="data" sd="1" x="278"/>
        <item t="data" sd="1" x="199"/>
        <item t="data" sd="1" x="368"/>
        <item t="data" sd="1" x="326"/>
        <item t="data" sd="1" x="217"/>
        <item t="data" sd="1" x="128"/>
        <item t="data" sd="1" x="250"/>
        <item t="data" sd="1" x="79"/>
        <item t="data" sd="1" x="120"/>
        <item t="data" sd="1" x="277"/>
        <item t="data" sd="1" x="185"/>
        <item t="data" sd="1" x="268"/>
        <item t="data" sd="1" x="47"/>
        <item t="data" sd="1" x="209"/>
        <item t="data" sd="1" x="112"/>
        <item t="data" sd="1" x="193"/>
        <item t="data" sd="1" x="102"/>
        <item t="data" sd="1" x="28"/>
        <item t="data" sd="1" x="200"/>
        <item t="data" sd="1" x="255"/>
        <item t="data" sd="1" x="202"/>
        <item t="data" sd="1" x="83"/>
        <item t="data" sd="1" x="18"/>
        <item t="data" sd="1" x="143"/>
        <item t="data" sd="1" x="12"/>
        <item t="data" sd="1" x="207"/>
        <item t="data" sd="1" x="325"/>
        <item t="data" sd="1" x="67"/>
        <item t="data" sd="1" x="269"/>
        <item t="data" sd="1" x="23"/>
        <item t="data" sd="1" x="56"/>
        <item t="data" sd="1" x="38"/>
        <item t="data" sd="1" x="290"/>
        <item t="data" sd="1" x="265"/>
        <item t="data" sd="1" x="75"/>
        <item t="data" sd="1" x="37"/>
        <item t="data" sd="1" x="43"/>
        <item t="data" sd="1" x="212"/>
        <item t="data" sd="1" x="172"/>
        <item t="data" sd="1" x="410"/>
        <item t="data" sd="1" x="5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>
      <items count="525">
        <item t="data" sd="1" x="416"/>
        <item t="data" sd="1" x="411"/>
        <item t="data" sd="1" x="326"/>
        <item t="data" sd="1" x="500"/>
        <item t="data" sd="1" x="316"/>
        <item t="data" sd="1" x="501"/>
        <item t="data" sd="1" x="340"/>
        <item t="data" sd="1" x="509"/>
        <item t="data" sd="1" x="441"/>
        <item t="data" sd="1" x="502"/>
        <item t="data" sd="1" x="179"/>
        <item t="data" sd="1" x="353"/>
        <item t="data" sd="1" x="478"/>
        <item t="data" sd="1" x="15"/>
        <item t="data" sd="1" x="421"/>
        <item t="data" sd="1" x="366"/>
        <item t="data" sd="1" x="518"/>
        <item t="data" sd="1" x="476"/>
        <item t="data" sd="1" x="449"/>
        <item t="data" sd="1" x="6"/>
        <item t="data" sd="1" x="7"/>
        <item t="data" sd="1" x="437"/>
        <item t="data" sd="1" x="256"/>
        <item t="data" sd="1" x="9"/>
        <item t="data" sd="1" x="5"/>
        <item t="data" sd="1" x="279"/>
        <item t="data" sd="1" x="10"/>
        <item t="data" sd="1" x="479"/>
        <item t="data" sd="1" x="12"/>
        <item t="data" sd="1" x="8"/>
        <item t="data" sd="1" x="491"/>
        <item t="data" sd="1" x="11"/>
        <item t="data" sd="1" x="370"/>
        <item t="data" sd="1" x="438"/>
        <item t="data" sd="1" x="498"/>
        <item t="data" sd="1" x="293"/>
        <item t="data" sd="1" x="273"/>
        <item t="data" sd="1" x="466"/>
        <item t="data" sd="1" x="482"/>
        <item t="data" sd="1" x="450"/>
        <item t="data" sd="1" x="475"/>
        <item t="data" sd="1" x="13"/>
        <item t="data" sd="1" x="424"/>
        <item t="data" sd="1" x="471"/>
        <item t="data" sd="1" x="249"/>
        <item t="data" sd="1" x="121"/>
        <item t="data" sd="1" x="4"/>
        <item t="data" sd="1" x="403"/>
        <item t="data" sd="1" x="457"/>
        <item t="data" sd="1" x="522"/>
        <item t="data" sd="1" x="345"/>
        <item t="data" sd="1" x="17"/>
        <item t="data" sd="1" x="473"/>
        <item t="data" sd="1" x="156"/>
        <item t="data" sd="1" x="447"/>
        <item t="data" sd="1" x="499"/>
        <item t="data" sd="1" x="504"/>
        <item t="data" sd="1" x="83"/>
        <item t="data" sd="1" x="436"/>
        <item t="data" sd="1" x="372"/>
        <item t="data" sd="1" x="496"/>
        <item t="data" sd="1" x="258"/>
        <item t="data" sd="1" x="402"/>
        <item t="data" sd="1" x="19"/>
        <item t="data" sd="1" x="390"/>
        <item t="data" sd="1" x="375"/>
        <item t="data" sd="1" x="472"/>
        <item t="data" sd="1" x="255"/>
        <item t="data" sd="1" x="90"/>
        <item t="data" sd="1" x="332"/>
        <item t="data" sd="1" x="362"/>
        <item t="data" sd="1" x="495"/>
        <item t="data" sd="1" x="220"/>
        <item t="data" sd="1" x="446"/>
        <item t="data" sd="1" x="497"/>
        <item t="data" sd="1" x="352"/>
        <item t="data" sd="1" x="432"/>
        <item t="data" sd="1" x="301"/>
        <item t="data" sd="1" x="382"/>
        <item t="data" sd="1" x="513"/>
        <item t="data" sd="1" x="376"/>
        <item t="data" sd="1" x="206"/>
        <item t="data" sd="1" x="492"/>
        <item t="data" sd="1" x="168"/>
        <item t="data" sd="1" x="481"/>
        <item t="data" sd="1" x="514"/>
        <item t="data" sd="1" x="515"/>
        <item t="data" sd="1" x="343"/>
        <item t="data" sd="1" x="410"/>
        <item t="data" sd="1" x="371"/>
        <item t="data" sd="1" x="142"/>
        <item t="data" sd="1" x="16"/>
        <item t="data" sd="1" x="434"/>
        <item t="data" sd="1" x="119"/>
        <item t="data" sd="1" x="380"/>
        <item t="data" sd="1" x="295"/>
        <item t="data" sd="1" x="157"/>
        <item t="data" sd="1" x="462"/>
        <item t="data" sd="1" x="254"/>
        <item t="data" sd="1" x="120"/>
        <item t="data" sd="1" x="460"/>
        <item t="data" sd="1" x="204"/>
        <item t="data" sd="1" x="440"/>
        <item t="data" sd="1" x="338"/>
        <item t="data" sd="1" x="159"/>
        <item t="data" sd="1" x="445"/>
        <item t="data" sd="1" x="194"/>
        <item t="data" sd="1" x="409"/>
        <item t="data" sd="1" x="221"/>
        <item t="data" sd="1" x="516"/>
        <item t="data" sd="1" x="439"/>
        <item t="data" sd="1" x="463"/>
        <item t="data" sd="1" x="130"/>
        <item t="data" sd="1" x="125"/>
        <item t="data" sd="1" x="319"/>
        <item t="data" sd="1" x="197"/>
        <item t="data" sd="1" x="519"/>
        <item t="data" sd="1" x="172"/>
        <item t="data" sd="1" x="306"/>
        <item t="data" sd="1" x="448"/>
        <item t="data" sd="1" x="112"/>
        <item t="data" sd="1" x="464"/>
        <item t="data" sd="1" x="160"/>
        <item t="data" sd="1" x="348"/>
        <item t="data" sd="1" x="329"/>
        <item t="data" sd="1" x="408"/>
        <item t="data" sd="1" x="474"/>
        <item t="data" sd="1" x="246"/>
        <item t="data" sd="1" x="422"/>
        <item t="data" sd="1" x="433"/>
        <item t="data" sd="1" x="381"/>
        <item t="data" sd="1" x="193"/>
        <item t="data" sd="1" x="451"/>
        <item t="data" sd="1" x="404"/>
        <item t="data" sd="1" x="267"/>
        <item t="data" sd="1" x="401"/>
        <item t="data" sd="1" x="263"/>
        <item t="data" sd="1" x="84"/>
        <item t="data" sd="1" x="64"/>
        <item t="data" sd="1" x="443"/>
        <item t="data" sd="1" x="490"/>
        <item t="data" sd="1" x="14"/>
        <item t="data" sd="1" x="196"/>
        <item t="data" sd="1" x="300"/>
        <item t="data" sd="1" x="394"/>
        <item t="data" sd="1" x="341"/>
        <item t="data" sd="1" x="423"/>
        <item t="data" sd="1" x="355"/>
        <item t="data" sd="1" x="373"/>
        <item t="data" sd="1" x="212"/>
        <item t="data" sd="1" x="385"/>
        <item t="data" sd="1" x="351"/>
        <item t="data" sd="1" x="195"/>
        <item t="data" sd="1" x="407"/>
        <item t="data" sd="1" x="131"/>
        <item t="data" sd="1" x="201"/>
        <item t="data" sd="1" x="129"/>
        <item t="data" sd="1" x="113"/>
        <item t="data" sd="1" x="521"/>
        <item t="data" sd="1" x="361"/>
        <item t="data" sd="1" x="216"/>
        <item t="data" sd="1" x="207"/>
        <item t="data" sd="1" x="377"/>
        <item t="data" sd="1" x="430"/>
        <item t="data" sd="1" x="311"/>
        <item t="data" sd="1" x="417"/>
        <item t="data" sd="1" x="277"/>
        <item t="data" sd="1" x="205"/>
        <item t="data" sd="1" x="106"/>
        <item t="data" sd="1" x="153"/>
        <item t="data" sd="1" x="276"/>
        <item t="data" sd="1" x="266"/>
        <item t="data" sd="1" x="398"/>
        <item t="data" sd="1" x="406"/>
        <item t="data" sd="1" x="271"/>
        <item t="data" sd="1" x="288"/>
        <item t="data" sd="1" x="309"/>
        <item t="data" sd="1" x="161"/>
        <item t="data" sd="1" x="189"/>
        <item t="data" sd="1" x="268"/>
        <item t="data" sd="1" x="133"/>
        <item t="data" sd="1" x="419"/>
        <item t="data" sd="1" x="459"/>
        <item t="data" sd="1" x="315"/>
        <item t="data" sd="1" x="349"/>
        <item t="data" sd="1" x="235"/>
        <item t="data" sd="1" x="127"/>
        <item t="data" sd="1" x="392"/>
        <item t="data" sd="1" x="444"/>
        <item t="data" sd="1" x="425"/>
        <item t="data" sd="1" x="494"/>
        <item t="data" sd="1" x="374"/>
        <item t="data" sd="1" x="241"/>
        <item t="data" sd="1" x="334"/>
        <item t="data" sd="1" x="262"/>
        <item t="data" sd="1" x="523"/>
        <item t="data" sd="1" x="75"/>
        <item t="data" sd="1" x="344"/>
        <item t="data" sd="1" x="461"/>
        <item t="data" sd="1" x="281"/>
        <item t="data" sd="1" x="85"/>
        <item t="data" sd="1" x="165"/>
        <item t="data" sd="1" x="171"/>
        <item t="data" sd="1" x="470"/>
        <item t="data" sd="1" x="166"/>
        <item t="data" sd="1" x="483"/>
        <item t="data" sd="1" x="368"/>
        <item t="data" sd="1" x="73"/>
        <item t="data" sd="1" x="269"/>
        <item t="data" sd="1" x="379"/>
        <item t="data" sd="1" x="415"/>
        <item t="data" sd="1" x="435"/>
        <item t="data" sd="1" x="282"/>
        <item t="data" sd="1" x="95"/>
        <item t="data" sd="1" x="137"/>
        <item t="data" sd="1" x="244"/>
        <item t="data" sd="1" x="391"/>
        <item t="data" sd="1" x="484"/>
        <item t="data" sd="1" x="442"/>
        <item t="data" sd="1" x="318"/>
        <item t="data" sd="1" x="322"/>
        <item t="data" sd="1" x="211"/>
        <item t="data" sd="1" x="493"/>
        <item t="data" sd="1" x="151"/>
        <item t="data" sd="1" x="176"/>
        <item t="data" sd="1" x="290"/>
        <item t="data" sd="1" x="226"/>
        <item t="data" sd="1" x="369"/>
        <item t="data" sd="1" x="330"/>
        <item t="data" sd="1" x="239"/>
        <item t="data" sd="1" x="65"/>
        <item t="data" sd="1" x="247"/>
        <item t="data" sd="1" x="177"/>
        <item t="data" sd="1" x="36"/>
        <item t="data" sd="1" x="414"/>
        <item t="data" sd="1" x="310"/>
        <item t="data" sd="1" x="185"/>
        <item t="data" sd="1" x="215"/>
        <item t="data" sd="1" x="285"/>
        <item t="data" sd="1" x="308"/>
        <item t="data" sd="1" x="224"/>
        <item t="data" sd="1" x="305"/>
        <item t="data" sd="1" x="520"/>
        <item t="data" sd="1" x="191"/>
        <item t="data" sd="1" x="503"/>
        <item t="data" sd="1" x="40"/>
        <item t="data" sd="1" x="280"/>
        <item t="data" sd="1" x="78"/>
        <item t="data" sd="1" x="400"/>
        <item t="data" sd="1" x="360"/>
        <item t="data" sd="1" x="200"/>
        <item t="data" sd="1" x="356"/>
        <item t="data" sd="1" x="24"/>
        <item t="data" sd="1" x="328"/>
        <item t="data" sd="1" x="135"/>
        <item t="data" sd="1" x="143"/>
        <item t="data" sd="1" x="72"/>
        <item t="data" sd="1" x="284"/>
        <item t="data" sd="1" x="150"/>
        <item t="data" sd="1" x="2"/>
        <item t="data" sd="1" x="81"/>
        <item t="data" sd="1" x="274"/>
        <item t="data" sd="1" x="389"/>
        <item t="data" sd="1" x="148"/>
        <item t="data" sd="1" x="109"/>
        <item t="data" sd="1" x="230"/>
        <item t="data" sd="1" x="297"/>
        <item t="data" sd="1" x="431"/>
        <item t="data" sd="1" x="359"/>
        <item t="data" sd="1" x="227"/>
        <item t="data" sd="1" x="314"/>
        <item t="data" sd="1" x="336"/>
        <item t="data" sd="1" x="395"/>
        <item t="data" sd="1" x="164"/>
        <item t="data" sd="1" x="232"/>
        <item t="data" sd="1" x="104"/>
        <item t="data" sd="1" x="128"/>
        <item t="data" sd="1" x="233"/>
        <item t="data" sd="1" x="175"/>
        <item t="data" sd="1" x="265"/>
        <item t="data" sd="1" x="94"/>
        <item t="data" sd="1" x="1"/>
        <item t="data" sd="1" x="304"/>
        <item t="data" sd="1" x="182"/>
        <item t="data" sd="1" x="219"/>
        <item t="data" sd="1" x="396"/>
        <item t="data" sd="1" x="238"/>
        <item t="data" sd="1" x="218"/>
        <item t="data" sd="1" x="317"/>
        <item t="data" sd="1" x="412"/>
        <item t="data" sd="1" x="138"/>
        <item t="data" sd="1" x="126"/>
        <item t="data" sd="1" x="186"/>
        <item t="data" sd="1" x="147"/>
        <item t="data" sd="1" x="454"/>
        <item t="data" sd="1" x="116"/>
        <item t="data" sd="1" x="50"/>
        <item t="data" sd="1" x="225"/>
        <item t="data" sd="1" x="3"/>
        <item t="data" sd="1" x="69"/>
        <item t="data" sd="1" x="321"/>
        <item t="data" sd="1" x="331"/>
        <item t="data" sd="1" x="74"/>
        <item t="data" sd="1" x="184"/>
        <item t="data" sd="1" x="327"/>
        <item t="data" sd="1" x="287"/>
        <item t="data" sd="1" x="480"/>
        <item t="data" sd="1" x="313"/>
        <item t="data" sd="1" x="242"/>
        <item t="data" sd="1" x="383"/>
        <item t="data" sd="1" x="52"/>
        <item t="data" sd="1" x="180"/>
        <item t="data" sd="1" x="22"/>
        <item t="data" sd="1" x="384"/>
        <item t="data" sd="1" x="170"/>
        <item t="data" sd="1" x="111"/>
        <item t="data" sd="1" x="146"/>
        <item t="data" sd="1" x="469"/>
        <item t="data" sd="1" x="261"/>
        <item t="data" sd="1" x="342"/>
        <item t="data" sd="1" x="260"/>
        <item t="data" sd="1" x="272"/>
        <item t="data" sd="1" x="100"/>
        <item t="data" sd="1" x="67"/>
        <item t="data" sd="1" x="154"/>
        <item t="data" sd="1" x="202"/>
        <item t="data" sd="1" x="76"/>
        <item t="data" sd="1" x="477"/>
        <item t="data" sd="1" x="118"/>
        <item t="data" sd="1" x="486"/>
        <item t="data" sd="1" x="354"/>
        <item t="data" sd="1" x="103"/>
        <item t="data" sd="1" x="456"/>
        <item t="data" sd="1" x="291"/>
        <item t="data" sd="1" x="347"/>
        <item t="data" sd="1" x="68"/>
        <item t="data" sd="1" x="87"/>
        <item t="data" sd="1" x="163"/>
        <item t="data" sd="1" x="467"/>
        <item t="data" sd="1" x="455"/>
        <item t="data" sd="1" x="77"/>
        <item t="data" sd="1" x="292"/>
        <item t="data" sd="1" x="337"/>
        <item t="data" sd="1" x="485"/>
        <item t="data" sd="1" x="108"/>
        <item t="data" sd="1" x="508"/>
        <item t="data" sd="1" x="217"/>
        <item t="data" sd="1" x="28"/>
        <item t="data" sd="1" x="388"/>
        <item t="data" sd="1" x="62"/>
        <item t="data" sd="1" x="468"/>
        <item t="data" sd="1" x="397"/>
        <item t="data" sd="1" x="386"/>
        <item t="data" sd="1" x="38"/>
        <item t="data" sd="1" x="199"/>
        <item t="data" sd="1" x="45"/>
        <item t="data" sd="1" x="511"/>
        <item t="data" sd="1" x="41"/>
        <item t="data" sd="1" x="115"/>
        <item t="data" sd="1" x="294"/>
        <item t="data" sd="1" x="117"/>
        <item t="data" sd="1" x="393"/>
        <item t="data" sd="1" x="82"/>
        <item t="data" sd="1" x="34"/>
        <item t="data" sd="1" x="252"/>
        <item t="data" sd="1" x="92"/>
        <item t="data" sd="1" x="33"/>
        <item t="data" sd="1" x="248"/>
        <item t="data" sd="1" x="58"/>
        <item t="data" sd="1" x="59"/>
        <item t="data" sd="1" x="324"/>
        <item t="data" sd="1" x="114"/>
        <item t="data" sd="1" x="335"/>
        <item t="data" sd="1" x="26"/>
        <item t="data" sd="1" x="234"/>
        <item t="data" sd="1" x="178"/>
        <item t="data" sd="1" x="46"/>
        <item t="data" sd="1" x="173"/>
        <item t="data" sd="1" x="155"/>
        <item t="data" sd="1" x="63"/>
        <item t="data" sd="1" x="89"/>
        <item t="data" sd="1" x="18"/>
        <item t="data" sd="1" x="88"/>
        <item t="data" sd="1" x="420"/>
        <item t="data" sd="1" x="452"/>
        <item t="data" sd="1" x="123"/>
        <item t="data" sd="1" x="31"/>
        <item t="data" sd="1" x="107"/>
        <item t="data" sd="1" x="214"/>
        <item t="data" sd="1" x="346"/>
        <item t="data" sd="1" x="453"/>
        <item t="data" sd="1" x="42"/>
        <item t="data" sd="1" x="169"/>
        <item t="data" sd="1" x="55"/>
        <item t="data" sd="1" x="270"/>
        <item t="data" sd="1" x="405"/>
        <item t="data" sd="1" x="152"/>
        <item t="data" sd="1" x="70"/>
        <item t="data" sd="1" x="210"/>
        <item t="data" sd="1" x="323"/>
        <item t="data" sd="1" x="387"/>
        <item t="data" sd="1" x="427"/>
        <item t="data" sd="1" x="61"/>
        <item t="data" sd="1" x="192"/>
        <item t="data" sd="1" x="25"/>
        <item t="data" sd="1" x="429"/>
        <item t="data" sd="1" x="512"/>
        <item t="data" sd="1" x="259"/>
        <item t="data" sd="1" x="488"/>
        <item t="data" sd="1" x="99"/>
        <item t="data" sd="1" x="43"/>
        <item t="data" sd="1" x="188"/>
        <item t="data" sd="1" x="358"/>
        <item t="data" sd="1" x="105"/>
        <item t="data" sd="1" x="298"/>
        <item t="data" sd="1" x="124"/>
        <item t="data" sd="1" x="44"/>
        <item t="data" sd="1" x="183"/>
        <item t="data" sd="1" x="162"/>
        <item t="data" sd="1" x="145"/>
        <item t="data" sd="1" x="35"/>
        <item t="data" sd="1" x="86"/>
        <item t="data" sd="1" x="365"/>
        <item t="data" sd="1" x="320"/>
        <item t="data" sd="1" x="60"/>
        <item t="data" sd="1" x="507"/>
        <item t="data" sd="1" x="71"/>
        <item t="data" sd="1" x="505"/>
        <item t="data" sd="1" x="333"/>
        <item t="data" sd="1" x="296"/>
        <item t="data" sd="1" x="517"/>
        <item t="data" sd="1" x="51"/>
        <item t="data" sd="1" x="23"/>
        <item t="data" sd="1" x="250"/>
        <item t="data" sd="1" x="350"/>
        <item t="data" sd="1" x="251"/>
        <item t="data" sd="1" x="30"/>
        <item t="data" sd="1" x="357"/>
        <item t="data" sd="1" x="506"/>
        <item t="data" sd="1" x="243"/>
        <item t="data" sd="1" x="80"/>
        <item t="data" sd="1" x="264"/>
        <item t="data" sd="1" x="378"/>
        <item t="data" sd="1" x="56"/>
        <item t="data" sd="1" x="54"/>
        <item t="data" sd="1" x="399"/>
        <item t="data" sd="1" x="93"/>
        <item t="data" sd="1" x="190"/>
        <item t="data" sd="1" x="489"/>
        <item t="data" sd="1" x="275"/>
        <item t="data" sd="1" x="97"/>
        <item t="data" sd="1" x="141"/>
        <item t="data" sd="1" x="253"/>
        <item t="data" sd="1" x="209"/>
        <item t="data" sd="1" x="158"/>
        <item t="data" sd="1" x="286"/>
        <item t="data" sd="1" x="39"/>
        <item t="data" sd="1" x="510"/>
        <item t="data" sd="1" x="223"/>
        <item t="data" sd="1" x="29"/>
        <item t="data" sd="1" x="0"/>
        <item t="data" sd="1" x="139"/>
        <item t="data" sd="1" x="208"/>
        <item t="data" sd="1" x="134"/>
        <item t="data" sd="1" x="418"/>
        <item t="data" sd="1" x="367"/>
        <item t="data" sd="1" x="187"/>
        <item t="data" sd="1" x="203"/>
        <item t="data" sd="1" x="49"/>
        <item t="data" sd="1" x="302"/>
        <item t="data" sd="1" x="144"/>
        <item t="data" sd="1" x="325"/>
        <item t="data" sd="1" x="312"/>
        <item t="data" sd="1" x="257"/>
        <item t="data" sd="1" x="487"/>
        <item t="data" sd="1" x="110"/>
        <item t="data" sd="1" x="428"/>
        <item t="data" sd="1" x="426"/>
        <item t="data" sd="1" x="136"/>
        <item t="data" sd="1" x="181"/>
        <item t="data" sd="1" x="364"/>
        <item t="data" sd="1" x="140"/>
        <item t="data" sd="1" x="149"/>
        <item t="data" sd="1" x="413"/>
        <item t="data" sd="1" x="174"/>
        <item t="data" sd="1" x="98"/>
        <item t="data" sd="1" x="245"/>
        <item t="data" sd="1" x="96"/>
        <item t="data" sd="1" x="278"/>
        <item t="data" sd="1" x="307"/>
        <item t="data" sd="1" x="122"/>
        <item t="data" sd="1" x="167"/>
        <item t="data" sd="1" x="37"/>
        <item t="data" sd="1" x="339"/>
        <item t="data" sd="1" x="222"/>
        <item t="data" sd="1" x="228"/>
        <item t="data" sd="1" x="283"/>
        <item t="data" sd="1" x="132"/>
        <item t="data" sd="1" x="289"/>
        <item t="data" sd="1" x="57"/>
        <item t="data" sd="1" x="299"/>
        <item t="data" sd="1" x="20"/>
        <item t="data" sd="1" x="237"/>
        <item t="data" sd="1" x="27"/>
        <item t="data" sd="1" x="48"/>
        <item t="data" sd="1" x="465"/>
        <item t="data" sd="1" x="32"/>
        <item t="data" sd="1" x="363"/>
        <item t="data" sd="1" x="213"/>
        <item t="data" sd="1" x="236"/>
        <item t="data" sd="1" x="229"/>
        <item t="data" sd="1" x="231"/>
        <item t="data" sd="1" x="66"/>
        <item t="data" sd="1" x="101"/>
        <item t="data" sd="1" x="303"/>
        <item t="data" sd="1" x="91"/>
        <item t="data" sd="1" x="79"/>
        <item t="data" sd="1" x="47"/>
        <item t="data" sd="1" x="53"/>
        <item t="data" sd="1" x="198"/>
        <item t="data" sd="1" x="240"/>
        <item t="data" sd="1" x="458"/>
        <item t="data" sd="1" x="21"/>
        <item t="data" sd="1" x="10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96">
    <i t="data" r="0" i="0">
      <x v="1"/>
    </i>
    <i t="data" r="0" i="0">
      <x v="21"/>
    </i>
    <i t="data" r="0" i="0">
      <x v="24"/>
    </i>
    <i t="data" r="0" i="0">
      <x v="27"/>
    </i>
    <i t="data" r="0" i="0">
      <x v="29"/>
    </i>
    <i t="data" r="0" i="0">
      <x v="56"/>
    </i>
    <i t="data" r="0" i="0">
      <x v="57"/>
    </i>
    <i t="data" r="0" i="0">
      <x v="73"/>
    </i>
    <i t="data" r="0" i="0">
      <x v="118"/>
    </i>
    <i t="data" r="0" i="0">
      <x v="151"/>
    </i>
    <i t="data" r="0" i="0">
      <x v="165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8"/>
    </i>
    <i t="data" r="0" i="0">
      <x v="248"/>
    </i>
    <i t="data" r="0" i="0">
      <x v="262"/>
    </i>
    <i t="data" r="0" i="0">
      <x v="266"/>
    </i>
    <i t="data" r="0" i="0">
      <x v="275"/>
    </i>
    <i t="data" r="0" i="0">
      <x v="276"/>
    </i>
    <i t="data" r="0" i="0">
      <x v="278"/>
    </i>
    <i t="data" r="0" i="0">
      <x v="279"/>
    </i>
    <i t="data" r="0" i="0">
      <x v="280"/>
    </i>
    <i t="data" r="0" i="0">
      <x v="284"/>
    </i>
    <i t="data" r="0" i="0">
      <x v="290"/>
    </i>
    <i t="data" r="0" i="0">
      <x v="291"/>
    </i>
    <i t="data" r="0" i="0">
      <x v="295"/>
    </i>
    <i t="data" r="0" i="0">
      <x v="297"/>
    </i>
    <i t="data" r="0" i="0">
      <x v="301"/>
    </i>
    <i t="data" r="0" i="0">
      <x v="304"/>
    </i>
    <i t="data" r="0" i="0">
      <x v="308"/>
    </i>
    <i t="data" r="0" i="0">
      <x v="309"/>
    </i>
    <i t="data" r="0" i="0">
      <x v="316"/>
    </i>
    <i t="data" r="0" i="0">
      <x v="319"/>
    </i>
    <i t="data" r="0" i="0">
      <x v="321"/>
    </i>
    <i t="data" r="0" i="0">
      <x v="325"/>
    </i>
    <i t="data" r="0" i="0">
      <x v="330"/>
    </i>
    <i t="data" r="0" i="0">
      <x v="332"/>
    </i>
    <i t="data" r="0" i="0">
      <x v="333"/>
    </i>
    <i t="data" r="0" i="0">
      <x v="335"/>
    </i>
    <i t="data" r="0" i="0">
      <x v="336"/>
    </i>
    <i t="data" r="0" i="0">
      <x v="339"/>
    </i>
    <i t="data" r="0" i="0">
      <x v="340"/>
    </i>
    <i t="data" r="0" i="0">
      <x v="344"/>
    </i>
    <i t="data" r="0" i="0">
      <x v="345"/>
    </i>
    <i t="data" r="0" i="0">
      <x v="347"/>
    </i>
    <i t="data" r="0" i="0">
      <x v="349"/>
    </i>
    <i t="data" r="0" i="0">
      <x v="352"/>
    </i>
    <i t="data" r="0" i="0">
      <x v="355"/>
    </i>
    <i t="data" r="0" i="0">
      <x v="357"/>
    </i>
    <i t="data" r="0" i="0">
      <x v="359"/>
    </i>
    <i t="data" r="0" i="0">
      <x v="365"/>
    </i>
    <i t="data" r="0" i="0">
      <x v="366"/>
    </i>
    <i t="data" r="0" i="0">
      <x v="367"/>
    </i>
    <i t="data" r="0" i="0">
      <x v="368"/>
    </i>
    <i t="data" r="0" i="0">
      <x v="369"/>
    </i>
    <i t="data" r="0" i="0">
      <x v="374"/>
    </i>
    <i t="data" r="0" i="0">
      <x v="375"/>
    </i>
    <i t="data" r="0" i="0">
      <x v="379"/>
    </i>
    <i t="data" r="0" i="0">
      <x v="380"/>
    </i>
    <i t="data" r="0" i="0">
      <x v="392"/>
    </i>
    <i t="data" r="0" i="0">
      <x v="398"/>
    </i>
    <i t="data" r="0" i="0">
      <x v="399"/>
    </i>
    <i t="data" r="0" i="0">
      <x v="400"/>
    </i>
    <i t="data" r="0" i="0">
      <x v="413"/>
    </i>
    <i t="data" r="0" i="0">
      <x v="417"/>
    </i>
    <i t="data" r="0" i="0">
      <x v="424"/>
    </i>
    <i t="data" r="0" i="0">
      <x v="426"/>
    </i>
    <i t="data" r="0" i="0">
      <x v="428"/>
    </i>
    <i t="data" r="0" i="0">
      <x v="436"/>
    </i>
    <i t="data" r="0" i="0">
      <x v="437"/>
    </i>
    <i t="data" r="0" i="0">
      <x v="440"/>
    </i>
    <i t="data" r="0" i="0">
      <x v="448"/>
    </i>
    <i t="data" r="0" i="0">
      <x v="462"/>
    </i>
    <i t="data" r="0" i="0">
      <x v="463"/>
    </i>
    <i t="data" r="0" i="0">
      <x v="464"/>
    </i>
    <i t="data" r="0" i="0">
      <x v="465"/>
    </i>
    <i t="data" r="0" i="0">
      <x v="467"/>
    </i>
    <i t="data" r="0" i="0">
      <x v="470"/>
    </i>
    <i t="data" r="0" i="0">
      <x v="472"/>
    </i>
    <i t="data" r="0" i="0">
      <x v="473"/>
    </i>
    <i t="grand" r="0" i="0">
      <x v="0"/>
    </i>
  </rowItems>
  <colFields count="1">
    <field x="-2"/>
  </colFields>
  <colItems count="2">
    <i t="data" r="0" i="0">
      <x v="0"/>
    </i>
    <i t="data" r="0" i="1">
      <x v="1"/>
    </i>
  </colItems>
  <pageFields count="1">
    <pageField fld="2" item="2" hier="-1"/>
  </pageFields>
  <dataFields count="2">
    <dataField name="個数 / 利益" fld="6" subtotal="count" showDataAs="normal" baseField="0" baseItem="0"/>
    <dataField name="合計 / 受注金額 税抜" fld="5" subtotal="sum" showDataAs="normal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テーブル9" displayName="テーブル9" ref="A3:BG1105" headerRowCount="1" totalsRowCount="1" headerRowDxfId="175">
  <autoFilter ref="A3:BG1104"/>
  <tableColumns count="59">
    <tableColumn id="1" name="支払月" totalsRowDxfId="58"/>
    <tableColumn id="2" name="現場名" dataDxfId="174" totalsRowDxfId="57"/>
    <tableColumn id="33" name="元請け" dataDxfId="173" totalsRowDxfId="56"/>
    <tableColumn id="19" name="施工内容" dataDxfId="172" totalsRowDxfId="55"/>
    <tableColumn id="20" name="施工日" dataDxfId="171" totalsRowDxfId="54"/>
    <tableColumn id="28" name="受注金額 税抜" dataDxfId="170" totalsRowDxfId="53"/>
    <tableColumn id="29" name="利益" dataDxfId="169" totalsRowDxfId="52">
      <calculatedColumnFormula>IF(B4="","",F4-I4 )</calculatedColumnFormula>
    </tableColumn>
    <tableColumn id="30" name="利率" dataDxfId="168" totalsRowDxfId="51">
      <calculatedColumnFormula>IF(G4="","",G4/F4)</calculatedColumnFormula>
    </tableColumn>
    <tableColumn id="32" name="支払計 税抜2" dataDxfId="167" totalsRowDxfId="50"/>
    <tableColumn id="3" name="五大" dataDxfId="166" totalsRowDxfId="49"/>
    <tableColumn id="4" name="アシバックス" dataDxfId="165" totalsRowDxfId="48"/>
    <tableColumn id="46" name="稲村仮設" dataDxfId="164" totalsRowDxfId="47"/>
    <tableColumn id="5" name="スタック" dataDxfId="163" totalsRowDxfId="46"/>
    <tableColumn id="58" name="MS塗装" dataDxfId="162" totalsRowDxfId="45"/>
    <tableColumn id="6" name="安井" dataDxfId="161" totalsRowDxfId="44"/>
    <tableColumn id="7" name="大宮" dataDxfId="160" totalsRowDxfId="43"/>
    <tableColumn id="8" name="鎌田" dataDxfId="159" totalsRowDxfId="42"/>
    <tableColumn id="9" name="KSシール" dataDxfId="158" totalsRowDxfId="41"/>
    <tableColumn id="10" name="光輝美装" dataDxfId="157" totalsRowDxfId="40"/>
    <tableColumn id="11" name="ｸﾘｰﾝｱｯﾌﾟ" dataDxfId="156" totalsRowDxfId="39"/>
    <tableColumn id="26" name="ケミカル" dataDxfId="155" totalsRowDxfId="38"/>
    <tableColumn id="42" name="ビルクラ" dataDxfId="154" totalsRowDxfId="37"/>
    <tableColumn id="21" name="伊藤建装" dataDxfId="153" totalsRowDxfId="36"/>
    <tableColumn id="37" name="部材購入費" dataDxfId="152" totalsRowDxfId="35"/>
    <tableColumn id="39" name="前野木工" dataDxfId="151" totalsRowDxfId="34"/>
    <tableColumn id="15" name="加藤テクニカ" dataDxfId="150" totalsRowDxfId="33"/>
    <tableColumn id="12" name="はやでん" dataDxfId="149" totalsRowDxfId="32"/>
    <tableColumn id="25" name="霞興業" dataDxfId="148" totalsRowDxfId="31"/>
    <tableColumn id="36" name="ヒラヤマ設備" dataDxfId="147" totalsRowDxfId="30"/>
    <tableColumn id="59" name="一期設備" dataDxfId="146" totalsRowDxfId="29"/>
    <tableColumn id="22" name="千葉住建" dataDxfId="145" totalsRowDxfId="28"/>
    <tableColumn id="44" name="lifeairworks" dataDxfId="144" totalsRowDxfId="27"/>
    <tableColumn id="38" name="杜風" dataDxfId="143" totalsRowDxfId="26"/>
    <tableColumn id="27" name="BLUE" dataDxfId="142" totalsRowDxfId="25"/>
    <tableColumn id="34" name="HC塩釜" dataDxfId="141" totalsRowDxfId="24"/>
    <tableColumn id="43" name="MCB" dataDxfId="140" totalsRowDxfId="23"/>
    <tableColumn id="35" name="戸引製畳" dataDxfId="139" totalsRowDxfId="22"/>
    <tableColumn id="16" name="創イングK" dataDxfId="138" totalsRowDxfId="21"/>
    <tableColumn id="13" name="ニュークリーン" dataDxfId="137" totalsRowDxfId="20"/>
    <tableColumn id="31" name="アドバンス" dataDxfId="136" totalsRowDxfId="19"/>
    <tableColumn id="23" name="小泉" dataDxfId="135" totalsRowDxfId="18"/>
    <tableColumn id="40" name="サステム" dataDxfId="134" totalsRowDxfId="17"/>
    <tableColumn id="56" name="ヤマリョー" dataDxfId="133" totalsRowDxfId="16"/>
    <tableColumn id="47" name="タゼン" dataDxfId="132" totalsRowDxfId="15"/>
    <tableColumn id="50" name="オーカム" dataDxfId="131" totalsRowDxfId="14"/>
    <tableColumn id="24" name="ナスラック" dataDxfId="130" totalsRowDxfId="13"/>
    <tableColumn id="18" name="ゲットクリ-ンコート" dataDxfId="129" totalsRowDxfId="12"/>
    <tableColumn id="49" name="マジカル" dataDxfId="128" totalsRowDxfId="11"/>
    <tableColumn id="45" name="ハルノデザイン" dataDxfId="127" totalsRowDxfId="10"/>
    <tableColumn id="51" name="ワイエス" dataDxfId="126" totalsRowDxfId="9"/>
    <tableColumn id="48" name="シンコール" dataDxfId="125" totalsRowDxfId="8"/>
    <tableColumn id="17" name="ゴミ　他" dataDxfId="124" totalsRowDxfId="7"/>
    <tableColumn id="41" name="リビングガーデン" dataDxfId="123" totalsRowDxfId="6"/>
    <tableColumn id="52" name="クラブネッツ" dataDxfId="122" totalsRowDxfId="5"/>
    <tableColumn id="54" name="ナスラック2" dataDxfId="121" totalsRowDxfId="4"/>
    <tableColumn id="57" name="ブレインスリープ" dataDxfId="120" totalsRowDxfId="3"/>
    <tableColumn id="53" name="アライク" dataDxfId="119" totalsRowDxfId="2"/>
    <tableColumn id="55" name="庭や　ただ" dataDxfId="118" totalsRowDxfId="1"/>
    <tableColumn id="14" name="工場材" dataDxfId="117" totalsRowDxfId="0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id="2" name="テーブル92" displayName="テーブル92" ref="A3:AP955" headerRowCount="1" totalsRowShown="0" headerRowDxfId="100">
  <tableColumns count="42">
    <tableColumn id="1" name="支払月"/>
    <tableColumn id="2" name="現場名" dataDxfId="99"/>
    <tableColumn id="33" name="元請け" dataDxfId="98"/>
    <tableColumn id="19" name="施工内容" dataDxfId="97"/>
    <tableColumn id="20" name="施工日" dataDxfId="96"/>
    <tableColumn id="28" name="受注金額 税抜" dataDxfId="95"/>
    <tableColumn id="29" name="利益" dataDxfId="94">
      <calculatedColumnFormula>IF(B4="","",F4-I4 )</calculatedColumnFormula>
    </tableColumn>
    <tableColumn id="30" name="利率" dataDxfId="93">
      <calculatedColumnFormula>IF(G4="","",G4/F4)</calculatedColumnFormula>
    </tableColumn>
    <tableColumn id="32" name="支払計 税抜2" dataDxfId="92"/>
    <tableColumn id="3" name="五大" dataDxfId="91"/>
    <tableColumn id="4" name="アシバックス" dataDxfId="90"/>
    <tableColumn id="5" name="スタック" dataDxfId="89"/>
    <tableColumn id="6" name="美作" dataDxfId="88"/>
    <tableColumn id="7" name="大宮" dataDxfId="87"/>
    <tableColumn id="8" name="鎌田" dataDxfId="86"/>
    <tableColumn id="9" name="KSシール" dataDxfId="85"/>
    <tableColumn id="10" name="光輝美装" dataDxfId="84"/>
    <tableColumn id="11" name="クリーンアップ" dataDxfId="83"/>
    <tableColumn id="26" name="ケミカル" dataDxfId="82"/>
    <tableColumn id="42" name="ビルクラ" dataDxfId="81"/>
    <tableColumn id="21" name="伊藤建装" dataDxfId="80"/>
    <tableColumn id="37" name="部材購入費" dataDxfId="79"/>
    <tableColumn id="39" name="前野木工" dataDxfId="78"/>
    <tableColumn id="15" name="加藤テクニカ" dataDxfId="77"/>
    <tableColumn id="12" name="はやでん" dataDxfId="76"/>
    <tableColumn id="25" name="霞興業" dataDxfId="75"/>
    <tableColumn id="36" name="ヒラヤマ設備" dataDxfId="74"/>
    <tableColumn id="22" name="千葉住建" dataDxfId="73"/>
    <tableColumn id="38" name="杜風" dataDxfId="72"/>
    <tableColumn id="27" name="BLUE" dataDxfId="71"/>
    <tableColumn id="34" name="HC塩釜" dataDxfId="70"/>
    <tableColumn id="35" name="戸引製畳" dataDxfId="69"/>
    <tableColumn id="24" name="ｸﾘｰﾝｱｯﾌﾟ" dataDxfId="68"/>
    <tableColumn id="16" name="創イングK" dataDxfId="67"/>
    <tableColumn id="13" name="ニュークリーン" dataDxfId="66"/>
    <tableColumn id="31" name="アドバンス" dataDxfId="65"/>
    <tableColumn id="23" name="小泉" dataDxfId="64"/>
    <tableColumn id="40" name="サステム" dataDxfId="63"/>
    <tableColumn id="18" name="ゲットクリ-ンコート" dataDxfId="62"/>
    <tableColumn id="17" name="ゴミ　他" dataDxfId="61"/>
    <tableColumn id="41" name="リビングガーデン" dataDxfId="60"/>
    <tableColumn id="14" name="工場材" dataDxfId="59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file:///\\192.168.100.250\&#20849;&#26377;&#12501;&#12449;&#12452;&#12523;\R5&#24180;\&#19968;&#33324;&#24037;&#20107;\&#12495;&#12452;&#12484;AB&#20869;&#35013;&#12288;2&#24180;&#30446;" TargetMode="External" Id="rId1"/><Relationship Type="http://schemas.openxmlformats.org/officeDocument/2006/relationships/hyperlink" Target="file:///\\192.168.100.250\&#12522;&#12501;&#12457;&#12540;&#12512;\&#35211;&#31309;&#28168;\&#31309;&#27700;%20&#12522;&#12494;&#12505;&#24037;&#20107;\&#37390;&#21462;%20&#25144;&#24314;&#12390;%20&#12522;&#12494;&#12505;" TargetMode="External" Id="rId2"/><Relationship Type="http://schemas.openxmlformats.org/officeDocument/2006/relationships/table" Target="/xl/tables/table1.xml" Id="rId3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9"/>
  <sheetViews>
    <sheetView workbookViewId="0">
      <selection activeCell="A1" sqref="A1"/>
    </sheetView>
  </sheetViews>
  <sheetFormatPr baseColWidth="8" defaultRowHeight="13.5"/>
  <sheetData>
    <row r="1">
      <c r="A1" s="46" t="inlineStr">
        <is>
          <t>Turn</t>
        </is>
      </c>
      <c r="B1" s="46" t="inlineStr">
        <is>
          <t>Date</t>
        </is>
      </c>
      <c r="C1" s="46" t="inlineStr">
        <is>
          <t>User Request</t>
        </is>
      </c>
      <c r="D1" s="46" t="inlineStr">
        <is>
          <t>Action Taken</t>
        </is>
      </c>
      <c r="E1" s="46" t="inlineStr">
        <is>
          <t>Details</t>
        </is>
      </c>
      <c r="F1" s="46" t="inlineStr">
        <is>
          <t>Outcome</t>
        </is>
      </c>
    </row>
    <row r="2">
      <c r="A2" s="0" t="n">
        <v>1</v>
      </c>
      <c r="B2" s="47" t="n">
        <v>46135</v>
      </c>
      <c r="C2" s="0" t="inlineStr">
        <is>
          <t>エラーが出ているセルを教えてほしい</t>
        </is>
      </c>
      <c r="D2" s="0" t="inlineStr">
        <is>
          <t>全シートをスキャンしエラー値を検出</t>
        </is>
      </c>
      <c r="E2" s="0" t="inlineStr">
        <is>
          <t>Sheet1で23件、keisannyouで3件の#DIV/0!を検出。H列の=IF(G="","",G/F)がF=0行で発生。</t>
        </is>
      </c>
      <c r="F2" s="0" t="inlineStr">
        <is>
          <t>Sheet1: H9-H17,H20,H231,H355,H459,H527,H531,H538,H544,H570,H642-H645,H654 / keisannyou: H69,H76,H78。修正可否をユーザーに確認中。</t>
        </is>
      </c>
    </row>
    <row r="3">
      <c r="A3" s="0" t="n">
        <v>2</v>
      </c>
      <c r="B3" s="47" t="n">
        <v>46135</v>
      </c>
      <c r="C3" s="0" t="inlineStr">
        <is>
          <t>エラーを修正してほしい（YES）</t>
        </is>
      </c>
      <c r="D3" s="0" t="inlineStr">
        <is>
          <t>H列の#DIV/0!を全て修正</t>
        </is>
      </c>
      <c r="E3" s="0" t="inlineStr">
        <is>
          <t>数式を=IF(OR(G="",F=0),"",G/F)に変更。F列が0または空の場合は空白を返す。</t>
        </is>
      </c>
      <c r="F3" s="0" t="inlineStr">
        <is>
          <t>Sheet1の23件とkeisannyouの3件、計26セル全て空白表示に解消。</t>
        </is>
      </c>
    </row>
    <row r="4">
      <c r="A4" s="0" t="n">
        <v>3</v>
      </c>
      <c r="B4" s="47" t="n">
        <v>46135</v>
      </c>
      <c r="C4" s="0" t="inlineStr">
        <is>
          <t>使っていない業者欄を隠すなど使いやすくしたい、案を提示</t>
        </is>
      </c>
      <c r="D4" s="0" t="inlineStr">
        <is>
          <t>業者列(J:BG)の使用状況を分析し、改善案を提示</t>
        </is>
      </c>
      <c r="E4" s="0" t="inlineStr">
        <is>
          <t>全51業者列の使用回数と合計額を集計。完全未使用はゼロ、1-2回のみの業者が13社。</t>
        </is>
      </c>
      <c r="F4" s="0" t="inlineStr">
        <is>
          <t>案①グループ化、②並べ替え、③サマリーシート、④合計行強調、⑤条件付き書式を提案。ユーザーの選択待ち。</t>
        </is>
      </c>
    </row>
    <row r="5">
      <c r="A5" s="0" t="n">
        <v>4</v>
      </c>
      <c r="B5" s="47" t="n">
        <v>46135</v>
      </c>
      <c r="C5" s="0" t="inlineStr">
        <is>
          <t>赤文字=請求確認済、黒文字=未確認というルールを共有</t>
        </is>
      </c>
      <c r="D5" s="0" t="inlineStr">
        <is>
          <t>色分けルールを踏まえた追加改善案を提示</t>
        </is>
      </c>
      <c r="E5" s="0" t="inlineStr">
        <is>
          <t>⑥未確認金額サマリー、⑦チェック列化、⑧未確認行ハイライト、⑨色フィルタ活用を追加提案。</t>
        </is>
      </c>
      <c r="F5" s="0" t="inlineStr">
        <is>
          <t>優先度付き推奨組合せ(⑥+①+⑧)を提示。ユーザーの選択待ち。</t>
        </is>
      </c>
    </row>
    <row r="6">
      <c r="A6" s="0" t="n">
        <v>5</v>
      </c>
      <c r="B6" s="47" t="n">
        <v>46138</v>
      </c>
      <c r="C6" s="0" t="inlineStr">
        <is>
          <t>エラーが出ている所と原因を教えてほしい</t>
        </is>
      </c>
      <c r="D6" s="0" t="inlineStr">
        <is>
          <t>全シートをスキャンしエラーセルを検出、原因を説明</t>
        </is>
      </c>
      <c r="E6" s="0" t="inlineStr">
        <is>
          <t>Sheet1のH697とH700で#DIV/0!を検出。数式=IF(G="","",G/F)はFが0/空の場合を考慮しておらず、G列(=IF(B="","",F-I))はBに値があれば0を返すため0÷0が発生。</t>
        </is>
      </c>
      <c r="F6" s="0" t="inlineStr">
        <is>
          <t>原因を説明し、修正案=IF(OR(G="",F=0,F=""),"",G/F)を提示。修正可否をユーザーに確認中。</t>
        </is>
      </c>
    </row>
    <row r="7">
      <c r="A7" s="0" t="n">
        <v>6</v>
      </c>
      <c r="B7" s="47" t="n">
        <v>46138</v>
      </c>
      <c r="C7" s="0" t="inlineStr">
        <is>
          <t>入力不備の箸所に色を付ける設定を全行に適用</t>
        </is>
      </c>
      <c r="D7" s="0" t="inlineStr">
        <is>
          <t>Sheet1のF列に条件付き書式を適用</t>
        </is>
      </c>
      <c r="E7" s="0" t="inlineStr">
        <is>
          <t>F4:F1107に条件付き書式を追加。数式=AND($B4&lt;&gt;"",$F4="")、背景#FFEB9C、文字#9C5700。</t>
        </is>
      </c>
      <c r="F7" s="0" t="inlineStr">
        <is>
          <t>B列に現場名がありながらF列(受注金額)が未入力の行が黄色でハイライトされるようになった。F697とF700が該当。</t>
        </is>
      </c>
    </row>
    <row r="8">
      <c r="A8" s="0" t="n">
        <v>7</v>
      </c>
      <c r="B8" s="47" t="n">
        <v>46138</v>
      </c>
      <c r="C8" s="0" t="inlineStr">
        <is>
          <t>10分ごとに自動上書き保存したい</t>
        </is>
      </c>
      <c r="D8" s="0" t="inlineStr">
        <is>
          <t>アドインからは設定不可と説明し、代替手段を3つ提示</t>
        </is>
      </c>
      <c r="E8" s="0" t="inlineStr">
        <is>
          <t>①OneDrive/SharePointの自動保存機能、②ファイル&gt;オプション&gt;保存の自動回復10分設定、③ファイルが.xlsmなのでThisWorkbookにWorkbook_OpenとAutoSaveMeマクロを記載しApplication.OnTimeで複利的に10分毎にSaveするVBAコードを提示。</t>
        </is>
      </c>
      <c r="F8" s="0" t="inlineStr">
        <is>
          <t>ユーザーの選択待ち。VBAは手動で貼り付けてもらう必要がある。</t>
        </is>
      </c>
    </row>
    <row r="9">
      <c r="A9" s="0" t="n">
        <v>9</v>
      </c>
      <c r="B9" s="61" t="n">
        <v>46171</v>
      </c>
      <c r="C9" s="0" t="inlineStr">
        <is>
          <t>T719に変なリンクがついているか確認してほしい</t>
        </is>
      </c>
      <c r="D9" s="0" t="inlineStr">
        <is>
          <t>T719のセル内容・ハイパーリンク・書式を確認</t>
        </is>
      </c>
      <c r="E9" s="0" t="inlineStr">
        <is>
          <t>T719はハイパーリンクや外部参照なし。中身は足し算の数式=45+9+9+...+207（結果1,168.6）。背景#E2EFDA、表示は通常。</t>
        </is>
      </c>
      <c r="F9" s="0" t="inlineStr">
        <is>
          <t>リンクは検出されず。ユーザーに「変なリンク」が数式を指すのか別症状か確認中。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:C100"/>
  <sheetViews>
    <sheetView workbookViewId="0">
      <selection activeCell="A4" sqref="A4"/>
    </sheetView>
  </sheetViews>
  <sheetFormatPr baseColWidth="8" defaultRowHeight="13.5"/>
  <cols>
    <col width="42.5" bestFit="1" customWidth="1" style="49" min="1" max="1"/>
    <col width="12.625" bestFit="1" customWidth="1" style="49" min="2" max="2"/>
    <col width="22.25" bestFit="1" customWidth="1" style="49" min="3" max="3"/>
    <col width="35.75" bestFit="1" customWidth="1" style="49" min="4" max="4"/>
    <col width="14.25" bestFit="1" customWidth="1" style="49" min="5" max="5"/>
    <col width="27" bestFit="1" customWidth="1" style="49" min="6" max="6"/>
    <col width="34.125" bestFit="1" customWidth="1" style="49" min="7" max="7"/>
    <col width="47" bestFit="1" customWidth="1" style="49" min="8" max="8"/>
    <col width="27.625" bestFit="1" customWidth="1" style="49" min="9" max="9"/>
    <col width="39.75" bestFit="1" customWidth="1" style="49" min="10" max="10"/>
    <col width="38.625" bestFit="1" customWidth="1" style="49" min="11" max="11"/>
    <col width="29.375" bestFit="1" customWidth="1" style="49" min="12" max="12"/>
    <col width="21.375" bestFit="1" customWidth="1" style="49" min="13" max="17"/>
    <col width="27.125" bestFit="1" customWidth="1" style="49" min="18" max="20"/>
    <col width="43.5" bestFit="1" customWidth="1" style="49" min="21" max="21"/>
    <col width="41.25" bestFit="1" customWidth="1" style="49" min="22" max="22"/>
    <col width="35.375" bestFit="1" customWidth="1" style="49" min="23" max="23"/>
    <col width="17.125" bestFit="1" customWidth="1" style="49" min="24" max="24"/>
    <col width="27.625" bestFit="1" customWidth="1" style="49" min="25" max="27"/>
    <col width="26.375" bestFit="1" customWidth="1" style="49" min="28" max="29"/>
    <col width="23.5" bestFit="1" customWidth="1" style="49" min="30" max="30"/>
    <col width="21" bestFit="1" customWidth="1" style="49" min="31" max="31"/>
    <col width="17.125" bestFit="1" customWidth="1" style="49" min="32" max="32"/>
    <col width="37.875" bestFit="1" customWidth="1" style="49" min="33" max="33"/>
    <col width="13.375" bestFit="1" customWidth="1" style="49" min="34" max="34"/>
    <col width="12.75" bestFit="1" customWidth="1" style="49" min="35" max="35"/>
    <col width="15" bestFit="1" customWidth="1" style="49" min="36" max="36"/>
    <col width="15.625" bestFit="1" customWidth="1" style="49" min="37" max="37"/>
    <col width="13.375" bestFit="1" customWidth="1" style="49" min="38" max="38"/>
    <col width="12.75" bestFit="1" customWidth="1" style="49" min="39" max="39"/>
    <col width="15.625" bestFit="1" customWidth="1" style="49" min="40" max="40"/>
    <col width="9.75" bestFit="1" customWidth="1" style="49" min="41" max="41"/>
    <col width="11.25" bestFit="1" customWidth="1" style="49" min="42" max="42"/>
    <col width="27.75" bestFit="1" customWidth="1" style="49" min="43" max="43"/>
    <col width="15" bestFit="1" customWidth="1" style="49" min="44" max="44"/>
    <col width="22.25" bestFit="1" customWidth="1" style="49" min="45" max="45"/>
    <col width="11.25" bestFit="1" customWidth="1" style="49" min="46" max="47"/>
    <col width="13.375" bestFit="1" customWidth="1" style="49" min="48" max="48"/>
    <col width="28.875" bestFit="1" customWidth="1" style="49" min="49" max="49"/>
    <col width="12.75" bestFit="1" customWidth="1" style="49" min="50" max="50"/>
    <col width="13.375" bestFit="1" customWidth="1" style="49" min="51" max="51"/>
    <col width="15.25" bestFit="1" customWidth="1" style="49" min="52" max="52"/>
    <col width="22.25" bestFit="1" customWidth="1" style="49" min="53" max="53"/>
    <col width="13.375" bestFit="1" customWidth="1" style="49" min="54" max="54"/>
    <col width="24.75" bestFit="1" customWidth="1" style="49" min="55" max="55"/>
    <col width="13.375" bestFit="1" customWidth="1" style="49" min="56" max="58"/>
    <col width="15" bestFit="1" customWidth="1" style="49" min="59" max="59"/>
    <col width="13.375" bestFit="1" customWidth="1" style="49" min="60" max="60"/>
    <col width="32.125" bestFit="1" customWidth="1" style="49" min="61" max="61"/>
    <col width="29" bestFit="1" customWidth="1" style="49" min="62" max="62"/>
    <col width="13.375" bestFit="1" customWidth="1" style="49" min="63" max="64"/>
    <col width="22.75" bestFit="1" customWidth="1" style="49" min="65" max="65"/>
    <col width="15.625" bestFit="1" customWidth="1" style="49" min="66" max="66"/>
    <col width="43.125" bestFit="1" customWidth="1" style="49" min="67" max="67"/>
    <col width="15.625" bestFit="1" customWidth="1" style="49" min="68" max="69"/>
    <col width="13.375" bestFit="1" customWidth="1" style="49" min="70" max="71"/>
    <col width="7.75" bestFit="1" customWidth="1" style="49" min="72" max="72"/>
    <col width="17.125" bestFit="1" customWidth="1" style="49" min="73" max="73"/>
    <col width="13.375" bestFit="1" customWidth="1" style="49" min="74" max="74"/>
    <col width="12.75" bestFit="1" customWidth="1" style="49" min="75" max="75"/>
    <col width="15.625" bestFit="1" customWidth="1" style="49" min="76" max="76"/>
    <col width="17.5" bestFit="1" customWidth="1" style="49" min="77" max="77"/>
    <col width="14.875" bestFit="1" customWidth="1" style="49" min="78" max="79"/>
    <col width="17.875" bestFit="1" customWidth="1" style="49" min="80" max="80"/>
    <col width="15.625" bestFit="1" customWidth="1" style="49" min="81" max="81"/>
    <col width="30.875" bestFit="1" customWidth="1" style="49" min="82" max="82"/>
    <col width="15.625" bestFit="1" customWidth="1" style="49" min="83" max="86"/>
    <col width="13.375" bestFit="1" customWidth="1" style="49" min="87" max="90"/>
    <col width="17.875" bestFit="1" customWidth="1" style="49" min="91" max="92"/>
    <col width="32.25" bestFit="1" customWidth="1" style="49" min="93" max="93"/>
    <col width="33.125" bestFit="1" customWidth="1" style="49" min="94" max="94"/>
    <col width="21.375" bestFit="1" customWidth="1" style="49" min="95" max="95"/>
    <col width="12.75" bestFit="1" customWidth="1" style="49" min="96" max="96"/>
    <col width="5.75" bestFit="1" customWidth="1" style="49" min="97" max="97"/>
    <col width="19.625" bestFit="1" customWidth="1" style="49" min="98" max="98"/>
    <col width="17.625" bestFit="1" customWidth="1" style="49" min="99" max="99"/>
    <col width="15.375" bestFit="1" customWidth="1" style="49" min="100" max="100"/>
    <col width="12.125" bestFit="1" customWidth="1" style="49" min="101" max="101"/>
    <col width="20.875" bestFit="1" customWidth="1" style="49" min="102" max="102"/>
    <col width="23.875" bestFit="1" customWidth="1" style="49" min="103" max="103"/>
    <col width="16.5" bestFit="1" customWidth="1" style="49" min="104" max="104"/>
    <col width="15.25" bestFit="1" customWidth="1" style="49" min="105" max="105"/>
    <col width="16.25" bestFit="1" customWidth="1" style="49" min="106" max="106"/>
    <col width="21.25" bestFit="1" customWidth="1" style="49" min="107" max="108"/>
    <col width="11.25" bestFit="1" customWidth="1" style="49" min="109" max="109"/>
    <col width="18.25" bestFit="1" customWidth="1" style="49" min="110" max="110"/>
    <col width="10.375" bestFit="1" customWidth="1" style="49" min="111" max="111"/>
    <col width="10.875" bestFit="1" customWidth="1" style="49" min="112" max="112"/>
    <col width="18.75" bestFit="1" customWidth="1" style="49" min="113" max="113"/>
    <col width="26.375" bestFit="1" customWidth="1" style="49" min="114" max="114"/>
    <col width="17.875" bestFit="1" customWidth="1" style="49" min="115" max="115"/>
    <col width="9.5" bestFit="1" customWidth="1" style="49" min="116" max="116"/>
    <col width="27.625" bestFit="1" customWidth="1" style="49" min="117" max="117"/>
    <col width="12.875" bestFit="1" customWidth="1" style="49" min="118" max="118"/>
    <col width="24.25" bestFit="1" customWidth="1" style="49" min="119" max="119"/>
    <col width="39.75" bestFit="1" customWidth="1" style="49" min="120" max="121"/>
    <col width="10.625" bestFit="1" customWidth="1" style="49" min="122" max="122"/>
    <col width="13.75" bestFit="1" customWidth="1" style="49" min="123" max="123"/>
    <col width="19.5" bestFit="1" customWidth="1" style="49" min="124" max="124"/>
    <col width="29.125" bestFit="1" customWidth="1" style="49" min="125" max="125"/>
    <col width="20" bestFit="1" customWidth="1" style="49" min="126" max="126"/>
    <col width="23.125" bestFit="1" customWidth="1" style="49" min="127" max="127"/>
    <col width="31.75" bestFit="1" customWidth="1" style="49" min="128" max="128"/>
    <col width="19.375" bestFit="1" customWidth="1" style="49" min="129" max="129"/>
    <col width="20.875" bestFit="1" customWidth="1" style="49" min="130" max="130"/>
    <col width="19.625" bestFit="1" customWidth="1" style="49" min="131" max="131"/>
    <col width="18.75" bestFit="1" customWidth="1" style="49" min="132" max="132"/>
    <col width="22.5" bestFit="1" customWidth="1" style="49" min="133" max="133"/>
    <col width="18.75" bestFit="1" customWidth="1" style="49" min="134" max="135"/>
    <col width="20.25" bestFit="1" customWidth="1" style="49" min="136" max="136"/>
    <col width="18.125" bestFit="1" customWidth="1" style="49" min="137" max="137"/>
    <col width="13.125" bestFit="1" customWidth="1" style="49" min="138" max="138"/>
    <col width="12.125" bestFit="1" customWidth="1" style="49" min="139" max="139"/>
    <col width="13.75" bestFit="1" customWidth="1" style="49" min="140" max="140"/>
    <col width="12.375" bestFit="1" customWidth="1" style="49" min="141" max="141"/>
    <col width="19" bestFit="1" customWidth="1" style="49" min="142" max="142"/>
    <col width="22.5" bestFit="1" customWidth="1" style="49" min="143" max="143"/>
    <col width="28.125" bestFit="1" customWidth="1" style="49" min="144" max="144"/>
    <col width="15.625" bestFit="1" customWidth="1" style="49" min="145" max="145"/>
    <col width="14" bestFit="1" customWidth="1" style="49" min="146" max="146"/>
    <col width="12.125" bestFit="1" customWidth="1" style="49" min="147" max="147"/>
    <col width="12.875" bestFit="1" customWidth="1" style="49" min="148" max="148"/>
    <col width="22" bestFit="1" customWidth="1" style="49" min="149" max="149"/>
    <col width="12.375" bestFit="1" customWidth="1" style="49" min="150" max="150"/>
    <col width="16.25" bestFit="1" customWidth="1" style="49" min="151" max="151"/>
    <col width="24.75" bestFit="1" customWidth="1" style="49" min="152" max="152"/>
    <col width="38.625" bestFit="1" customWidth="1" style="49" min="153" max="153"/>
    <col width="21.625" bestFit="1" customWidth="1" style="49" min="154" max="154"/>
    <col width="31" bestFit="1" customWidth="1" style="49" min="155" max="155"/>
    <col width="14.375" bestFit="1" customWidth="1" style="49" min="156" max="156"/>
    <col width="13.875" bestFit="1" customWidth="1" style="49" min="157" max="157"/>
    <col width="15.125" bestFit="1" customWidth="1" style="49" min="158" max="158"/>
    <col width="15.25" bestFit="1" customWidth="1" style="49" min="159" max="159"/>
    <col width="14.25" bestFit="1" customWidth="1" style="49" min="160" max="160"/>
    <col width="14.375" bestFit="1" customWidth="1" style="49" min="161" max="161"/>
    <col width="13.125" bestFit="1" customWidth="1" style="49" min="162" max="162"/>
    <col width="15.5" bestFit="1" customWidth="1" style="49" min="163" max="163"/>
    <col width="17" bestFit="1" customWidth="1" style="49" min="164" max="164"/>
    <col width="14.125" bestFit="1" customWidth="1" style="49" min="165" max="165"/>
    <col width="13" bestFit="1" customWidth="1" style="49" min="166" max="166"/>
    <col width="29.375" bestFit="1" customWidth="1" style="49" min="167" max="167"/>
    <col width="21.625" bestFit="1" customWidth="1" style="49" min="168" max="168"/>
    <col width="13.625" bestFit="1" customWidth="1" style="49" min="169" max="169"/>
    <col width="21.375" bestFit="1" customWidth="1" style="49" min="170" max="174"/>
    <col width="19.375" bestFit="1" customWidth="1" style="49" min="175" max="175"/>
    <col width="12.5" bestFit="1" customWidth="1" style="49" min="176" max="176"/>
    <col width="27.125" bestFit="1" customWidth="1" style="49" min="177" max="179"/>
    <col width="43.5" bestFit="1" customWidth="1" style="49" min="180" max="180"/>
    <col width="41.25" bestFit="1" customWidth="1" style="49" min="181" max="181"/>
    <col width="35.375" bestFit="1" customWidth="1" style="49" min="182" max="182"/>
    <col width="17.125" bestFit="1" customWidth="1" style="49" min="183" max="183"/>
    <col width="27.625" bestFit="1" customWidth="1" style="49" min="184" max="186"/>
    <col width="26.375" bestFit="1" customWidth="1" style="49" min="187" max="188"/>
    <col width="30.75" bestFit="1" customWidth="1" style="49" min="189" max="189"/>
    <col width="23.5" bestFit="1" customWidth="1" style="49" min="190" max="190"/>
    <col width="14.25" bestFit="1" customWidth="1" style="49" min="191" max="191"/>
    <col width="15.25" bestFit="1" customWidth="1" style="49" min="192" max="192"/>
    <col width="9.75" bestFit="1" customWidth="1" style="49" min="193" max="193"/>
    <col width="24.125" bestFit="1" customWidth="1" style="49" min="194" max="194"/>
    <col width="16.25" bestFit="1" customWidth="1" style="49" min="195" max="195"/>
    <col width="24.375" bestFit="1" customWidth="1" style="49" min="196" max="196"/>
    <col width="15.375" bestFit="1" customWidth="1" style="49" min="197" max="197"/>
    <col width="11.625" bestFit="1" customWidth="1" style="49" min="198" max="198"/>
    <col width="24.375" bestFit="1" customWidth="1" style="49" min="199" max="199"/>
    <col width="21" bestFit="1" customWidth="1" style="49" min="200" max="200"/>
    <col width="17.125" bestFit="1" customWidth="1" style="49" min="201" max="201"/>
    <col width="11.625" bestFit="1" customWidth="1" style="49" min="202" max="202"/>
    <col width="20" bestFit="1" customWidth="1" style="49" min="203" max="203"/>
    <col width="14.625" bestFit="1" customWidth="1" style="49" min="204" max="204"/>
    <col width="19.125" bestFit="1" customWidth="1" style="49" min="205" max="205"/>
    <col width="15.875" bestFit="1" customWidth="1" style="49" min="206" max="206"/>
    <col width="22" bestFit="1" customWidth="1" style="49" min="207" max="207"/>
    <col width="14.875" bestFit="1" customWidth="1" style="49" min="208" max="208"/>
    <col width="22.125" bestFit="1" customWidth="1" style="49" min="209" max="209"/>
    <col width="22.25" bestFit="1" customWidth="1" style="49" min="210" max="211"/>
    <col width="16.375" bestFit="1" customWidth="1" style="49" min="212" max="212"/>
    <col width="17.125" bestFit="1" customWidth="1" style="49" min="213" max="213"/>
    <col width="12" bestFit="1" customWidth="1" style="49" min="214" max="214"/>
    <col width="11.875" bestFit="1" customWidth="1" style="49" min="215" max="215"/>
    <col width="15.75" bestFit="1" customWidth="1" style="49" min="216" max="216"/>
    <col width="12.875" bestFit="1" customWidth="1" style="49" min="217" max="217"/>
    <col width="25.875" bestFit="1" customWidth="1" style="49" min="218" max="218"/>
    <col width="23" bestFit="1" customWidth="1" style="49" min="219" max="219"/>
    <col width="22.625" bestFit="1" customWidth="1" style="49" min="220" max="220"/>
    <col width="23.375" bestFit="1" customWidth="1" style="49" min="221" max="221"/>
    <col width="16.125" bestFit="1" customWidth="1" style="49" min="222" max="222"/>
    <col width="20.25" bestFit="1" customWidth="1" style="49" min="223" max="223"/>
    <col width="19" bestFit="1" customWidth="1" style="49" min="224" max="224"/>
    <col width="22" bestFit="1" customWidth="1" style="49" min="225" max="225"/>
    <col width="16.75" bestFit="1" customWidth="1" style="49" min="226" max="226"/>
    <col width="15" bestFit="1" customWidth="1" style="49" min="227" max="227"/>
    <col width="29.125" bestFit="1" customWidth="1" style="49" min="228" max="228"/>
    <col width="10.875" bestFit="1" customWidth="1" style="49" min="229" max="229"/>
    <col width="18.625" bestFit="1" customWidth="1" style="49" min="230" max="230"/>
    <col width="13" bestFit="1" customWidth="1" style="49" min="231" max="232"/>
    <col width="16.5" bestFit="1" customWidth="1" style="49" min="233" max="233"/>
    <col width="8.5" bestFit="1" customWidth="1" style="49" min="234" max="234"/>
    <col width="9.125" bestFit="1" customWidth="1" style="49" min="235" max="235"/>
    <col width="10.375" bestFit="1" customWidth="1" style="49" min="236" max="236"/>
    <col width="14.5" bestFit="1" customWidth="1" style="49" min="237" max="237"/>
    <col width="23.5" bestFit="1" customWidth="1" style="49" min="238" max="238"/>
    <col width="22.875" bestFit="1" customWidth="1" style="49" min="239" max="239"/>
    <col width="8.875" bestFit="1" customWidth="1" style="49" min="240" max="240"/>
    <col width="17.125" bestFit="1" customWidth="1" style="49" min="241" max="241"/>
    <col width="21" bestFit="1" customWidth="1" style="49" min="242" max="242"/>
    <col width="12.5" bestFit="1" customWidth="1" style="49" min="243" max="243"/>
    <col width="17.75" bestFit="1" customWidth="1" style="49" min="244" max="245"/>
    <col width="24.25" bestFit="1" customWidth="1" style="49" min="246" max="246"/>
    <col width="12" bestFit="1" customWidth="1" style="49" min="247" max="247"/>
    <col width="18.75" bestFit="1" customWidth="1" style="49" min="248" max="248"/>
    <col width="15.125" bestFit="1" customWidth="1" style="49" min="249" max="249"/>
    <col width="21" bestFit="1" customWidth="1" style="49" min="250" max="250"/>
    <col width="19.125" bestFit="1" customWidth="1" style="49" min="251" max="251"/>
    <col width="17.125" bestFit="1" customWidth="1" style="49" min="252" max="252"/>
    <col width="27.875" bestFit="1" customWidth="1" style="49" min="253" max="253"/>
    <col width="15.75" bestFit="1" customWidth="1" style="49" min="254" max="254"/>
    <col width="15.875" bestFit="1" customWidth="1" style="49" min="255" max="255"/>
    <col width="16.625" bestFit="1" customWidth="1" style="49" min="256" max="256"/>
    <col width="18.875" bestFit="1" customWidth="1" style="49" min="257" max="257"/>
    <col width="14.5" bestFit="1" customWidth="1" style="49" min="258" max="258"/>
    <col width="16.625" bestFit="1" customWidth="1" style="49" min="259" max="259"/>
    <col width="18.75" bestFit="1" customWidth="1" style="49" min="260" max="260"/>
    <col width="28.5" bestFit="1" customWidth="1" style="49" min="261" max="261"/>
    <col width="21.25" bestFit="1" customWidth="1" style="49" min="262" max="262"/>
    <col width="20.75" bestFit="1" customWidth="1" style="49" min="263" max="263"/>
    <col width="17.125" bestFit="1" customWidth="1" style="49" min="264" max="264"/>
    <col width="19" bestFit="1" customWidth="1" style="49" min="265" max="267"/>
    <col width="37.875" bestFit="1" customWidth="1" style="49" min="268" max="268"/>
    <col width="13.625" bestFit="1" customWidth="1" style="49" min="269" max="269"/>
    <col width="17.375" bestFit="1" customWidth="1" style="49" min="270" max="270"/>
    <col width="12.75" bestFit="1" customWidth="1" style="49" min="271" max="271"/>
    <col width="15" bestFit="1" customWidth="1" style="49" min="272" max="272"/>
    <col width="23.25" bestFit="1" customWidth="1" style="49" min="273" max="273"/>
    <col width="13.375" bestFit="1" customWidth="1" style="49" min="274" max="274"/>
    <col width="12.75" bestFit="1" customWidth="1" style="49" min="275" max="275"/>
    <col width="13.375" bestFit="1" customWidth="1" style="49" min="276" max="277"/>
    <col width="12.75" bestFit="1" customWidth="1" style="49" min="278" max="278"/>
    <col width="15" bestFit="1" customWidth="1" style="49" min="279" max="280"/>
    <col width="15.625" bestFit="1" customWidth="1" style="49" min="281" max="281"/>
    <col width="13.375" bestFit="1" customWidth="1" style="49" min="282" max="282"/>
    <col width="11.25" bestFit="1" customWidth="1" style="49" min="283" max="283"/>
    <col width="7.75" bestFit="1" customWidth="1" style="49" min="284" max="284"/>
    <col width="9.75" bestFit="1" customWidth="1" style="49" min="285" max="285"/>
    <col width="12.75" bestFit="1" customWidth="1" style="49" min="286" max="286"/>
    <col width="18" bestFit="1" customWidth="1" style="49" min="287" max="288"/>
    <col width="13.25" bestFit="1" customWidth="1" style="49" min="289" max="289"/>
    <col width="17.75" bestFit="1" customWidth="1" style="49" min="290" max="290"/>
    <col width="7.75" bestFit="1" customWidth="1" style="49" min="291" max="291"/>
    <col width="15.625" bestFit="1" customWidth="1" style="49" min="292" max="292"/>
    <col width="9.75" bestFit="1" customWidth="1" style="49" min="293" max="293"/>
    <col width="13.375" bestFit="1" customWidth="1" style="49" min="294" max="294"/>
    <col width="11.875" bestFit="1" customWidth="1" style="49" min="295" max="295"/>
    <col width="10.125" bestFit="1" customWidth="1" style="49" min="296" max="296"/>
    <col width="11.25" bestFit="1" customWidth="1" style="49" min="297" max="297"/>
    <col width="19" bestFit="1" customWidth="1" style="49" min="298" max="298"/>
    <col width="27.75" bestFit="1" customWidth="1" style="49" min="299" max="299"/>
    <col width="22.75" bestFit="1" customWidth="1" style="49" min="300" max="300"/>
    <col width="12.75" bestFit="1" customWidth="1" style="49" min="301" max="301"/>
    <col width="13.375" bestFit="1" customWidth="1" style="49" min="302" max="302"/>
    <col width="15" bestFit="1" customWidth="1" style="49" min="303" max="303"/>
    <col width="21.5" bestFit="1" customWidth="1" style="49" min="304" max="304"/>
    <col width="26.375" bestFit="1" customWidth="1" style="49" min="305" max="305"/>
    <col width="22.25" bestFit="1" customWidth="1" style="49" min="306" max="306"/>
    <col width="11.75" bestFit="1" customWidth="1" style="49" min="307" max="307"/>
    <col width="16.125" bestFit="1" customWidth="1" style="49" min="308" max="308"/>
    <col width="15.625" bestFit="1" customWidth="1" style="49" min="309" max="309"/>
    <col width="11.25" bestFit="1" customWidth="1" style="49" min="310" max="311"/>
    <col width="32.625" bestFit="1" customWidth="1" style="49" min="312" max="312"/>
    <col width="11.75" bestFit="1" customWidth="1" style="49" min="313" max="313"/>
    <col width="20.5" bestFit="1" customWidth="1" style="49" min="314" max="314"/>
    <col width="7.75" bestFit="1" customWidth="1" style="49" min="315" max="315"/>
    <col width="25.25" bestFit="1" customWidth="1" style="49" min="316" max="316"/>
    <col width="9.75" bestFit="1" customWidth="1" style="49" min="317" max="317"/>
    <col width="13.375" bestFit="1" customWidth="1" style="49" min="318" max="320"/>
    <col width="28.875" bestFit="1" customWidth="1" style="49" min="321" max="321"/>
    <col width="17.875" bestFit="1" customWidth="1" style="49" min="322" max="322"/>
    <col width="12.75" bestFit="1" customWidth="1" style="49" min="323" max="323"/>
    <col width="5.75" bestFit="1" customWidth="1" style="49" min="324" max="324"/>
    <col width="13.25" bestFit="1" customWidth="1" style="49" min="325" max="325"/>
    <col width="24.625" bestFit="1" customWidth="1" style="49" min="326" max="326"/>
    <col width="13.375" bestFit="1" customWidth="1" style="49" min="327" max="327"/>
    <col width="11.875" bestFit="1" customWidth="1" style="49" min="328" max="328"/>
    <col width="12.75" bestFit="1" customWidth="1" style="49" min="329" max="331"/>
    <col width="15.25" bestFit="1" customWidth="1" style="49" min="332" max="332"/>
    <col width="13.25" bestFit="1" customWidth="1" style="49" min="333" max="333"/>
    <col width="22.25" bestFit="1" customWidth="1" style="49" min="334" max="334"/>
    <col width="13.375" bestFit="1" customWidth="1" style="49" min="335" max="335"/>
    <col width="14.5" bestFit="1" customWidth="1" style="49" min="336" max="336"/>
    <col width="24.75" bestFit="1" customWidth="1" style="49" min="337" max="337"/>
    <col width="13.375" bestFit="1" customWidth="1" style="49" min="338" max="338"/>
    <col width="14.125" bestFit="1" customWidth="1" style="49" min="339" max="339"/>
    <col width="12.75" bestFit="1" customWidth="1" style="49" min="340" max="340"/>
    <col width="13.375" bestFit="1" customWidth="1" style="49" min="341" max="342"/>
    <col width="12.75" bestFit="1" customWidth="1" style="49" min="343" max="343"/>
    <col width="15.25" bestFit="1" customWidth="1" style="49" min="344" max="344"/>
    <col width="5.75" bestFit="1" customWidth="1" style="49" min="345" max="345"/>
    <col width="15" bestFit="1" customWidth="1" style="49" min="346" max="346"/>
    <col width="13.375" bestFit="1" customWidth="1" style="49" min="347" max="347"/>
    <col width="7.75" bestFit="1" customWidth="1" style="49" min="348" max="348"/>
    <col width="32.125" bestFit="1" customWidth="1" style="49" min="349" max="349"/>
    <col width="15.625" bestFit="1" customWidth="1" style="49" min="350" max="350"/>
    <col width="29" bestFit="1" customWidth="1" style="49" min="351" max="351"/>
    <col width="12.75" bestFit="1" customWidth="1" style="49" min="352" max="352"/>
    <col width="14.25" bestFit="1" customWidth="1" style="49" min="353" max="353"/>
    <col width="13.375" bestFit="1" customWidth="1" style="49" min="354" max="355"/>
    <col width="7.75" bestFit="1" customWidth="1" style="49" min="356" max="356"/>
    <col width="13.375" bestFit="1" customWidth="1" style="49" min="357" max="357"/>
    <col width="12.75" bestFit="1" customWidth="1" style="49" min="358" max="358"/>
    <col width="22.75" bestFit="1" customWidth="1" style="49" min="359" max="359"/>
    <col width="15.625" bestFit="1" customWidth="1" style="49" min="360" max="361"/>
    <col width="13.25" bestFit="1" customWidth="1" style="49" min="362" max="362"/>
    <col width="17.875" bestFit="1" customWidth="1" style="49" min="363" max="363"/>
    <col width="7.75" bestFit="1" customWidth="1" style="49" min="364" max="364"/>
    <col width="8.125" bestFit="1" customWidth="1" style="49" min="365" max="365"/>
    <col width="14.375" bestFit="1" customWidth="1" style="49" min="366" max="366"/>
    <col width="43.125" bestFit="1" customWidth="1" style="49" min="367" max="367"/>
    <col width="15.625" bestFit="1" customWidth="1" style="49" min="368" max="369"/>
    <col width="13.375" bestFit="1" customWidth="1" style="49" min="370" max="371"/>
    <col width="7.75" bestFit="1" customWidth="1" style="49" min="372" max="372"/>
    <col width="17.875" bestFit="1" customWidth="1" style="49" min="373" max="373"/>
    <col width="7.75" bestFit="1" customWidth="1" style="49" min="374" max="374"/>
    <col width="17.5" bestFit="1" customWidth="1" style="49" min="375" max="375"/>
    <col width="7.75" bestFit="1" customWidth="1" style="49" min="376" max="376"/>
    <col width="17.125" bestFit="1" customWidth="1" style="49" min="377" max="377"/>
    <col width="13.625" bestFit="1" customWidth="1" style="49" min="378" max="378"/>
    <col width="13.375" bestFit="1" customWidth="1" style="49" min="379" max="379"/>
    <col width="18.625" bestFit="1" customWidth="1" style="49" min="380" max="380"/>
    <col width="13.375" bestFit="1" customWidth="1" style="49" min="381" max="381"/>
    <col width="12.75" bestFit="1" customWidth="1" style="49" min="382" max="382"/>
    <col width="10.875" bestFit="1" customWidth="1" style="49" min="383" max="383"/>
    <col width="15.625" bestFit="1" customWidth="1" style="49" min="384" max="384"/>
    <col width="12.75" bestFit="1" customWidth="1" style="49" min="385" max="385"/>
    <col width="16.375" bestFit="1" customWidth="1" style="49" min="386" max="386"/>
    <col width="12.75" bestFit="1" customWidth="1" style="49" min="387" max="387"/>
    <col width="7.75" bestFit="1" customWidth="1" style="49" min="388" max="388"/>
    <col width="13.375" bestFit="1" customWidth="1" style="49" min="389" max="389"/>
    <col width="12.75" bestFit="1" customWidth="1" style="49" min="390" max="390"/>
    <col width="7.75" bestFit="1" customWidth="1" style="49" min="391" max="391"/>
    <col width="18.875" bestFit="1" customWidth="1" style="49" min="392" max="392"/>
    <col width="15.625" bestFit="1" customWidth="1" style="49" min="393" max="394"/>
    <col width="14.875" bestFit="1" customWidth="1" style="49" min="395" max="395"/>
    <col width="15.625" bestFit="1" customWidth="1" style="49" min="396" max="396"/>
    <col width="7.75" bestFit="1" customWidth="1" style="49" min="397" max="397"/>
    <col width="23.5" bestFit="1" customWidth="1" style="49" min="398" max="398"/>
    <col width="31" bestFit="1" customWidth="1" style="49" min="399" max="399"/>
    <col width="17.5" bestFit="1" customWidth="1" style="49" min="400" max="400"/>
    <col width="14.875" bestFit="1" customWidth="1" style="49" min="401" max="403"/>
    <col width="15.625" bestFit="1" customWidth="1" style="49" min="404" max="404"/>
    <col width="17.125" bestFit="1" customWidth="1" style="49" min="405" max="405"/>
    <col width="19.375" bestFit="1" customWidth="1" style="49" min="406" max="406"/>
    <col width="27" bestFit="1" customWidth="1" style="49" min="407" max="407"/>
    <col width="25.5" bestFit="1" customWidth="1" style="49" min="408" max="408"/>
    <col width="28.875" bestFit="1" customWidth="1" style="49" min="409" max="410"/>
    <col width="30.125" bestFit="1" customWidth="1" style="49" min="411" max="411"/>
    <col width="28.875" bestFit="1" customWidth="1" style="49" min="412" max="412"/>
    <col width="24.5" bestFit="1" customWidth="1" style="49" min="413" max="413"/>
    <col width="7.75" bestFit="1" customWidth="1" style="49" min="414" max="414"/>
    <col width="17.875" bestFit="1" customWidth="1" style="49" min="415" max="416"/>
    <col width="15" bestFit="1" customWidth="1" style="49" min="417" max="418"/>
    <col width="15.625" bestFit="1" customWidth="1" style="49" min="419" max="419"/>
    <col width="14.125" bestFit="1" customWidth="1" style="49" min="420" max="420"/>
    <col width="15" bestFit="1" customWidth="1" style="49" min="421" max="422"/>
    <col width="15.625" bestFit="1" customWidth="1" style="49" min="423" max="423"/>
    <col width="5.75" bestFit="1" customWidth="1" style="49" min="424" max="424"/>
    <col width="15.625" bestFit="1" customWidth="1" style="49" min="425" max="425"/>
    <col width="30.875" bestFit="1" customWidth="1" style="49" min="426" max="426"/>
    <col width="22.875" bestFit="1" customWidth="1" style="49" min="427" max="427"/>
    <col width="15.625" bestFit="1" customWidth="1" style="49" min="428" max="428"/>
    <col width="15" bestFit="1" customWidth="1" style="49" min="429" max="429"/>
    <col width="15.625" bestFit="1" customWidth="1" style="49" min="430" max="430"/>
    <col width="15" bestFit="1" customWidth="1" style="49" min="431" max="431"/>
    <col width="7.75" bestFit="1" customWidth="1" style="49" min="432" max="432"/>
    <col width="15.625" bestFit="1" customWidth="1" style="49" min="433" max="434"/>
    <col width="14.875" bestFit="1" customWidth="1" style="49" min="435" max="435"/>
    <col width="14.625" bestFit="1" customWidth="1" style="49" min="436" max="436"/>
    <col width="26.75" bestFit="1" customWidth="1" style="49" min="437" max="437"/>
    <col width="15.625" bestFit="1" customWidth="1" style="49" min="438" max="439"/>
    <col width="15.25" bestFit="1" customWidth="1" style="49" min="440" max="440"/>
    <col width="12.75" bestFit="1" customWidth="1" style="49" min="441" max="441"/>
    <col width="13.375" bestFit="1" customWidth="1" style="49" min="442" max="443"/>
    <col width="11.875" bestFit="1" customWidth="1" style="49" min="444" max="444"/>
    <col width="15.125" bestFit="1" customWidth="1" style="49" min="445" max="445"/>
    <col width="7.75" bestFit="1" customWidth="1" style="49" min="446" max="447"/>
    <col width="15" bestFit="1" customWidth="1" style="49" min="448" max="448"/>
    <col width="13.375" bestFit="1" customWidth="1" style="49" min="449" max="450"/>
    <col width="12.75" bestFit="1" customWidth="1" style="49" min="451" max="451"/>
    <col width="17.5" bestFit="1" customWidth="1" style="49" min="452" max="452"/>
    <col width="29.25" bestFit="1" customWidth="1" style="49" min="453" max="453"/>
    <col width="15" bestFit="1" customWidth="1" style="49" min="454" max="454"/>
    <col width="15.625" bestFit="1" customWidth="1" style="49" min="455" max="455"/>
    <col width="25.75" bestFit="1" customWidth="1" style="49" min="456" max="456"/>
    <col width="7.75" bestFit="1" customWidth="1" style="49" min="457" max="458"/>
    <col width="15.375" bestFit="1" customWidth="1" style="49" min="459" max="459"/>
    <col width="7.75" bestFit="1" customWidth="1" style="49" min="460" max="460"/>
    <col width="13.375" bestFit="1" customWidth="1" style="49" min="461" max="461"/>
    <col width="12.75" bestFit="1" customWidth="1" style="49" min="462" max="463"/>
    <col width="13.375" bestFit="1" customWidth="1" style="49" min="464" max="465"/>
    <col width="17.875" bestFit="1" customWidth="1" style="49" min="466" max="467"/>
    <col width="15.25" bestFit="1" customWidth="1" style="49" min="468" max="468"/>
    <col width="32.25" bestFit="1" customWidth="1" style="49" min="469" max="469"/>
    <col width="13.375" bestFit="1" customWidth="1" style="49" min="470" max="470"/>
    <col width="9.75" bestFit="1" customWidth="1" style="49" min="471" max="471"/>
    <col width="33.125" bestFit="1" customWidth="1" style="49" min="472" max="472"/>
    <col width="11.875" bestFit="1" customWidth="1" style="49" min="473" max="473"/>
    <col width="21.375" bestFit="1" customWidth="1" style="49" min="474" max="474"/>
    <col width="12.75" bestFit="1" customWidth="1" style="49" min="475" max="475"/>
    <col width="7.25" bestFit="1" customWidth="1" style="49" min="476" max="476"/>
    <col width="5.75" bestFit="1" customWidth="1" style="49" min="477" max="477"/>
    <col width="9.625" bestFit="1" customWidth="1" style="49" min="478" max="483"/>
    <col width="7.25" bestFit="1" customWidth="1" style="49" min="484" max="484"/>
    <col width="10.75" bestFit="1" customWidth="1" style="49" min="485" max="485"/>
    <col width="7.375" bestFit="1" customWidth="1" style="49" min="486" max="486"/>
    <col width="7.625" bestFit="1" customWidth="1" style="49" min="487" max="487"/>
    <col width="10.25" bestFit="1" customWidth="1" style="49" min="488" max="488"/>
    <col width="13.25" bestFit="1" customWidth="1" style="49" min="489" max="489"/>
    <col width="9.625" bestFit="1" customWidth="1" style="49" min="490" max="490"/>
    <col width="11.375" bestFit="1" customWidth="1" style="49" min="491" max="491"/>
    <col width="10.25" bestFit="1" customWidth="1" style="49" min="492" max="492"/>
    <col width="13.25" bestFit="1" customWidth="1" style="49" min="493" max="493"/>
    <col width="11.125" bestFit="1" customWidth="1" style="49" min="494" max="494"/>
    <col width="8.5" bestFit="1" customWidth="1" style="49" min="495" max="495"/>
    <col width="9.625" bestFit="1" customWidth="1" style="49" min="496" max="497"/>
    <col width="14.25" bestFit="1" customWidth="1" style="49" min="498" max="498"/>
    <col width="7.375" bestFit="1" customWidth="1" style="49" min="499" max="499"/>
    <col width="9.875" bestFit="1" customWidth="1" style="49" min="500" max="500"/>
    <col width="11.125" bestFit="1" customWidth="1" style="49" min="501" max="501"/>
    <col width="14.25" bestFit="1" customWidth="1" style="49" min="502" max="502"/>
    <col width="12.75" bestFit="1" customWidth="1" style="49" min="503" max="503"/>
    <col width="16.125" bestFit="1" customWidth="1" style="49" min="504" max="504"/>
    <col width="14" bestFit="1" customWidth="1" style="49" min="505" max="505"/>
    <col width="7.25" bestFit="1" customWidth="1" style="49" min="506" max="506"/>
    <col width="17.375" bestFit="1" customWidth="1" style="49" min="507" max="507"/>
    <col width="14" bestFit="1" customWidth="1" style="49" min="508" max="508"/>
    <col width="17.375" bestFit="1" customWidth="1" style="49" min="509" max="509"/>
    <col width="14" bestFit="1" customWidth="1" style="49" min="510" max="510"/>
    <col width="17.375" bestFit="1" customWidth="1" style="49" min="511" max="511"/>
    <col width="14" bestFit="1" customWidth="1" style="49" min="512" max="512"/>
    <col width="17.375" bestFit="1" customWidth="1" style="49" min="513" max="513"/>
    <col width="14" bestFit="1" customWidth="1" style="49" min="514" max="514"/>
    <col width="17.375" bestFit="1" customWidth="1" style="49" min="515" max="515"/>
    <col width="14" bestFit="1" customWidth="1" style="49" min="516" max="516"/>
    <col width="17.375" bestFit="1" customWidth="1" style="49" min="517" max="517"/>
    <col width="14" bestFit="1" customWidth="1" style="49" min="518" max="518"/>
    <col width="17.375" bestFit="1" customWidth="1" style="49" min="519" max="519"/>
    <col width="15.25" bestFit="1" customWidth="1" style="49" min="520" max="520"/>
    <col width="18.625" bestFit="1" customWidth="1" style="49" min="521" max="521"/>
    <col width="15.25" bestFit="1" customWidth="1" style="49" min="522" max="522"/>
    <col width="18.625" bestFit="1" customWidth="1" style="49" min="523" max="523"/>
    <col width="15.25" bestFit="1" customWidth="1" style="49" min="524" max="524"/>
    <col width="18.625" bestFit="1" customWidth="1" style="49" min="525" max="525"/>
    <col width="9.25" bestFit="1" customWidth="1" style="49" min="526" max="526"/>
    <col width="8.5" bestFit="1" customWidth="1" style="49" min="527" max="530"/>
    <col width="9.625" bestFit="1" customWidth="1" style="49" min="531" max="559"/>
    <col width="10.75" bestFit="1" customWidth="1" style="49" min="560" max="568"/>
    <col width="7.25" bestFit="1" customWidth="1" style="49" min="569" max="569"/>
    <col width="12.125" bestFit="1" customWidth="1" style="49" min="570" max="570"/>
    <col width="5.75" bestFit="1" customWidth="1" style="49" min="571" max="571"/>
  </cols>
  <sheetData>
    <row r="2">
      <c r="A2" s="37" t="inlineStr">
        <is>
          <t>元請け</t>
        </is>
      </c>
      <c r="B2" s="0" t="inlineStr">
        <is>
          <t>LIXIL</t>
        </is>
      </c>
    </row>
    <row r="4">
      <c r="A4" s="37" t="inlineStr">
        <is>
          <t>行ラベル</t>
        </is>
      </c>
      <c r="B4" s="0" t="inlineStr">
        <is>
          <t>個数 / 利益</t>
        </is>
      </c>
      <c r="C4" s="0" t="inlineStr">
        <is>
          <t>合計 / 受注金額 税抜</t>
        </is>
      </c>
    </row>
    <row r="5">
      <c r="A5" s="38" t="inlineStr">
        <is>
          <t>-</t>
        </is>
      </c>
      <c r="B5" s="0" t="n">
        <v>1</v>
      </c>
      <c r="C5" s="0" t="n">
        <v>78000</v>
      </c>
    </row>
    <row r="6">
      <c r="A6" s="38" t="inlineStr">
        <is>
          <t>あけの平 今野邸</t>
        </is>
      </c>
      <c r="B6" s="0" t="n">
        <v>1</v>
      </c>
      <c r="C6" s="0" t="n">
        <v>216350</v>
      </c>
    </row>
    <row r="7">
      <c r="A7" s="38" t="inlineStr">
        <is>
          <t>あすと長町レジデンシャルタワー2008</t>
        </is>
      </c>
      <c r="B7" s="0" t="n">
        <v>1</v>
      </c>
      <c r="C7" s="0" t="n">
        <v>76150</v>
      </c>
    </row>
    <row r="8">
      <c r="A8" s="38" t="inlineStr">
        <is>
          <t>アップルタワー</t>
        </is>
      </c>
      <c r="B8" s="0" t="n">
        <v>1</v>
      </c>
      <c r="C8" s="0" t="n">
        <v>67265</v>
      </c>
    </row>
    <row r="9">
      <c r="A9" s="38" t="inlineStr">
        <is>
          <t>アポロシティ高砂壱番館305</t>
        </is>
      </c>
      <c r="B9" s="0" t="n">
        <v>1</v>
      </c>
      <c r="C9" s="0" t="n">
        <v>94000</v>
      </c>
    </row>
    <row r="10">
      <c r="A10" s="38" t="inlineStr">
        <is>
          <t>エアリーフォートアクシスフォート511</t>
        </is>
      </c>
      <c r="B10" s="0" t="n">
        <v>1</v>
      </c>
      <c r="C10" s="0" t="n">
        <v>968275</v>
      </c>
    </row>
    <row r="11">
      <c r="A11" s="38" t="inlineStr">
        <is>
          <t>エアリーフォートアクシスフォート511.411.311.211</t>
        </is>
      </c>
      <c r="B11" s="0" t="n">
        <v>1</v>
      </c>
      <c r="C11" s="0" t="n">
        <v>1890000</v>
      </c>
    </row>
    <row r="12">
      <c r="A12" s="38" t="inlineStr">
        <is>
          <t>グリーンヒルズ　chida-F201</t>
        </is>
      </c>
      <c r="B12" s="0" t="n">
        <v>1</v>
      </c>
      <c r="C12" s="0" t="n">
        <v>1879000</v>
      </c>
    </row>
    <row r="13">
      <c r="A13" s="38" t="inlineStr">
        <is>
          <t>シティハウス長町南ステーションコート301</t>
        </is>
      </c>
      <c r="B13" s="0" t="n">
        <v>2</v>
      </c>
      <c r="C13" s="0" t="n">
        <v>688000</v>
      </c>
    </row>
    <row r="14">
      <c r="A14" s="38" t="inlineStr">
        <is>
          <t>ダイヤパレスいずみの杜南光台　佐藤邸</t>
        </is>
      </c>
      <c r="B14" s="0" t="n">
        <v>1</v>
      </c>
      <c r="C14" s="0" t="n">
        <v>86000</v>
      </c>
    </row>
    <row r="15">
      <c r="A15" s="38" t="inlineStr">
        <is>
          <t>ナイスアーバンステイツ南仙台</t>
        </is>
      </c>
      <c r="B15" s="0" t="n">
        <v>1</v>
      </c>
      <c r="C15" s="0" t="n">
        <v>434950</v>
      </c>
    </row>
    <row r="16">
      <c r="A16" s="38" t="inlineStr">
        <is>
          <t>ネオハイツ多賀城103</t>
        </is>
      </c>
      <c r="B16" s="0" t="n">
        <v>1</v>
      </c>
      <c r="C16" s="0" t="n">
        <v>1038800</v>
      </c>
    </row>
    <row r="17">
      <c r="A17" s="38" t="inlineStr">
        <is>
          <t>ネオハイツ多賀城203</t>
        </is>
      </c>
      <c r="B17" s="0" t="n">
        <v>1</v>
      </c>
      <c r="C17" s="0" t="n">
        <v>1203614</v>
      </c>
    </row>
    <row r="18">
      <c r="A18" s="38" t="inlineStr">
        <is>
          <t>ネオハイツ中野栄202</t>
        </is>
      </c>
      <c r="B18" s="0" t="n">
        <v>1</v>
      </c>
      <c r="C18" s="0" t="n">
        <v>215000</v>
      </c>
    </row>
    <row r="19">
      <c r="A19" s="38" t="inlineStr">
        <is>
          <t>ネオハイツ中野栄408</t>
        </is>
      </c>
      <c r="B19" s="0" t="n">
        <v>1</v>
      </c>
    </row>
    <row r="20">
      <c r="A20" s="38" t="inlineStr">
        <is>
          <t>ネオハイツ中野栄505</t>
        </is>
      </c>
      <c r="B20" s="0" t="n">
        <v>1</v>
      </c>
      <c r="C20" s="0" t="n">
        <v>1021600</v>
      </c>
    </row>
    <row r="21">
      <c r="A21" s="38" t="inlineStr">
        <is>
          <t>パークアベニュー八乙女306</t>
        </is>
      </c>
      <c r="B21" s="0" t="n">
        <v>1</v>
      </c>
      <c r="C21" s="0" t="n">
        <v>250833</v>
      </c>
    </row>
    <row r="22">
      <c r="A22" s="38" t="inlineStr">
        <is>
          <t>パークアベニュー八乙女601</t>
        </is>
      </c>
      <c r="B22" s="0" t="n">
        <v>1</v>
      </c>
      <c r="C22" s="0" t="n">
        <v>121560</v>
      </c>
    </row>
    <row r="23">
      <c r="A23" s="38" t="inlineStr">
        <is>
          <t>パークアベニュー八乙女811</t>
        </is>
      </c>
      <c r="B23" s="0" t="n">
        <v>1</v>
      </c>
      <c r="C23" s="0" t="n">
        <v>239939</v>
      </c>
    </row>
    <row r="24">
      <c r="A24" s="38" t="inlineStr">
        <is>
          <t>パークアベニュー八乙女ガーデン　512木村邸</t>
        </is>
      </c>
      <c r="B24" s="0" t="n">
        <v>1</v>
      </c>
      <c r="C24" s="0" t="n">
        <v>108780</v>
      </c>
    </row>
    <row r="25">
      <c r="A25" s="38" t="inlineStr">
        <is>
          <t>パークアベニュー八乙女ガーデン　513小嶋</t>
        </is>
      </c>
      <c r="B25" s="0" t="n">
        <v>1</v>
      </c>
      <c r="C25" s="0" t="n">
        <v>124320</v>
      </c>
    </row>
    <row r="26">
      <c r="A26" s="38" t="inlineStr">
        <is>
          <t>パークアベニュー八乙女ガーデン305</t>
        </is>
      </c>
      <c r="B26" s="0" t="n">
        <v>1</v>
      </c>
      <c r="C26" s="0" t="n">
        <v>49950</v>
      </c>
    </row>
    <row r="27">
      <c r="A27" s="38" t="inlineStr">
        <is>
          <t>パークタワー台原</t>
        </is>
      </c>
      <c r="B27" s="0" t="n">
        <v>1</v>
      </c>
      <c r="C27" s="0" t="n">
        <v>160500</v>
      </c>
    </row>
    <row r="28">
      <c r="A28" s="38" t="inlineStr">
        <is>
          <t>パークハウスリシェルテ1003</t>
        </is>
      </c>
      <c r="B28" s="0" t="n">
        <v>1</v>
      </c>
      <c r="C28" s="0" t="n">
        <v>203082</v>
      </c>
    </row>
    <row r="29">
      <c r="A29" s="38" t="inlineStr">
        <is>
          <t>パークハウスリシェルテ1501</t>
        </is>
      </c>
      <c r="B29" s="0" t="n">
        <v>2</v>
      </c>
      <c r="C29" s="0" t="n">
        <v>395918</v>
      </c>
    </row>
    <row r="30">
      <c r="A30" s="38" t="inlineStr">
        <is>
          <t>パークハウスリシェルテ1507</t>
        </is>
      </c>
      <c r="B30" s="0" t="n">
        <v>1</v>
      </c>
      <c r="C30" s="0" t="n">
        <v>436560</v>
      </c>
    </row>
    <row r="31">
      <c r="A31" s="38" t="inlineStr">
        <is>
          <t>パークハウスリシェルテ409</t>
        </is>
      </c>
      <c r="B31" s="0" t="n">
        <v>1</v>
      </c>
      <c r="C31" s="0" t="n">
        <v>463290</v>
      </c>
    </row>
    <row r="32">
      <c r="A32" s="38" t="inlineStr">
        <is>
          <t>パークハウスリシェルテ802</t>
        </is>
      </c>
      <c r="B32" s="0" t="n">
        <v>1</v>
      </c>
      <c r="C32" s="0" t="n">
        <v>117902</v>
      </c>
    </row>
    <row r="33">
      <c r="A33" s="38" t="inlineStr">
        <is>
          <t>パークハウス米ケ袋305</t>
        </is>
      </c>
      <c r="B33" s="0" t="n">
        <v>2</v>
      </c>
      <c r="C33" s="0" t="n">
        <v>2285767</v>
      </c>
    </row>
    <row r="34">
      <c r="A34" s="38" t="inlineStr">
        <is>
          <t>メモリアルホール亘理</t>
        </is>
      </c>
      <c r="B34" s="0" t="n">
        <v>1</v>
      </c>
      <c r="C34" s="0" t="n">
        <v>128000</v>
      </c>
    </row>
    <row r="35">
      <c r="A35" s="38" t="inlineStr">
        <is>
          <t>ルサンク仙台908</t>
        </is>
      </c>
      <c r="B35" s="0" t="n">
        <v>1</v>
      </c>
      <c r="C35" s="0" t="n">
        <v>385900</v>
      </c>
    </row>
    <row r="36">
      <c r="A36" s="38" t="inlineStr">
        <is>
          <t>ロイヤルコート河原町　緑ウイング　406</t>
        </is>
      </c>
      <c r="B36" s="0" t="n">
        <v>1</v>
      </c>
      <c r="C36" s="0" t="n">
        <v>323000</v>
      </c>
    </row>
    <row r="37">
      <c r="A37" s="38" t="inlineStr">
        <is>
          <t>沖野　針生邸</t>
        </is>
      </c>
      <c r="B37" s="0" t="n">
        <v>1</v>
      </c>
      <c r="C37" s="0" t="n">
        <v>566960</v>
      </c>
    </row>
    <row r="38">
      <c r="A38" s="38" t="inlineStr">
        <is>
          <t>沖野 相原邸</t>
        </is>
      </c>
      <c r="B38" s="0" t="n">
        <v>1</v>
      </c>
      <c r="C38" s="0" t="n">
        <v>57170</v>
      </c>
    </row>
    <row r="39">
      <c r="A39" s="38" t="inlineStr">
        <is>
          <t>加美町 萩野邸</t>
        </is>
      </c>
      <c r="B39" s="0" t="n">
        <v>1</v>
      </c>
      <c r="C39" s="0" t="n">
        <v>124000</v>
      </c>
    </row>
    <row r="40">
      <c r="A40" s="38" t="inlineStr">
        <is>
          <t>加茂　郷右近邸</t>
        </is>
      </c>
      <c r="B40" s="0" t="n">
        <v>1</v>
      </c>
      <c r="C40" s="0" t="n">
        <v>75900</v>
      </c>
    </row>
    <row r="41">
      <c r="A41" s="38" t="inlineStr">
        <is>
          <t>加茂　松本邸</t>
        </is>
      </c>
      <c r="B41" s="0" t="n">
        <v>1</v>
      </c>
      <c r="C41" s="0" t="n">
        <v>130000</v>
      </c>
    </row>
    <row r="42">
      <c r="A42" s="38" t="inlineStr">
        <is>
          <t>花園 熊谷邸</t>
        </is>
      </c>
      <c r="B42" s="0" t="n">
        <v>1</v>
      </c>
      <c r="C42" s="0" t="n">
        <v>100000</v>
      </c>
    </row>
    <row r="43">
      <c r="A43" s="38" t="inlineStr">
        <is>
          <t>角五郎　遠藤邸</t>
        </is>
      </c>
      <c r="B43" s="0" t="n">
        <v>1</v>
      </c>
      <c r="C43" s="0" t="n">
        <v>267000</v>
      </c>
    </row>
    <row r="44">
      <c r="A44" s="38" t="inlineStr">
        <is>
          <t>角田商店</t>
        </is>
      </c>
      <c r="B44" s="0" t="n">
        <v>1</v>
      </c>
      <c r="C44" s="0" t="n">
        <v>970000</v>
      </c>
    </row>
    <row r="45">
      <c r="A45" s="38" t="inlineStr">
        <is>
          <t>館　佐藤邸</t>
        </is>
      </c>
      <c r="B45" s="0" t="n">
        <v>1</v>
      </c>
      <c r="C45" s="0" t="n">
        <v>668000</v>
      </c>
    </row>
    <row r="46">
      <c r="A46" s="38" t="inlineStr">
        <is>
          <t>岩手前沢 リノベーション工事</t>
        </is>
      </c>
      <c r="B46" s="0" t="n">
        <v>1</v>
      </c>
      <c r="C46" s="0" t="n">
        <v>2670000</v>
      </c>
    </row>
    <row r="47">
      <c r="A47" s="38" t="inlineStr">
        <is>
          <t>吉岡 和泉様邸</t>
        </is>
      </c>
      <c r="B47" s="0" t="n">
        <v>1</v>
      </c>
      <c r="C47" s="0" t="n">
        <v>795000</v>
      </c>
    </row>
    <row r="48">
      <c r="A48" s="38" t="inlineStr">
        <is>
          <t>吉成　大沼邸便器交換</t>
        </is>
      </c>
      <c r="B48" s="0" t="n">
        <v>1</v>
      </c>
      <c r="C48" s="0" t="n">
        <v>83250</v>
      </c>
    </row>
    <row r="49">
      <c r="A49" s="38" t="inlineStr">
        <is>
          <t>桂　斎藤邸</t>
        </is>
      </c>
      <c r="B49" s="0" t="n">
        <v>1</v>
      </c>
      <c r="C49" s="0" t="n">
        <v>27640</v>
      </c>
    </row>
    <row r="50">
      <c r="A50" s="38" t="inlineStr">
        <is>
          <t>桂　濱谷邸</t>
        </is>
      </c>
      <c r="B50" s="0" t="n">
        <v>1</v>
      </c>
      <c r="C50" s="0" t="n">
        <v>1440000</v>
      </c>
    </row>
    <row r="51">
      <c r="A51" s="38" t="inlineStr">
        <is>
          <t>荒井　笠松邸</t>
        </is>
      </c>
      <c r="B51" s="0" t="n">
        <v>1</v>
      </c>
      <c r="C51" s="0" t="n">
        <v>94000</v>
      </c>
    </row>
    <row r="52">
      <c r="A52" s="38" t="inlineStr">
        <is>
          <t>荒巻中央パークマンション306</t>
        </is>
      </c>
      <c r="B52" s="0" t="n">
        <v>1</v>
      </c>
      <c r="C52" s="0" t="n">
        <v>338000</v>
      </c>
    </row>
    <row r="53">
      <c r="A53" s="38" t="inlineStr">
        <is>
          <t>高森 庄子邸</t>
        </is>
      </c>
      <c r="B53" s="0" t="n">
        <v>1</v>
      </c>
      <c r="C53" s="0" t="n">
        <v>614000</v>
      </c>
    </row>
    <row r="54">
      <c r="A54" s="38" t="inlineStr">
        <is>
          <t>国見　茂木邸</t>
        </is>
      </c>
      <c r="B54" s="0" t="n">
        <v>1</v>
      </c>
      <c r="C54" s="0" t="n">
        <v>65710</v>
      </c>
    </row>
    <row r="55">
      <c r="A55" s="38" t="inlineStr">
        <is>
          <t>桜ヶ丘　武田様</t>
        </is>
      </c>
      <c r="B55" s="0" t="n">
        <v>1</v>
      </c>
      <c r="C55" s="0" t="n">
        <v>107670</v>
      </c>
    </row>
    <row r="56">
      <c r="A56" s="38" t="inlineStr">
        <is>
          <t>山田自由が丘　小川邸</t>
        </is>
      </c>
      <c r="B56" s="0" t="n">
        <v>1</v>
      </c>
      <c r="C56" s="0" t="n">
        <v>1237700</v>
      </c>
    </row>
    <row r="57">
      <c r="A57" s="38" t="inlineStr">
        <is>
          <t>山本　田所邸</t>
        </is>
      </c>
      <c r="B57" s="0" t="n">
        <v>1</v>
      </c>
      <c r="C57" s="0" t="n">
        <v>26064</v>
      </c>
    </row>
    <row r="58">
      <c r="A58" s="38" t="inlineStr">
        <is>
          <t>支倉パークホームズ1002</t>
        </is>
      </c>
      <c r="B58" s="0" t="n">
        <v>1</v>
      </c>
      <c r="C58" s="0" t="n">
        <v>310618</v>
      </c>
    </row>
    <row r="59">
      <c r="A59" s="38" t="inlineStr">
        <is>
          <t>紫山　中野邸</t>
        </is>
      </c>
      <c r="B59" s="0" t="n">
        <v>1</v>
      </c>
      <c r="C59" s="0" t="n">
        <v>432090</v>
      </c>
    </row>
    <row r="60">
      <c r="A60" s="38" t="inlineStr">
        <is>
          <t>寺岡　佐藤邸</t>
        </is>
      </c>
      <c r="B60" s="0" t="n">
        <v>1</v>
      </c>
      <c r="C60" s="0" t="n">
        <v>1320000</v>
      </c>
    </row>
    <row r="61">
      <c r="A61" s="38" t="inlineStr">
        <is>
          <t>寺岡　成田邸</t>
        </is>
      </c>
      <c r="B61" s="0" t="n">
        <v>1</v>
      </c>
      <c r="C61" s="0" t="n">
        <v>172000</v>
      </c>
    </row>
    <row r="62">
      <c r="A62" s="38" t="inlineStr">
        <is>
          <t>柴田 高橋様邸</t>
        </is>
      </c>
      <c r="B62" s="0" t="n">
        <v>1</v>
      </c>
      <c r="C62" s="0" t="n">
        <v>403500</v>
      </c>
    </row>
    <row r="63">
      <c r="A63" s="38" t="inlineStr">
        <is>
          <t>柴田　青野邸</t>
        </is>
      </c>
      <c r="B63" s="0" t="n">
        <v>1</v>
      </c>
      <c r="C63" s="0" t="n">
        <v>60000</v>
      </c>
    </row>
    <row r="64">
      <c r="A64" s="38" t="inlineStr">
        <is>
          <t>小松島 レックスハイツ東照宮201</t>
        </is>
      </c>
      <c r="B64" s="0" t="n">
        <v>1</v>
      </c>
    </row>
    <row r="65">
      <c r="A65" s="38" t="inlineStr">
        <is>
          <t>小田原ライオンズ　103永田様</t>
        </is>
      </c>
      <c r="B65" s="0" t="n">
        <v>1</v>
      </c>
      <c r="C65" s="0" t="n">
        <v>273100</v>
      </c>
    </row>
    <row r="66">
      <c r="A66" s="38" t="inlineStr">
        <is>
          <t>松陵　石黒邸</t>
        </is>
      </c>
      <c r="B66" s="0" t="n">
        <v>1</v>
      </c>
      <c r="C66" s="0" t="n">
        <v>342625</v>
      </c>
    </row>
    <row r="67">
      <c r="A67" s="38" t="inlineStr">
        <is>
          <t>上杉　坂入邸</t>
        </is>
      </c>
      <c r="B67" s="0" t="n">
        <v>1</v>
      </c>
      <c r="C67" s="0" t="n">
        <v>64902</v>
      </c>
    </row>
    <row r="68">
      <c r="A68" s="38" t="inlineStr">
        <is>
          <t>上杉マンション　三浦邸</t>
        </is>
      </c>
      <c r="B68" s="0" t="n">
        <v>1</v>
      </c>
      <c r="C68" s="0" t="n">
        <v>79570</v>
      </c>
    </row>
    <row r="69">
      <c r="A69" s="38" t="inlineStr">
        <is>
          <t>水の森　安田邸</t>
        </is>
      </c>
      <c r="B69" s="0" t="n">
        <v>1</v>
      </c>
      <c r="C69" s="0" t="n">
        <v>234000</v>
      </c>
    </row>
    <row r="70">
      <c r="A70" s="38" t="inlineStr">
        <is>
          <t>西中田　井上邸　グランコート南仙台第一605</t>
        </is>
      </c>
      <c r="B70" s="0" t="n">
        <v>1</v>
      </c>
      <c r="C70" s="0" t="n">
        <v>494100</v>
      </c>
    </row>
    <row r="71">
      <c r="A71" s="38" t="inlineStr">
        <is>
          <t>西中田　荒木邸</t>
        </is>
      </c>
      <c r="B71" s="0" t="n">
        <v>1</v>
      </c>
      <c r="C71" s="0" t="n">
        <v>359000</v>
      </c>
    </row>
    <row r="72">
      <c r="A72" s="38" t="inlineStr">
        <is>
          <t>西中田　斎藤邸</t>
        </is>
      </c>
      <c r="B72" s="0" t="n">
        <v>1</v>
      </c>
      <c r="C72" s="0" t="n">
        <v>212330</v>
      </c>
    </row>
    <row r="73">
      <c r="A73" s="38" t="inlineStr">
        <is>
          <t>石巻　佐藤邸</t>
        </is>
      </c>
      <c r="B73" s="0" t="n">
        <v>1</v>
      </c>
      <c r="C73" s="0" t="n">
        <v>102000</v>
      </c>
    </row>
    <row r="74">
      <c r="A74" s="38" t="inlineStr">
        <is>
          <t>石巻　柏山邸</t>
        </is>
      </c>
      <c r="B74" s="0" t="n">
        <v>1</v>
      </c>
      <c r="C74" s="0" t="n">
        <v>143000</v>
      </c>
    </row>
    <row r="75">
      <c r="A75" s="38" t="inlineStr">
        <is>
          <t>千坂邸</t>
        </is>
      </c>
      <c r="B75" s="0" t="n">
        <v>1</v>
      </c>
      <c r="C75" s="0" t="n">
        <v>44400</v>
      </c>
    </row>
    <row r="76">
      <c r="A76" s="38" t="inlineStr">
        <is>
          <t>千坂邸　２期工事</t>
        </is>
      </c>
      <c r="B76" s="0" t="n">
        <v>1</v>
      </c>
      <c r="C76" s="0" t="n">
        <v>556900</v>
      </c>
    </row>
    <row r="77">
      <c r="A77" s="38" t="inlineStr">
        <is>
          <t>袋原　小泉邸</t>
        </is>
      </c>
      <c r="B77" s="0" t="n">
        <v>1</v>
      </c>
      <c r="C77" s="0" t="n">
        <v>532378</v>
      </c>
    </row>
    <row r="78">
      <c r="A78" s="38" t="inlineStr">
        <is>
          <t>台原 松橋邸</t>
        </is>
      </c>
      <c r="B78" s="0" t="n">
        <v>1</v>
      </c>
      <c r="C78" s="0" t="n">
        <v>30236</v>
      </c>
    </row>
    <row r="79">
      <c r="A79" s="38" t="inlineStr">
        <is>
          <t>大和町　福田邸</t>
        </is>
      </c>
      <c r="B79" s="0" t="n">
        <v>1</v>
      </c>
      <c r="C79" s="0" t="n">
        <v>451050</v>
      </c>
    </row>
    <row r="80">
      <c r="A80" s="38" t="inlineStr">
        <is>
          <t>長命ヶ丘　室橋邸</t>
        </is>
      </c>
      <c r="B80" s="0" t="n">
        <v>1</v>
      </c>
      <c r="C80" s="0" t="n">
        <v>75000</v>
      </c>
    </row>
    <row r="81">
      <c r="A81" s="38" t="inlineStr">
        <is>
          <t>鶴ケ谷 菊池邸</t>
        </is>
      </c>
      <c r="B81" s="0" t="n">
        <v>1</v>
      </c>
      <c r="C81" s="0" t="n">
        <v>176570</v>
      </c>
    </row>
    <row r="82">
      <c r="A82" s="38" t="inlineStr">
        <is>
          <t>鶴ケ谷 高橋邸</t>
        </is>
      </c>
      <c r="B82" s="0" t="n">
        <v>1</v>
      </c>
      <c r="C82" s="0" t="n">
        <v>490000</v>
      </c>
    </row>
    <row r="83">
      <c r="A83" s="38" t="inlineStr">
        <is>
          <t>那智が丘　鈴木邸</t>
        </is>
      </c>
      <c r="B83" s="0" t="n">
        <v>1</v>
      </c>
      <c r="C83" s="0" t="n">
        <v>170000</v>
      </c>
    </row>
    <row r="84">
      <c r="A84" s="38" t="inlineStr">
        <is>
          <t>南光台　櫻井邸</t>
        </is>
      </c>
      <c r="B84" s="0" t="n">
        <v>1</v>
      </c>
      <c r="C84" s="0" t="n">
        <v>551000</v>
      </c>
    </row>
    <row r="85">
      <c r="A85" s="38" t="inlineStr">
        <is>
          <t>八ファミール中島丁306　佐藤邸</t>
        </is>
      </c>
      <c r="B85" s="0" t="n">
        <v>1</v>
      </c>
      <c r="C85" s="0" t="n">
        <v>336100</v>
      </c>
    </row>
    <row r="86">
      <c r="A86" s="38" t="inlineStr">
        <is>
          <t>八乙女　本郷邸</t>
        </is>
      </c>
      <c r="B86" s="0" t="n">
        <v>1</v>
      </c>
      <c r="C86" s="0" t="n">
        <v>1010000</v>
      </c>
    </row>
    <row r="87">
      <c r="A87" s="38" t="inlineStr">
        <is>
          <t>八木山　小野邸</t>
        </is>
      </c>
      <c r="B87" s="0" t="n">
        <v>1</v>
      </c>
      <c r="C87" s="0" t="n">
        <v>195600</v>
      </c>
    </row>
    <row r="88">
      <c r="A88" s="38" t="inlineStr">
        <is>
          <t>美里町　大石様</t>
        </is>
      </c>
      <c r="B88" s="0" t="n">
        <v>1</v>
      </c>
      <c r="C88" s="0" t="n">
        <v>557375</v>
      </c>
    </row>
    <row r="89">
      <c r="A89" s="38" t="inlineStr">
        <is>
          <t>美里町　藤村邸</t>
        </is>
      </c>
      <c r="B89" s="0" t="n">
        <v>1</v>
      </c>
      <c r="C89" s="0" t="n">
        <v>533000</v>
      </c>
    </row>
    <row r="90">
      <c r="A90" s="38" t="inlineStr">
        <is>
          <t>福室　及川邸</t>
        </is>
      </c>
      <c r="B90" s="0" t="n">
        <v>1</v>
      </c>
      <c r="C90" s="0" t="n">
        <v>462600</v>
      </c>
    </row>
    <row r="91">
      <c r="A91" s="38" t="inlineStr">
        <is>
          <t>名取　近江邸</t>
        </is>
      </c>
      <c r="B91" s="0" t="n">
        <v>1</v>
      </c>
      <c r="C91" s="0" t="n">
        <v>38010</v>
      </c>
    </row>
    <row r="92">
      <c r="A92" s="38" t="inlineStr">
        <is>
          <t>利府　大竹邸</t>
        </is>
      </c>
      <c r="B92" s="0" t="n">
        <v>2</v>
      </c>
      <c r="C92" s="0" t="n">
        <v>1028132</v>
      </c>
    </row>
    <row r="93">
      <c r="A93" s="38" t="inlineStr">
        <is>
          <t>利府　田崎邸</t>
        </is>
      </c>
      <c r="B93" s="0" t="n">
        <v>1</v>
      </c>
      <c r="C93" s="0" t="n">
        <v>288809</v>
      </c>
    </row>
    <row r="94">
      <c r="A94" s="38" t="inlineStr">
        <is>
          <t>利府花園　熊谷邸</t>
        </is>
      </c>
      <c r="B94" s="0" t="n">
        <v>1</v>
      </c>
      <c r="C94" s="0" t="n">
        <v>1434550</v>
      </c>
    </row>
    <row r="95">
      <c r="A95" s="38" t="inlineStr">
        <is>
          <t>利府青山　鈴木邸</t>
        </is>
      </c>
      <c r="B95" s="0" t="n">
        <v>1</v>
      </c>
      <c r="C95" s="0" t="n">
        <v>380500</v>
      </c>
    </row>
    <row r="96">
      <c r="A96" s="38" t="inlineStr">
        <is>
          <t>連坊　パークハウスリシェルテ804</t>
        </is>
      </c>
      <c r="B96" s="0" t="n">
        <v>1</v>
      </c>
      <c r="C96" s="0" t="n">
        <v>104340</v>
      </c>
    </row>
    <row r="97">
      <c r="A97" s="38" t="inlineStr">
        <is>
          <t>六丁の目　小野邸　新築マンション</t>
        </is>
      </c>
      <c r="B97" s="0" t="n">
        <v>1</v>
      </c>
      <c r="C97" s="0" t="n">
        <v>155400</v>
      </c>
    </row>
    <row r="98">
      <c r="A98" s="38" t="inlineStr">
        <is>
          <t>亘理　オーニング電源</t>
        </is>
      </c>
      <c r="B98" s="0" t="n">
        <v>1</v>
      </c>
      <c r="C98" s="0" t="n">
        <v>60000</v>
      </c>
    </row>
    <row r="99">
      <c r="A99" s="38" t="inlineStr">
        <is>
          <t>亘理 鈴木邸</t>
        </is>
      </c>
      <c r="B99" s="0" t="n">
        <v>1</v>
      </c>
      <c r="C99" s="0" t="n">
        <v>317000</v>
      </c>
    </row>
    <row r="100">
      <c r="A100" s="38" t="inlineStr">
        <is>
          <t>総計</t>
        </is>
      </c>
      <c r="B100" s="0" t="n">
        <v>99</v>
      </c>
      <c r="C100" s="0" t="n">
        <v>41192154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:BH1107"/>
  <sheetViews>
    <sheetView tabSelected="1" zoomScaleNormal="100" workbookViewId="0">
      <pane xSplit="9" ySplit="3" topLeftCell="AA711" activePane="bottomRight" state="frozen"/>
      <selection pane="topRight" activeCell="I1" sqref="I1"/>
      <selection pane="bottomLeft" activeCell="A4" sqref="A4"/>
      <selection pane="bottomRight" activeCell="AB723" sqref="AB723"/>
    </sheetView>
  </sheetViews>
  <sheetFormatPr baseColWidth="8" defaultRowHeight="13.5"/>
  <cols>
    <col width="6.375" customWidth="1" style="49" min="1" max="1"/>
    <col width="26.75" customWidth="1" style="1" min="2" max="2"/>
    <col width="12.875" customWidth="1" style="1" min="3" max="3"/>
    <col width="26.625" customWidth="1" style="1" min="4" max="4"/>
    <col width="9.5" bestFit="1" customWidth="1" style="2" min="5" max="5"/>
    <col width="12.75" customWidth="1" style="62" min="6" max="6"/>
    <col width="12.875" bestFit="1" customWidth="1" style="62" min="7" max="7"/>
    <col width="7.75" bestFit="1" customWidth="1" style="4" min="8" max="8"/>
    <col width="15.625" bestFit="1" customWidth="1" style="62" min="9" max="9"/>
    <col width="9.875" customWidth="1" style="49" min="10" max="25"/>
    <col width="9.875" customWidth="1" style="28" min="26" max="26"/>
    <col width="9.875" customWidth="1" style="49" min="27" max="57"/>
    <col hidden="1" width="9.875" customWidth="1" style="49" min="58" max="59"/>
    <col width="9.875" customWidth="1" style="49" min="60" max="62"/>
  </cols>
  <sheetData>
    <row r="2">
      <c r="Q2" s="0" t="inlineStr">
        <is>
          <t>塗装・リフォーム工事支払い一覧</t>
        </is>
      </c>
    </row>
    <row r="3" customFormat="1" s="2">
      <c r="A3" s="2" t="inlineStr">
        <is>
          <t>支払月</t>
        </is>
      </c>
      <c r="B3" s="20" t="inlineStr">
        <is>
          <t>現場名</t>
        </is>
      </c>
      <c r="C3" s="23" t="inlineStr">
        <is>
          <t>元請け</t>
        </is>
      </c>
      <c r="D3" s="23" t="inlineStr">
        <is>
          <t>施工内容</t>
        </is>
      </c>
      <c r="E3" s="9" t="inlineStr">
        <is>
          <t>施工日</t>
        </is>
      </c>
      <c r="F3" s="63" t="inlineStr">
        <is>
          <t>受注金額 税抜</t>
        </is>
      </c>
      <c r="G3" s="63" t="inlineStr">
        <is>
          <t>利益</t>
        </is>
      </c>
      <c r="H3" s="5" t="inlineStr">
        <is>
          <t>利率</t>
        </is>
      </c>
      <c r="I3" s="63" t="inlineStr">
        <is>
          <t>支払計 税抜2</t>
        </is>
      </c>
      <c r="J3" s="1" t="inlineStr">
        <is>
          <t>五大</t>
        </is>
      </c>
      <c r="K3" s="1" t="inlineStr">
        <is>
          <t>アシバックス</t>
        </is>
      </c>
      <c r="L3" s="1" t="inlineStr">
        <is>
          <t>稲村仮設</t>
        </is>
      </c>
      <c r="M3" s="1" t="inlineStr">
        <is>
          <t>スタック</t>
        </is>
      </c>
      <c r="N3" s="1" t="inlineStr">
        <is>
          <t>MS塗装</t>
        </is>
      </c>
      <c r="O3" s="1" t="inlineStr">
        <is>
          <t>安井</t>
        </is>
      </c>
      <c r="P3" s="1" t="inlineStr">
        <is>
          <t>大宮</t>
        </is>
      </c>
      <c r="Q3" s="1" t="inlineStr">
        <is>
          <t>鎌田</t>
        </is>
      </c>
      <c r="R3" s="1" t="inlineStr">
        <is>
          <t>KSシール</t>
        </is>
      </c>
      <c r="S3" s="1" t="inlineStr">
        <is>
          <t>光輝美装</t>
        </is>
      </c>
      <c r="T3" s="1" t="inlineStr">
        <is>
          <t>ｸﾘｰﾝｱｯﾌﾟ</t>
        </is>
      </c>
      <c r="U3" s="1" t="inlineStr">
        <is>
          <t>ケミカル</t>
        </is>
      </c>
      <c r="V3" s="1" t="inlineStr">
        <is>
          <t>ビルクラ</t>
        </is>
      </c>
      <c r="W3" s="1" t="inlineStr">
        <is>
          <t>伊藤建装</t>
        </is>
      </c>
      <c r="X3" s="29" t="inlineStr">
        <is>
          <t>部材購入費</t>
        </is>
      </c>
      <c r="Y3" s="1" t="inlineStr">
        <is>
          <t>前野木工</t>
        </is>
      </c>
      <c r="Z3" s="1" t="inlineStr">
        <is>
          <t>加藤テクニカ</t>
        </is>
      </c>
      <c r="AA3" s="1" t="inlineStr">
        <is>
          <t>はやでん</t>
        </is>
      </c>
      <c r="AB3" s="1" t="inlineStr">
        <is>
          <t>霞興業</t>
        </is>
      </c>
      <c r="AC3" s="1" t="inlineStr">
        <is>
          <t>ヒラヤマ設備</t>
        </is>
      </c>
      <c r="AD3" s="1" t="inlineStr">
        <is>
          <t>一期設備</t>
        </is>
      </c>
      <c r="AE3" s="1" t="inlineStr">
        <is>
          <t>千葉住建</t>
        </is>
      </c>
      <c r="AF3" s="1" t="inlineStr">
        <is>
          <t>lifeairworks</t>
        </is>
      </c>
      <c r="AG3" s="1" t="inlineStr">
        <is>
          <t>杜風</t>
        </is>
      </c>
      <c r="AH3" s="1" t="inlineStr">
        <is>
          <t>BLUE</t>
        </is>
      </c>
      <c r="AI3" s="1" t="inlineStr">
        <is>
          <t>HC塩釜</t>
        </is>
      </c>
      <c r="AJ3" s="1" t="inlineStr">
        <is>
          <t>MCB</t>
        </is>
      </c>
      <c r="AK3" s="1" t="inlineStr">
        <is>
          <t>戸引製畳</t>
        </is>
      </c>
      <c r="AL3" s="1" t="inlineStr">
        <is>
          <t>創イングK</t>
        </is>
      </c>
      <c r="AM3" s="1" t="inlineStr">
        <is>
          <t>ニュークリーン</t>
        </is>
      </c>
      <c r="AN3" s="1" t="inlineStr">
        <is>
          <t>アドバンス</t>
        </is>
      </c>
      <c r="AO3" s="1" t="inlineStr">
        <is>
          <t>小泉</t>
        </is>
      </c>
      <c r="AP3" s="1" t="inlineStr">
        <is>
          <t>サステム</t>
        </is>
      </c>
      <c r="AQ3" s="1" t="inlineStr">
        <is>
          <t>ヤマリョー</t>
        </is>
      </c>
      <c r="AR3" s="1" t="inlineStr">
        <is>
          <t>タゼン</t>
        </is>
      </c>
      <c r="AS3" s="1" t="inlineStr">
        <is>
          <t>オーカム</t>
        </is>
      </c>
      <c r="AT3" s="1" t="inlineStr">
        <is>
          <t>ナスラック</t>
        </is>
      </c>
      <c r="AU3" s="1" t="inlineStr">
        <is>
          <t>ゲットクリ-ンコート</t>
        </is>
      </c>
      <c r="AV3" s="1" t="inlineStr">
        <is>
          <t>マジカル</t>
        </is>
      </c>
      <c r="AW3" s="1" t="inlineStr">
        <is>
          <t>ハルノデザイン</t>
        </is>
      </c>
      <c r="AX3" s="1" t="inlineStr">
        <is>
          <t>ワイエス</t>
        </is>
      </c>
      <c r="AY3" s="1" t="inlineStr">
        <is>
          <t>シンコール</t>
        </is>
      </c>
      <c r="AZ3" s="1" t="inlineStr">
        <is>
          <t>ゴミ　他</t>
        </is>
      </c>
      <c r="BA3" s="1" t="inlineStr">
        <is>
          <t>リビングガーデン</t>
        </is>
      </c>
      <c r="BB3" s="1" t="inlineStr">
        <is>
          <t>クラブネッツ</t>
        </is>
      </c>
      <c r="BC3" s="1" t="inlineStr">
        <is>
          <t>ナスラック2</t>
        </is>
      </c>
      <c r="BD3" s="1" t="inlineStr">
        <is>
          <t>ブレインスリープ</t>
        </is>
      </c>
      <c r="BE3" s="1" t="inlineStr">
        <is>
          <t>アライク</t>
        </is>
      </c>
      <c r="BF3" s="1" t="inlineStr">
        <is>
          <t>庭や　ただ</t>
        </is>
      </c>
      <c r="BG3" s="1" t="inlineStr">
        <is>
          <t>工場材</t>
        </is>
      </c>
      <c r="BH3" s="1" t="inlineStr">
        <is>
          <t>備考</t>
        </is>
      </c>
    </row>
    <row r="4">
      <c r="A4" s="0" t="inlineStr">
        <is>
          <t>H31.1</t>
        </is>
      </c>
      <c r="B4" s="21" t="inlineStr">
        <is>
          <t>ローズフラット</t>
        </is>
      </c>
      <c r="C4" s="22" t="n"/>
      <c r="D4" s="1" t="inlineStr">
        <is>
          <t>塗装</t>
        </is>
      </c>
      <c r="E4" s="2" t="inlineStr">
        <is>
          <t>12月</t>
        </is>
      </c>
      <c r="F4" s="62" t="n">
        <v>2360000</v>
      </c>
      <c r="G4" s="62">
        <f>IF(B4="","",F4-I4 )</f>
        <v/>
      </c>
      <c r="H4" s="4">
        <f>IF(G4="","",G4/F4)</f>
        <v/>
      </c>
      <c r="I4" s="62">
        <f>SUM(テーブル9[[#This Row],[五大]:[工場材]])</f>
        <v/>
      </c>
      <c r="J4" s="64" t="n">
        <v>388000</v>
      </c>
      <c r="K4" s="65" t="n"/>
      <c r="L4" s="65" t="n"/>
      <c r="M4" s="65" t="n"/>
      <c r="N4" s="65" t="n"/>
      <c r="O4" s="64" t="n">
        <v>500000</v>
      </c>
      <c r="P4" s="65" t="n"/>
      <c r="Q4" s="64" t="n">
        <v>400000</v>
      </c>
      <c r="R4" s="64" t="n">
        <v>25900</v>
      </c>
      <c r="S4" s="64" t="n">
        <v>35000</v>
      </c>
      <c r="T4" s="65" t="n"/>
      <c r="U4" s="64" t="n">
        <v>52400</v>
      </c>
      <c r="V4" s="64" t="n"/>
      <c r="W4" s="65" t="n"/>
      <c r="X4" s="66" t="n"/>
      <c r="Y4" s="65" t="n"/>
      <c r="Z4" s="65" t="n"/>
      <c r="AA4" s="65" t="n"/>
      <c r="AB4" s="65" t="n"/>
      <c r="AC4" s="65" t="n"/>
      <c r="AD4" s="65" t="n"/>
      <c r="AE4" s="65" t="n"/>
      <c r="AF4" s="65" t="n"/>
      <c r="AG4" s="65" t="n"/>
      <c r="AH4" s="65" t="n"/>
      <c r="AI4" s="65" t="n"/>
      <c r="AJ4" s="65" t="n"/>
      <c r="AK4" s="65" t="n"/>
      <c r="AL4" s="65" t="n"/>
      <c r="AM4" s="65" t="n"/>
      <c r="AN4" s="65" t="n"/>
      <c r="AO4" s="65" t="n"/>
      <c r="AP4" s="65" t="n"/>
      <c r="AQ4" s="65" t="n"/>
      <c r="AR4" s="65" t="n"/>
      <c r="AS4" s="65" t="n"/>
      <c r="AT4" s="65" t="n"/>
      <c r="AU4" s="65" t="n"/>
      <c r="AV4" s="65" t="n"/>
      <c r="AW4" s="65" t="n"/>
      <c r="AX4" s="65" t="n"/>
      <c r="AY4" s="65" t="n"/>
      <c r="AZ4" s="65" t="n"/>
      <c r="BA4" s="65" t="n"/>
      <c r="BB4" s="65" t="n"/>
      <c r="BC4" s="65" t="n"/>
      <c r="BD4" s="65" t="n"/>
      <c r="BE4" s="65" t="n"/>
      <c r="BF4" s="65" t="n"/>
      <c r="BG4" s="65" t="n"/>
      <c r="BH4" s="65" t="n"/>
    </row>
    <row r="5">
      <c r="B5" s="1" t="inlineStr">
        <is>
          <t>アイリスタウンC</t>
        </is>
      </c>
      <c r="D5" s="1" t="inlineStr">
        <is>
          <t>塗装</t>
        </is>
      </c>
      <c r="E5" s="2" t="inlineStr">
        <is>
          <t>12月</t>
        </is>
      </c>
      <c r="F5" s="62" t="n">
        <v>1250000</v>
      </c>
      <c r="G5" s="62">
        <f>IF(B5="","",F5-I5 )</f>
        <v/>
      </c>
      <c r="H5" s="4">
        <f>IF(G5="","",G5/F5)</f>
        <v/>
      </c>
      <c r="I5" s="62">
        <f>SUM(テーブル9[[#This Row],[五大]:[工場材]])</f>
        <v/>
      </c>
      <c r="J5" s="65" t="n"/>
      <c r="K5" s="64" t="n">
        <v>214500</v>
      </c>
      <c r="L5" s="64" t="n"/>
      <c r="M5" s="65" t="n"/>
      <c r="N5" s="65" t="n"/>
      <c r="O5" s="64" t="n">
        <v>600000</v>
      </c>
      <c r="P5" s="65" t="n"/>
      <c r="Q5" s="65" t="n"/>
      <c r="R5" s="65" t="n"/>
      <c r="S5" s="64" t="n">
        <v>35000</v>
      </c>
      <c r="T5" s="65" t="n"/>
      <c r="U5" s="64">
        <f>76500+29400+15300</f>
        <v/>
      </c>
      <c r="V5" s="64" t="n"/>
      <c r="W5" s="65" t="n"/>
      <c r="X5" s="66" t="n"/>
      <c r="Y5" s="65" t="n"/>
      <c r="Z5" s="65" t="n"/>
      <c r="AA5" s="65" t="n"/>
      <c r="AB5" s="65" t="n"/>
      <c r="AC5" s="65" t="n"/>
      <c r="AD5" s="65" t="n"/>
      <c r="AE5" s="65" t="n"/>
      <c r="AF5" s="65" t="n"/>
      <c r="AG5" s="65" t="n"/>
      <c r="AH5" s="65" t="n"/>
      <c r="AI5" s="65" t="n"/>
      <c r="AJ5" s="65" t="n"/>
      <c r="AK5" s="65" t="n"/>
      <c r="AL5" s="65" t="n"/>
      <c r="AM5" s="64" t="n">
        <v>15000</v>
      </c>
      <c r="AN5" s="64" t="n"/>
      <c r="AO5" s="65" t="n"/>
      <c r="AP5" s="65" t="n"/>
      <c r="AQ5" s="65" t="n"/>
      <c r="AR5" s="65" t="n"/>
      <c r="AS5" s="65" t="n"/>
      <c r="AT5" s="65" t="n"/>
      <c r="AU5" s="65" t="n"/>
      <c r="AV5" s="65" t="n"/>
      <c r="AW5" s="65" t="n"/>
      <c r="AX5" s="65" t="n"/>
      <c r="AY5" s="65" t="n"/>
      <c r="AZ5" s="65" t="n"/>
      <c r="BA5" s="65" t="n"/>
      <c r="BB5" s="65" t="n"/>
      <c r="BC5" s="65" t="n"/>
      <c r="BD5" s="65" t="n"/>
      <c r="BE5" s="65" t="n"/>
      <c r="BF5" s="65" t="n"/>
      <c r="BG5" s="64">
        <f>2500*3</f>
        <v/>
      </c>
      <c r="BH5" s="65" t="n"/>
    </row>
    <row r="6">
      <c r="B6" s="1" t="inlineStr">
        <is>
          <t>南光台鈴木邸</t>
        </is>
      </c>
      <c r="D6" s="1" t="inlineStr">
        <is>
          <t>外構塗装</t>
        </is>
      </c>
      <c r="E6" s="2" t="inlineStr">
        <is>
          <t>12月</t>
        </is>
      </c>
      <c r="F6" s="62" t="n">
        <v>326902</v>
      </c>
      <c r="G6" s="62">
        <f>IF(B6="","",F6-I6 )</f>
        <v/>
      </c>
      <c r="H6" s="4">
        <f>IF(G6="","",G6/F6)</f>
        <v/>
      </c>
      <c r="I6" s="62">
        <f>SUM(テーブル9[[#This Row],[五大]:[工場材]])</f>
        <v/>
      </c>
      <c r="J6" s="65" t="n"/>
      <c r="K6" s="65" t="n"/>
      <c r="L6" s="65" t="n"/>
      <c r="M6" s="65" t="n"/>
      <c r="N6" s="65" t="n"/>
      <c r="O6" s="64" t="n">
        <v>120000</v>
      </c>
      <c r="P6" s="65" t="n"/>
      <c r="Q6" s="65" t="n"/>
      <c r="R6" s="65" t="n"/>
      <c r="S6" s="65" t="n"/>
      <c r="T6" s="65" t="n"/>
      <c r="U6" s="65" t="n"/>
      <c r="V6" s="65" t="n"/>
      <c r="W6" s="65" t="n"/>
      <c r="X6" s="66" t="n"/>
      <c r="Y6" s="65" t="n"/>
      <c r="Z6" s="65" t="n"/>
      <c r="AA6" s="65" t="n"/>
      <c r="AB6" s="65" t="n"/>
      <c r="AC6" s="65" t="n"/>
      <c r="AD6" s="65" t="n"/>
      <c r="AE6" s="65" t="n"/>
      <c r="AF6" s="65" t="n"/>
      <c r="AG6" s="65" t="n"/>
      <c r="AH6" s="65" t="n"/>
      <c r="AI6" s="65" t="n"/>
      <c r="AJ6" s="65" t="n"/>
      <c r="AK6" s="65" t="n"/>
      <c r="AL6" s="65" t="n"/>
      <c r="AM6" s="65" t="n"/>
      <c r="AN6" s="65" t="n"/>
      <c r="AO6" s="65" t="n"/>
      <c r="AP6" s="65" t="n"/>
      <c r="AQ6" s="65" t="n"/>
      <c r="AR6" s="65" t="n"/>
      <c r="AS6" s="65" t="n"/>
      <c r="AT6" s="65" t="n"/>
      <c r="AU6" s="65" t="n"/>
      <c r="AV6" s="65" t="n"/>
      <c r="AW6" s="65" t="n"/>
      <c r="AX6" s="65" t="n"/>
      <c r="AY6" s="65" t="n"/>
      <c r="AZ6" s="65" t="n"/>
      <c r="BA6" s="65" t="n"/>
      <c r="BB6" s="65" t="n"/>
      <c r="BC6" s="65" t="n"/>
      <c r="BD6" s="65" t="n"/>
      <c r="BE6" s="65" t="n"/>
      <c r="BF6" s="65" t="n"/>
      <c r="BG6" s="64" t="n"/>
      <c r="BH6" s="65" t="n"/>
    </row>
    <row r="7">
      <c r="B7" s="1" t="inlineStr">
        <is>
          <t>南相馬 菅野邸</t>
        </is>
      </c>
      <c r="D7" s="1" t="inlineStr">
        <is>
          <t>塗装</t>
        </is>
      </c>
      <c r="E7" s="2" t="inlineStr">
        <is>
          <t>12月</t>
        </is>
      </c>
      <c r="F7" s="62" t="n">
        <v>2447000</v>
      </c>
      <c r="G7" s="62">
        <f>IF(B7="","",F7-I7 )</f>
        <v/>
      </c>
      <c r="H7" s="4">
        <f>IF(G7="","",G7/F7)</f>
        <v/>
      </c>
      <c r="I7" s="62">
        <f>SUM(テーブル9[[#This Row],[五大]:[工場材]])</f>
        <v/>
      </c>
      <c r="J7" s="64" t="n">
        <v>115000</v>
      </c>
      <c r="K7" s="65" t="n"/>
      <c r="L7" s="65" t="n"/>
      <c r="M7" s="65" t="n"/>
      <c r="N7" s="65" t="n"/>
      <c r="O7" s="64" t="n">
        <v>150000</v>
      </c>
      <c r="P7" s="65" t="n"/>
      <c r="Q7" s="65" t="n"/>
      <c r="R7" s="65" t="n"/>
      <c r="S7" s="65" t="n"/>
      <c r="T7" s="65" t="n"/>
      <c r="U7" s="65" t="n"/>
      <c r="V7" s="65" t="n"/>
      <c r="W7" s="64">
        <f>500000+125551</f>
        <v/>
      </c>
      <c r="X7" s="66" t="n"/>
      <c r="Y7" s="64" t="n"/>
      <c r="Z7" s="64" t="n"/>
      <c r="AA7" s="64" t="n">
        <v>80000</v>
      </c>
      <c r="AB7" s="65" t="n"/>
      <c r="AC7" s="65" t="n"/>
      <c r="AD7" s="65" t="n"/>
      <c r="AE7" s="65" t="n"/>
      <c r="AF7" s="65" t="n"/>
      <c r="AG7" s="65" t="n"/>
      <c r="AH7" s="65" t="n"/>
      <c r="AI7" s="65" t="n"/>
      <c r="AJ7" s="65" t="n"/>
      <c r="AK7" s="65" t="n"/>
      <c r="AL7" s="65" t="n"/>
      <c r="AM7" s="65" t="n"/>
      <c r="AN7" s="65" t="n"/>
      <c r="AO7" s="64">
        <f>893700+298705</f>
        <v/>
      </c>
      <c r="AP7" s="64" t="n"/>
      <c r="AQ7" s="64" t="n"/>
      <c r="AR7" s="64" t="n"/>
      <c r="AS7" s="64" t="n"/>
      <c r="AT7" s="64" t="n"/>
      <c r="AU7" s="64" t="n"/>
      <c r="AV7" s="64" t="n"/>
      <c r="AW7" s="64" t="n"/>
      <c r="AX7" s="64" t="n"/>
      <c r="AY7" s="64" t="n"/>
      <c r="AZ7" s="64" t="n"/>
      <c r="BA7" s="64" t="n"/>
      <c r="BB7" s="64" t="n"/>
      <c r="BC7" s="64" t="n"/>
      <c r="BD7" s="64" t="n"/>
      <c r="BE7" s="64" t="n"/>
      <c r="BF7" s="64" t="n"/>
      <c r="BG7" s="64" t="n"/>
      <c r="BH7" s="65" t="n"/>
    </row>
    <row r="8">
      <c r="B8" s="1" t="inlineStr">
        <is>
          <t>高橋貸家　樋交換</t>
        </is>
      </c>
      <c r="D8" s="1" t="inlineStr">
        <is>
          <t>樋交換</t>
        </is>
      </c>
      <c r="E8" s="2" t="inlineStr">
        <is>
          <t>12月</t>
        </is>
      </c>
      <c r="F8" s="62" t="n">
        <v>76000</v>
      </c>
      <c r="G8" s="62">
        <f>IF(B8="","",F8-I8 )</f>
        <v/>
      </c>
      <c r="H8" s="4">
        <f>IF(G8="","",G8/F8)</f>
        <v/>
      </c>
      <c r="I8" s="62">
        <f>SUM(テーブル9[[#This Row],[五大]:[工場材]])</f>
        <v/>
      </c>
      <c r="J8" s="64" t="n">
        <v>35000</v>
      </c>
      <c r="K8" s="65" t="n"/>
      <c r="L8" s="65" t="n"/>
      <c r="M8" s="65" t="n"/>
      <c r="N8" s="65" t="n"/>
      <c r="O8" s="64" t="n">
        <v>8000</v>
      </c>
      <c r="P8" s="65" t="n"/>
      <c r="Q8" s="65" t="n"/>
      <c r="R8" s="65" t="n"/>
      <c r="S8" s="65" t="n"/>
      <c r="T8" s="65" t="n"/>
      <c r="U8" s="65" t="n"/>
      <c r="V8" s="65" t="n"/>
      <c r="W8" s="64" t="n">
        <v>20000</v>
      </c>
      <c r="X8" s="66" t="n"/>
      <c r="Y8" s="64" t="n"/>
      <c r="Z8" s="64" t="n"/>
      <c r="AA8" s="65" t="n"/>
      <c r="AB8" s="65" t="n"/>
      <c r="AC8" s="65" t="n"/>
      <c r="AD8" s="65" t="n"/>
      <c r="AE8" s="65" t="n"/>
      <c r="AF8" s="65" t="n"/>
      <c r="AG8" s="65" t="n"/>
      <c r="AH8" s="65" t="n"/>
      <c r="AI8" s="65" t="n"/>
      <c r="AJ8" s="65" t="n"/>
      <c r="AK8" s="65" t="n"/>
      <c r="AL8" s="65" t="n"/>
      <c r="AM8" s="65" t="n"/>
      <c r="AN8" s="65" t="n"/>
      <c r="AO8" s="65" t="n"/>
      <c r="AP8" s="65" t="n"/>
      <c r="AQ8" s="65" t="n"/>
      <c r="AR8" s="65" t="n"/>
      <c r="AS8" s="65" t="n"/>
      <c r="AT8" s="65" t="n"/>
      <c r="AU8" s="65" t="n"/>
      <c r="AV8" s="65" t="n"/>
      <c r="AW8" s="65" t="n"/>
      <c r="AX8" s="65" t="n"/>
      <c r="AY8" s="65" t="n"/>
      <c r="AZ8" s="65" t="n"/>
      <c r="BA8" s="65" t="n"/>
      <c r="BB8" s="65" t="n"/>
      <c r="BC8" s="65" t="n"/>
      <c r="BD8" s="65" t="n"/>
      <c r="BE8" s="65" t="n"/>
      <c r="BF8" s="65" t="n"/>
      <c r="BG8" s="64" t="n">
        <v>3000</v>
      </c>
      <c r="BH8" s="65" t="n"/>
    </row>
    <row r="9">
      <c r="B9" s="1" t="inlineStr">
        <is>
          <t>シャーメゾン下原Ⅰ202</t>
        </is>
      </c>
      <c r="D9" s="1" t="inlineStr">
        <is>
          <t>カウンター塗装敷居*2</t>
        </is>
      </c>
      <c r="E9" s="10" t="n">
        <v>43804</v>
      </c>
      <c r="G9" s="62">
        <f>IF(B9="","",F9-I9 )</f>
        <v/>
      </c>
      <c r="H9" s="4">
        <f>IF(OR(G9="",F9=0),"",G9/F9)</f>
        <v/>
      </c>
      <c r="I9" s="62">
        <f>SUM(テーブル9[[#This Row],[五大]:[工場材]])</f>
        <v/>
      </c>
      <c r="J9" s="64" t="n"/>
      <c r="K9" s="65" t="n"/>
      <c r="L9" s="65" t="n"/>
      <c r="M9" s="65" t="n"/>
      <c r="N9" s="65" t="n"/>
      <c r="O9" s="64" t="n">
        <v>10000</v>
      </c>
      <c r="P9" s="65" t="n"/>
      <c r="Q9" s="65" t="n"/>
      <c r="R9" s="65" t="n"/>
      <c r="S9" s="65" t="n"/>
      <c r="T9" s="65" t="n"/>
      <c r="U9" s="65" t="n"/>
      <c r="V9" s="65" t="n"/>
      <c r="W9" s="65" t="n"/>
      <c r="X9" s="66" t="n"/>
      <c r="Y9" s="65" t="n"/>
      <c r="Z9" s="65" t="n"/>
      <c r="AA9" s="65" t="n"/>
      <c r="AB9" s="65" t="n"/>
      <c r="AC9" s="65" t="n"/>
      <c r="AD9" s="65" t="n"/>
      <c r="AE9" s="65" t="n"/>
      <c r="AF9" s="65" t="n"/>
      <c r="AG9" s="65" t="n"/>
      <c r="AH9" s="65" t="n"/>
      <c r="AI9" s="65" t="n"/>
      <c r="AJ9" s="65" t="n"/>
      <c r="AK9" s="65" t="n"/>
      <c r="AL9" s="65" t="n"/>
      <c r="AM9" s="65" t="n"/>
      <c r="AN9" s="65" t="n"/>
      <c r="AO9" s="65" t="n"/>
      <c r="AP9" s="65" t="n"/>
      <c r="AQ9" s="65" t="n"/>
      <c r="AR9" s="65" t="n"/>
      <c r="AS9" s="65" t="n"/>
      <c r="AT9" s="65" t="n"/>
      <c r="AU9" s="65" t="n"/>
      <c r="AV9" s="65" t="n"/>
      <c r="AW9" s="65" t="n"/>
      <c r="AX9" s="65" t="n"/>
      <c r="AY9" s="65" t="n"/>
      <c r="AZ9" s="65" t="n"/>
      <c r="BA9" s="65" t="n"/>
      <c r="BB9" s="65" t="n"/>
      <c r="BC9" s="65" t="n"/>
      <c r="BD9" s="65" t="n"/>
      <c r="BE9" s="65" t="n"/>
      <c r="BF9" s="65" t="n"/>
      <c r="BG9" s="64" t="n"/>
      <c r="BH9" s="65" t="n"/>
    </row>
    <row r="10">
      <c r="B10" s="1" t="inlineStr">
        <is>
          <t>ステラⅡ　110</t>
        </is>
      </c>
      <c r="D10" s="1" t="inlineStr">
        <is>
          <t>窓枠四方</t>
        </is>
      </c>
      <c r="E10" s="10" t="n">
        <v>43816</v>
      </c>
      <c r="G10" s="62">
        <f>IF(B10="","",F10-I10 )</f>
        <v/>
      </c>
      <c r="H10" s="4">
        <f>IF(OR(G10="",F10=0),"",G10/F10)</f>
        <v/>
      </c>
      <c r="I10" s="62">
        <f>SUM(テーブル9[[#This Row],[五大]:[工場材]])</f>
        <v/>
      </c>
      <c r="J10" s="64" t="n"/>
      <c r="K10" s="65" t="n"/>
      <c r="L10" s="65" t="n"/>
      <c r="M10" s="65" t="n"/>
      <c r="N10" s="65" t="n"/>
      <c r="O10" s="64" t="n">
        <v>17000</v>
      </c>
      <c r="P10" s="65" t="n"/>
      <c r="Q10" s="65" t="n"/>
      <c r="R10" s="65" t="n"/>
      <c r="S10" s="65" t="n"/>
      <c r="T10" s="65" t="n"/>
      <c r="U10" s="65" t="n"/>
      <c r="V10" s="65" t="n"/>
      <c r="W10" s="65" t="n"/>
      <c r="X10" s="66" t="n"/>
      <c r="Y10" s="65" t="n"/>
      <c r="Z10" s="65" t="n"/>
      <c r="AA10" s="65" t="n"/>
      <c r="AB10" s="65" t="n"/>
      <c r="AC10" s="65" t="n"/>
      <c r="AD10" s="65" t="n"/>
      <c r="AE10" s="65" t="n"/>
      <c r="AF10" s="65" t="n"/>
      <c r="AG10" s="65" t="n"/>
      <c r="AH10" s="65" t="n"/>
      <c r="AI10" s="65" t="n"/>
      <c r="AJ10" s="65" t="n"/>
      <c r="AK10" s="65" t="n"/>
      <c r="AL10" s="65" t="n"/>
      <c r="AM10" s="65" t="n"/>
      <c r="AN10" s="65" t="n"/>
      <c r="AO10" s="65" t="n"/>
      <c r="AP10" s="65" t="n"/>
      <c r="AQ10" s="65" t="n"/>
      <c r="AR10" s="65" t="n"/>
      <c r="AS10" s="65" t="n"/>
      <c r="AT10" s="65" t="n"/>
      <c r="AU10" s="65" t="n"/>
      <c r="AV10" s="65" t="n"/>
      <c r="AW10" s="65" t="n"/>
      <c r="AX10" s="65" t="n"/>
      <c r="AY10" s="65" t="n"/>
      <c r="AZ10" s="65" t="n"/>
      <c r="BA10" s="65" t="n"/>
      <c r="BB10" s="65" t="n"/>
      <c r="BC10" s="65" t="n"/>
      <c r="BD10" s="65" t="n"/>
      <c r="BE10" s="65" t="n"/>
      <c r="BF10" s="65" t="n"/>
      <c r="BG10" s="64" t="n"/>
      <c r="BH10" s="65" t="n"/>
    </row>
    <row r="11">
      <c r="B11" s="1" t="inlineStr">
        <is>
          <t>シャンボール吉岡A105</t>
        </is>
      </c>
      <c r="D11" s="1" t="inlineStr">
        <is>
          <t>敷居・引戸枠 洗面底板</t>
        </is>
      </c>
      <c r="E11" s="10" t="n">
        <v>43816</v>
      </c>
      <c r="G11" s="62">
        <f>IF(B11="","",F11-I11 )</f>
        <v/>
      </c>
      <c r="H11" s="4">
        <f>IF(OR(G11="",F11=0),"",G11/F11)</f>
        <v/>
      </c>
      <c r="I11" s="62">
        <f>SUM(テーブル9[[#This Row],[五大]:[工場材]])</f>
        <v/>
      </c>
      <c r="J11" s="64" t="n"/>
      <c r="K11" s="65" t="n"/>
      <c r="L11" s="65" t="n"/>
      <c r="M11" s="65" t="n"/>
      <c r="N11" s="65" t="n"/>
      <c r="O11" s="64" t="n">
        <v>10000</v>
      </c>
      <c r="P11" s="65" t="n"/>
      <c r="Q11" s="65" t="n"/>
      <c r="R11" s="65" t="n"/>
      <c r="S11" s="65" t="n"/>
      <c r="T11" s="65" t="n"/>
      <c r="U11" s="65" t="n"/>
      <c r="V11" s="65" t="n"/>
      <c r="W11" s="65" t="n"/>
      <c r="X11" s="66" t="n"/>
      <c r="Y11" s="65" t="n"/>
      <c r="Z11" s="65" t="n"/>
      <c r="AA11" s="65" t="n"/>
      <c r="AB11" s="65" t="n"/>
      <c r="AC11" s="65" t="n"/>
      <c r="AD11" s="65" t="n"/>
      <c r="AE11" s="65" t="n"/>
      <c r="AF11" s="65" t="n"/>
      <c r="AG11" s="65" t="n"/>
      <c r="AH11" s="65" t="n"/>
      <c r="AI11" s="65" t="n"/>
      <c r="AJ11" s="65" t="n"/>
      <c r="AK11" s="65" t="n"/>
      <c r="AL11" s="65" t="n"/>
      <c r="AM11" s="65" t="n"/>
      <c r="AN11" s="65" t="n"/>
      <c r="AO11" s="65" t="n"/>
      <c r="AP11" s="65" t="n"/>
      <c r="AQ11" s="65" t="n"/>
      <c r="AR11" s="65" t="n"/>
      <c r="AS11" s="65" t="n"/>
      <c r="AT11" s="65" t="n"/>
      <c r="AU11" s="65" t="n"/>
      <c r="AV11" s="65" t="n"/>
      <c r="AW11" s="65" t="n"/>
      <c r="AX11" s="65" t="n"/>
      <c r="AY11" s="65" t="n"/>
      <c r="AZ11" s="65" t="n"/>
      <c r="BA11" s="65" t="n"/>
      <c r="BB11" s="65" t="n"/>
      <c r="BC11" s="65" t="n"/>
      <c r="BD11" s="65" t="n"/>
      <c r="BE11" s="65" t="n"/>
      <c r="BF11" s="65" t="n"/>
      <c r="BG11" s="64" t="n"/>
      <c r="BH11" s="65" t="n"/>
    </row>
    <row r="12">
      <c r="B12" s="1" t="inlineStr">
        <is>
          <t>ウエストフレグランスC102</t>
        </is>
      </c>
      <c r="D12" s="1" t="inlineStr">
        <is>
          <t>浴室天井</t>
        </is>
      </c>
      <c r="E12" s="10" t="n">
        <v>43820</v>
      </c>
      <c r="G12" s="62">
        <f>IF(B12="","",F12-I12 )</f>
        <v/>
      </c>
      <c r="H12" s="4">
        <f>IF(OR(G12="",F12=0),"",G12/F12)</f>
        <v/>
      </c>
      <c r="I12" s="62">
        <f>SUM(テーブル9[[#This Row],[五大]:[工場材]])</f>
        <v/>
      </c>
      <c r="J12" s="64" t="n"/>
      <c r="K12" s="65" t="n"/>
      <c r="L12" s="65" t="n"/>
      <c r="M12" s="65" t="n"/>
      <c r="N12" s="65" t="n"/>
      <c r="O12" s="64" t="n">
        <v>15000</v>
      </c>
      <c r="P12" s="65" t="n"/>
      <c r="Q12" s="65" t="n"/>
      <c r="R12" s="65" t="n"/>
      <c r="S12" s="65" t="n"/>
      <c r="T12" s="65" t="n"/>
      <c r="U12" s="65" t="n"/>
      <c r="V12" s="65" t="n"/>
      <c r="W12" s="65" t="n"/>
      <c r="X12" s="66" t="n"/>
      <c r="Y12" s="65" t="n"/>
      <c r="Z12" s="65" t="n"/>
      <c r="AA12" s="65" t="n"/>
      <c r="AB12" s="65" t="n"/>
      <c r="AC12" s="65" t="n"/>
      <c r="AD12" s="65" t="n"/>
      <c r="AE12" s="65" t="n"/>
      <c r="AF12" s="65" t="n"/>
      <c r="AG12" s="65" t="n"/>
      <c r="AH12" s="65" t="n"/>
      <c r="AI12" s="65" t="n"/>
      <c r="AJ12" s="65" t="n"/>
      <c r="AK12" s="65" t="n"/>
      <c r="AL12" s="65" t="n"/>
      <c r="AM12" s="65" t="n"/>
      <c r="AN12" s="65" t="n"/>
      <c r="AO12" s="65" t="n"/>
      <c r="AP12" s="65" t="n"/>
      <c r="AQ12" s="65" t="n"/>
      <c r="AR12" s="65" t="n"/>
      <c r="AS12" s="65" t="n"/>
      <c r="AT12" s="65" t="n"/>
      <c r="AU12" s="65" t="n"/>
      <c r="AV12" s="65" t="n"/>
      <c r="AW12" s="65" t="n"/>
      <c r="AX12" s="65" t="n"/>
      <c r="AY12" s="65" t="n"/>
      <c r="AZ12" s="65" t="n"/>
      <c r="BA12" s="65" t="n"/>
      <c r="BB12" s="65" t="n"/>
      <c r="BC12" s="65" t="n"/>
      <c r="BD12" s="65" t="n"/>
      <c r="BE12" s="65" t="n"/>
      <c r="BF12" s="65" t="n"/>
      <c r="BG12" s="64" t="n"/>
      <c r="BH12" s="65" t="n"/>
    </row>
    <row r="13">
      <c r="B13" s="1" t="inlineStr">
        <is>
          <t>フレグランスもみじヶ丘</t>
        </is>
      </c>
      <c r="D13" s="1" t="inlineStr">
        <is>
          <t>レンジフード</t>
        </is>
      </c>
      <c r="E13" s="10" t="n">
        <v>43473</v>
      </c>
      <c r="G13" s="62">
        <f>IF(B13="","",F13-I13 )</f>
        <v/>
      </c>
      <c r="H13" s="4">
        <f>IF(OR(G13="",F13=0),"",G13/F13)</f>
        <v/>
      </c>
      <c r="I13" s="62">
        <f>SUM(テーブル9[[#This Row],[五大]:[工場材]])</f>
        <v/>
      </c>
      <c r="J13" s="64" t="n"/>
      <c r="K13" s="65" t="n"/>
      <c r="L13" s="65" t="n"/>
      <c r="M13" s="65" t="n"/>
      <c r="N13" s="65" t="n"/>
      <c r="O13" s="64" t="n">
        <v>7000</v>
      </c>
      <c r="P13" s="65" t="n"/>
      <c r="Q13" s="65" t="n"/>
      <c r="R13" s="65" t="n"/>
      <c r="S13" s="65" t="n"/>
      <c r="T13" s="65" t="n"/>
      <c r="U13" s="65" t="n"/>
      <c r="V13" s="65" t="n"/>
      <c r="W13" s="65" t="n"/>
      <c r="X13" s="66" t="n"/>
      <c r="Y13" s="65" t="n"/>
      <c r="Z13" s="65" t="n"/>
      <c r="AA13" s="65" t="n"/>
      <c r="AB13" s="65" t="n"/>
      <c r="AC13" s="65" t="n"/>
      <c r="AD13" s="65" t="n"/>
      <c r="AE13" s="65" t="n"/>
      <c r="AF13" s="65" t="n"/>
      <c r="AG13" s="65" t="n"/>
      <c r="AH13" s="65" t="n"/>
      <c r="AI13" s="65" t="n"/>
      <c r="AJ13" s="65" t="n"/>
      <c r="AK13" s="65" t="n"/>
      <c r="AL13" s="65" t="n"/>
      <c r="AM13" s="65" t="n"/>
      <c r="AN13" s="65" t="n"/>
      <c r="AO13" s="65" t="n"/>
      <c r="AP13" s="65" t="n"/>
      <c r="AQ13" s="65" t="n"/>
      <c r="AR13" s="65" t="n"/>
      <c r="AS13" s="65" t="n"/>
      <c r="AT13" s="65" t="n"/>
      <c r="AU13" s="65" t="n"/>
      <c r="AV13" s="65" t="n"/>
      <c r="AW13" s="65" t="n"/>
      <c r="AX13" s="65" t="n"/>
      <c r="AY13" s="65" t="n"/>
      <c r="AZ13" s="65" t="n"/>
      <c r="BA13" s="65" t="n"/>
      <c r="BB13" s="65" t="n"/>
      <c r="BC13" s="65" t="n"/>
      <c r="BD13" s="65" t="n"/>
      <c r="BE13" s="65" t="n"/>
      <c r="BF13" s="65" t="n"/>
      <c r="BG13" s="64" t="n"/>
      <c r="BH13" s="65" t="n"/>
    </row>
    <row r="14">
      <c r="B14" s="1" t="inlineStr">
        <is>
          <t>ベルメゾンⅠ203</t>
        </is>
      </c>
      <c r="D14" s="1" t="inlineStr">
        <is>
          <t>レンジフード</t>
        </is>
      </c>
      <c r="E14" s="10" t="n">
        <v>43482</v>
      </c>
      <c r="G14" s="62">
        <f>IF(B14="","",F14-I14 )</f>
        <v/>
      </c>
      <c r="H14" s="4">
        <f>IF(OR(G14="",F14=0),"",G14/F14)</f>
        <v/>
      </c>
      <c r="I14" s="62">
        <f>SUM(テーブル9[[#This Row],[五大]:[工場材]])</f>
        <v/>
      </c>
      <c r="J14" s="64" t="n"/>
      <c r="K14" s="65" t="n"/>
      <c r="L14" s="65" t="n"/>
      <c r="M14" s="65" t="n"/>
      <c r="N14" s="65" t="n"/>
      <c r="O14" s="64" t="n">
        <v>12000</v>
      </c>
      <c r="P14" s="65" t="n"/>
      <c r="Q14" s="65" t="n"/>
      <c r="R14" s="65" t="n"/>
      <c r="S14" s="65" t="n"/>
      <c r="T14" s="65" t="n"/>
      <c r="U14" s="65" t="n"/>
      <c r="V14" s="65" t="n"/>
      <c r="W14" s="65" t="n"/>
      <c r="X14" s="66" t="n"/>
      <c r="Y14" s="65" t="n"/>
      <c r="Z14" s="65" t="n"/>
      <c r="AA14" s="65" t="n"/>
      <c r="AB14" s="65" t="n"/>
      <c r="AC14" s="65" t="n"/>
      <c r="AD14" s="65" t="n"/>
      <c r="AE14" s="65" t="n"/>
      <c r="AF14" s="65" t="n"/>
      <c r="AG14" s="65" t="n"/>
      <c r="AH14" s="65" t="n"/>
      <c r="AI14" s="65" t="n"/>
      <c r="AJ14" s="65" t="n"/>
      <c r="AK14" s="65" t="n"/>
      <c r="AL14" s="65" t="n"/>
      <c r="AM14" s="65" t="n"/>
      <c r="AN14" s="65" t="n"/>
      <c r="AO14" s="65" t="n"/>
      <c r="AP14" s="65" t="n"/>
      <c r="AQ14" s="65" t="n"/>
      <c r="AR14" s="65" t="n"/>
      <c r="AS14" s="65" t="n"/>
      <c r="AT14" s="65" t="n"/>
      <c r="AU14" s="65" t="n"/>
      <c r="AV14" s="65" t="n"/>
      <c r="AW14" s="65" t="n"/>
      <c r="AX14" s="65" t="n"/>
      <c r="AY14" s="65" t="n"/>
      <c r="AZ14" s="65" t="n"/>
      <c r="BA14" s="65" t="n"/>
      <c r="BB14" s="65" t="n"/>
      <c r="BC14" s="65" t="n"/>
      <c r="BD14" s="65" t="n"/>
      <c r="BE14" s="65" t="n"/>
      <c r="BF14" s="65" t="n"/>
      <c r="BG14" s="64" t="n"/>
      <c r="BH14" s="65" t="n"/>
    </row>
    <row r="15">
      <c r="B15" s="1" t="inlineStr">
        <is>
          <t>パステルコート成田B202</t>
        </is>
      </c>
      <c r="D15" s="1" t="inlineStr">
        <is>
          <t>カウンター</t>
        </is>
      </c>
      <c r="E15" s="10" t="n">
        <v>43481</v>
      </c>
      <c r="G15" s="62">
        <f>IF(B15="","",F15-I15 )</f>
        <v/>
      </c>
      <c r="H15" s="4">
        <f>IF(OR(G15="",F15=0),"",G15/F15)</f>
        <v/>
      </c>
      <c r="I15" s="62">
        <f>SUM(テーブル9[[#This Row],[五大]:[工場材]])</f>
        <v/>
      </c>
      <c r="J15" s="64" t="n"/>
      <c r="K15" s="65" t="n"/>
      <c r="L15" s="65" t="n"/>
      <c r="M15" s="65" t="n"/>
      <c r="N15" s="65" t="n"/>
      <c r="O15" s="64" t="n">
        <v>9000</v>
      </c>
      <c r="P15" s="65" t="n"/>
      <c r="Q15" s="65" t="n"/>
      <c r="R15" s="65" t="n"/>
      <c r="S15" s="65" t="n"/>
      <c r="T15" s="65" t="n"/>
      <c r="U15" s="65" t="n"/>
      <c r="V15" s="65" t="n"/>
      <c r="W15" s="65" t="n"/>
      <c r="X15" s="66" t="n"/>
      <c r="Y15" s="65" t="n"/>
      <c r="Z15" s="65" t="n"/>
      <c r="AA15" s="65" t="n"/>
      <c r="AB15" s="65" t="n"/>
      <c r="AC15" s="65" t="n"/>
      <c r="AD15" s="65" t="n"/>
      <c r="AE15" s="65" t="n"/>
      <c r="AF15" s="65" t="n"/>
      <c r="AG15" s="65" t="n"/>
      <c r="AH15" s="65" t="n"/>
      <c r="AI15" s="65" t="n"/>
      <c r="AJ15" s="65" t="n"/>
      <c r="AK15" s="65" t="n"/>
      <c r="AL15" s="65" t="n"/>
      <c r="AM15" s="65" t="n"/>
      <c r="AN15" s="65" t="n"/>
      <c r="AO15" s="65" t="n"/>
      <c r="AP15" s="65" t="n"/>
      <c r="AQ15" s="65" t="n"/>
      <c r="AR15" s="65" t="n"/>
      <c r="AS15" s="65" t="n"/>
      <c r="AT15" s="65" t="n"/>
      <c r="AU15" s="65" t="n"/>
      <c r="AV15" s="65" t="n"/>
      <c r="AW15" s="65" t="n"/>
      <c r="AX15" s="65" t="n"/>
      <c r="AY15" s="65" t="n"/>
      <c r="AZ15" s="65" t="n"/>
      <c r="BA15" s="65" t="n"/>
      <c r="BB15" s="65" t="n"/>
      <c r="BC15" s="65" t="n"/>
      <c r="BD15" s="65" t="n"/>
      <c r="BE15" s="65" t="n"/>
      <c r="BF15" s="65" t="n"/>
      <c r="BG15" s="64" t="n"/>
      <c r="BH15" s="65" t="n"/>
    </row>
    <row r="16">
      <c r="B16" s="1" t="inlineStr">
        <is>
          <t>クリプトメリア201</t>
        </is>
      </c>
      <c r="D16" s="1" t="inlineStr">
        <is>
          <t>レンジフード</t>
        </is>
      </c>
      <c r="E16" s="10" t="n">
        <v>43481</v>
      </c>
      <c r="G16" s="62">
        <f>IF(B16="","",F16-I16 )</f>
        <v/>
      </c>
      <c r="H16" s="4">
        <f>IF(OR(G16="",F16=0),"",G16/F16)</f>
        <v/>
      </c>
      <c r="I16" s="62">
        <f>SUM(テーブル9[[#This Row],[五大]:[工場材]])</f>
        <v/>
      </c>
      <c r="J16" s="64" t="n"/>
      <c r="K16" s="65" t="n"/>
      <c r="L16" s="65" t="n"/>
      <c r="M16" s="65" t="n"/>
      <c r="N16" s="65" t="n"/>
      <c r="O16" s="64" t="n">
        <v>5000</v>
      </c>
      <c r="P16" s="65" t="n"/>
      <c r="Q16" s="65" t="n"/>
      <c r="R16" s="65" t="n"/>
      <c r="S16" s="65" t="n"/>
      <c r="T16" s="65" t="n"/>
      <c r="U16" s="65" t="n"/>
      <c r="V16" s="65" t="n"/>
      <c r="W16" s="65" t="n"/>
      <c r="X16" s="66" t="n"/>
      <c r="Y16" s="65" t="n"/>
      <c r="Z16" s="65" t="n"/>
      <c r="AA16" s="65" t="n"/>
      <c r="AB16" s="65" t="n"/>
      <c r="AC16" s="65" t="n"/>
      <c r="AD16" s="65" t="n"/>
      <c r="AE16" s="65" t="n"/>
      <c r="AF16" s="65" t="n"/>
      <c r="AG16" s="65" t="n"/>
      <c r="AH16" s="65" t="n"/>
      <c r="AI16" s="65" t="n"/>
      <c r="AJ16" s="65" t="n"/>
      <c r="AK16" s="65" t="n"/>
      <c r="AL16" s="65" t="n"/>
      <c r="AM16" s="65" t="n"/>
      <c r="AN16" s="65" t="n"/>
      <c r="AO16" s="65" t="n"/>
      <c r="AP16" s="65" t="n"/>
      <c r="AQ16" s="65" t="n"/>
      <c r="AR16" s="65" t="n"/>
      <c r="AS16" s="65" t="n"/>
      <c r="AT16" s="65" t="n"/>
      <c r="AU16" s="65" t="n"/>
      <c r="AV16" s="65" t="n"/>
      <c r="AW16" s="65" t="n"/>
      <c r="AX16" s="65" t="n"/>
      <c r="AY16" s="65" t="n"/>
      <c r="AZ16" s="65" t="n"/>
      <c r="BA16" s="65" t="n"/>
      <c r="BB16" s="65" t="n"/>
      <c r="BC16" s="65" t="n"/>
      <c r="BD16" s="65" t="n"/>
      <c r="BE16" s="65" t="n"/>
      <c r="BF16" s="65" t="n"/>
      <c r="BG16" s="64" t="n"/>
      <c r="BH16" s="65" t="n"/>
    </row>
    <row r="17">
      <c r="B17" s="1" t="inlineStr">
        <is>
          <t>八幡社宅　203</t>
        </is>
      </c>
      <c r="D17" s="1" t="inlineStr">
        <is>
          <t>玄関ドア　部分</t>
        </is>
      </c>
      <c r="E17" s="10" t="n">
        <v>43476</v>
      </c>
      <c r="G17" s="62">
        <f>IF(B17="","",F17-I17 )</f>
        <v/>
      </c>
      <c r="H17" s="4">
        <f>IF(OR(G17="",F17=0),"",G17/F17)</f>
        <v/>
      </c>
      <c r="I17" s="62" t="n">
        <v>8000</v>
      </c>
      <c r="J17" s="64" t="n"/>
      <c r="K17" s="65" t="n"/>
      <c r="L17" s="65" t="n"/>
      <c r="M17" s="65" t="n"/>
      <c r="N17" s="65" t="n"/>
      <c r="O17" s="64" t="n">
        <v>5000</v>
      </c>
      <c r="P17" s="65" t="n"/>
      <c r="Q17" s="65" t="n"/>
      <c r="R17" s="65" t="n"/>
      <c r="S17" s="65" t="n"/>
      <c r="T17" s="65" t="n"/>
      <c r="U17" s="65" t="n"/>
      <c r="V17" s="65" t="n"/>
      <c r="W17" s="65" t="n"/>
      <c r="X17" s="66" t="n"/>
      <c r="Y17" s="65" t="n"/>
      <c r="Z17" s="65" t="n"/>
      <c r="AA17" s="65" t="n"/>
      <c r="AB17" s="65" t="n"/>
      <c r="AC17" s="65" t="n"/>
      <c r="AD17" s="65" t="n"/>
      <c r="AE17" s="65" t="n"/>
      <c r="AF17" s="65" t="n"/>
      <c r="AG17" s="65" t="n"/>
      <c r="AH17" s="65" t="n"/>
      <c r="AI17" s="65" t="n"/>
      <c r="AJ17" s="65" t="n"/>
      <c r="AK17" s="65" t="n"/>
      <c r="AL17" s="65" t="n"/>
      <c r="AM17" s="65" t="n"/>
      <c r="AN17" s="65" t="n"/>
      <c r="AO17" s="65" t="n"/>
      <c r="AP17" s="65" t="n"/>
      <c r="AQ17" s="65" t="n"/>
      <c r="AR17" s="65" t="n"/>
      <c r="AS17" s="65" t="n"/>
      <c r="AT17" s="65" t="n"/>
      <c r="AU17" s="65" t="n"/>
      <c r="AV17" s="65" t="n"/>
      <c r="AW17" s="65" t="n"/>
      <c r="AX17" s="65" t="n"/>
      <c r="AY17" s="65" t="n"/>
      <c r="AZ17" s="65" t="n"/>
      <c r="BA17" s="65" t="n"/>
      <c r="BB17" s="65" t="n"/>
      <c r="BC17" s="65" t="n"/>
      <c r="BD17" s="65" t="n"/>
      <c r="BE17" s="65" t="n"/>
      <c r="BF17" s="65" t="n"/>
      <c r="BG17" s="64" t="n"/>
      <c r="BH17" s="65" t="n"/>
    </row>
    <row r="18">
      <c r="B18" s="1" t="inlineStr">
        <is>
          <t>グリーンハイツB101</t>
        </is>
      </c>
      <c r="D18" s="1" t="inlineStr">
        <is>
          <t>給湯器　タッチアップ</t>
        </is>
      </c>
      <c r="E18" s="10" t="n">
        <v>43476</v>
      </c>
      <c r="F18" s="62" t="n">
        <v>10000</v>
      </c>
      <c r="G18" s="62">
        <f>IF(B18="","",F18-I18 )</f>
        <v/>
      </c>
      <c r="H18" s="4">
        <f>IF(G18="","",G18/F18)</f>
        <v/>
      </c>
      <c r="I18" s="62">
        <f>SUM(テーブル9[[#This Row],[五大]:[工場材]])</f>
        <v/>
      </c>
      <c r="J18" s="64" t="n"/>
      <c r="K18" s="65" t="n"/>
      <c r="L18" s="65" t="n"/>
      <c r="M18" s="65" t="n"/>
      <c r="N18" s="65" t="n"/>
      <c r="O18" s="64" t="n">
        <v>5000</v>
      </c>
      <c r="P18" s="65" t="n"/>
      <c r="Q18" s="65" t="n"/>
      <c r="R18" s="65" t="n"/>
      <c r="S18" s="65" t="n"/>
      <c r="T18" s="65" t="n"/>
      <c r="U18" s="65" t="n"/>
      <c r="V18" s="65" t="n"/>
      <c r="W18" s="65" t="n"/>
      <c r="X18" s="66" t="n"/>
      <c r="Y18" s="65" t="n"/>
      <c r="Z18" s="65" t="n"/>
      <c r="AA18" s="65" t="n"/>
      <c r="AB18" s="65" t="n"/>
      <c r="AC18" s="65" t="n"/>
      <c r="AD18" s="65" t="n"/>
      <c r="AE18" s="65" t="n"/>
      <c r="AF18" s="65" t="n"/>
      <c r="AG18" s="65" t="n"/>
      <c r="AH18" s="65" t="n"/>
      <c r="AI18" s="65" t="n"/>
      <c r="AJ18" s="65" t="n"/>
      <c r="AK18" s="65" t="n"/>
      <c r="AL18" s="65" t="n"/>
      <c r="AM18" s="65" t="n"/>
      <c r="AN18" s="65" t="n"/>
      <c r="AO18" s="65" t="n"/>
      <c r="AP18" s="65" t="n"/>
      <c r="AQ18" s="65" t="n"/>
      <c r="AR18" s="65" t="n"/>
      <c r="AS18" s="65" t="n"/>
      <c r="AT18" s="65" t="n"/>
      <c r="AU18" s="65" t="n"/>
      <c r="AV18" s="65" t="n"/>
      <c r="AW18" s="65" t="n"/>
      <c r="AX18" s="65" t="n"/>
      <c r="AY18" s="65" t="n"/>
      <c r="AZ18" s="65" t="n"/>
      <c r="BA18" s="65" t="n"/>
      <c r="BB18" s="65" t="n"/>
      <c r="BC18" s="65" t="n"/>
      <c r="BD18" s="65" t="n"/>
      <c r="BE18" s="65" t="n"/>
      <c r="BF18" s="65" t="n"/>
      <c r="BG18" s="64" t="n"/>
      <c r="BH18" s="65" t="n"/>
    </row>
    <row r="19">
      <c r="B19" s="1" t="inlineStr">
        <is>
          <t>うさちゃん　原町</t>
        </is>
      </c>
      <c r="D19" s="1" t="inlineStr">
        <is>
          <t>配管塗装（シルバ）</t>
        </is>
      </c>
      <c r="E19" s="10" t="n">
        <v>43488</v>
      </c>
      <c r="F19" s="62" t="n">
        <v>242000</v>
      </c>
      <c r="G19" s="62">
        <f>IF(B19="","",F19-I19 )</f>
        <v/>
      </c>
      <c r="H19" s="4">
        <f>IF(G19="","",G19/F19)</f>
        <v/>
      </c>
      <c r="I19" s="62">
        <f>SUM(テーブル9[[#This Row],[五大]:[工場材]])</f>
        <v/>
      </c>
      <c r="J19" s="64" t="n"/>
      <c r="K19" s="65" t="n"/>
      <c r="L19" s="65" t="n"/>
      <c r="M19" s="65" t="n"/>
      <c r="N19" s="65" t="n"/>
      <c r="O19" s="64" t="n">
        <v>12000</v>
      </c>
      <c r="P19" s="65" t="n"/>
      <c r="Q19" s="65" t="n"/>
      <c r="R19" s="65" t="n"/>
      <c r="S19" s="65" t="n"/>
      <c r="T19" s="65" t="n"/>
      <c r="U19" s="65" t="n"/>
      <c r="V19" s="65" t="n"/>
      <c r="W19" s="65" t="n"/>
      <c r="X19" s="66" t="n"/>
      <c r="Y19" s="65" t="n"/>
      <c r="Z19" s="65" t="n"/>
      <c r="AA19" s="65" t="n">
        <v>80000</v>
      </c>
      <c r="AB19" s="65" t="n">
        <v>80000</v>
      </c>
      <c r="AC19" s="65" t="n"/>
      <c r="AD19" s="65" t="n"/>
      <c r="AE19" s="65" t="n"/>
      <c r="AF19" s="65" t="n"/>
      <c r="AG19" s="65" t="n"/>
      <c r="AH19" s="65" t="n"/>
      <c r="AI19" s="65" t="n"/>
      <c r="AJ19" s="65" t="n"/>
      <c r="AK19" s="65" t="n"/>
      <c r="AL19" s="65" t="n"/>
      <c r="AM19" s="65" t="n"/>
      <c r="AN19" s="65" t="n"/>
      <c r="AO19" s="65" t="n"/>
      <c r="AP19" s="65" t="n"/>
      <c r="AQ19" s="65" t="n"/>
      <c r="AR19" s="65" t="n"/>
      <c r="AS19" s="65" t="n"/>
      <c r="AT19" s="65" t="n"/>
      <c r="AU19" s="65" t="n"/>
      <c r="AV19" s="65" t="n"/>
      <c r="AW19" s="65" t="n"/>
      <c r="AX19" s="65" t="n"/>
      <c r="AY19" s="65" t="n"/>
      <c r="AZ19" s="65" t="n"/>
      <c r="BA19" s="65" t="n"/>
      <c r="BB19" s="65" t="n"/>
      <c r="BC19" s="65" t="n"/>
      <c r="BD19" s="65" t="n"/>
      <c r="BE19" s="65" t="n"/>
      <c r="BF19" s="65" t="n"/>
      <c r="BG19" s="64" t="n"/>
      <c r="BH19" s="65" t="n"/>
    </row>
    <row r="20">
      <c r="B20" s="1" t="inlineStr">
        <is>
          <t>ドミトリー202</t>
        </is>
      </c>
      <c r="D20" s="1" t="inlineStr">
        <is>
          <t>窓枠　手摺梯子</t>
        </is>
      </c>
      <c r="E20" s="10" t="n">
        <v>43489</v>
      </c>
      <c r="G20" s="62">
        <f>IF(B20="","",F20-I20 )</f>
        <v/>
      </c>
      <c r="H20" s="4">
        <f>IF(OR(G20="",F20=0),"",G20/F20)</f>
        <v/>
      </c>
      <c r="I20" s="62">
        <f>SUM(テーブル9[[#This Row],[五大]:[工場材]])</f>
        <v/>
      </c>
      <c r="J20" s="64" t="n"/>
      <c r="K20" s="65" t="n"/>
      <c r="L20" s="65" t="n"/>
      <c r="M20" s="65" t="n"/>
      <c r="N20" s="65" t="n"/>
      <c r="O20" s="64" t="n">
        <v>30000</v>
      </c>
      <c r="P20" s="65" t="n"/>
      <c r="Q20" s="65" t="n"/>
      <c r="R20" s="65" t="n"/>
      <c r="S20" s="65" t="n"/>
      <c r="T20" s="65" t="n"/>
      <c r="U20" s="65" t="n"/>
      <c r="V20" s="65" t="n"/>
      <c r="W20" s="65" t="n"/>
      <c r="X20" s="66" t="n"/>
      <c r="Y20" s="65" t="n"/>
      <c r="Z20" s="65" t="n"/>
      <c r="AA20" s="65" t="n"/>
      <c r="AB20" s="65" t="n"/>
      <c r="AC20" s="65" t="n"/>
      <c r="AD20" s="65" t="n"/>
      <c r="AE20" s="65" t="n"/>
      <c r="AF20" s="65" t="n"/>
      <c r="AG20" s="65" t="n"/>
      <c r="AH20" s="65" t="n"/>
      <c r="AI20" s="65" t="n"/>
      <c r="AJ20" s="65" t="n"/>
      <c r="AK20" s="65" t="n"/>
      <c r="AL20" s="65" t="n"/>
      <c r="AM20" s="65" t="n"/>
      <c r="AN20" s="65" t="n"/>
      <c r="AO20" s="65" t="n"/>
      <c r="AP20" s="65" t="n"/>
      <c r="AQ20" s="65" t="n"/>
      <c r="AR20" s="65" t="n"/>
      <c r="AS20" s="65" t="n"/>
      <c r="AT20" s="65" t="n"/>
      <c r="AU20" s="65" t="n"/>
      <c r="AV20" s="65" t="n"/>
      <c r="AW20" s="65" t="n"/>
      <c r="AX20" s="65" t="n"/>
      <c r="AY20" s="65" t="n"/>
      <c r="AZ20" s="65" t="n"/>
      <c r="BA20" s="65" t="n"/>
      <c r="BB20" s="65" t="n"/>
      <c r="BC20" s="65" t="n"/>
      <c r="BD20" s="65" t="n"/>
      <c r="BE20" s="65" t="n"/>
      <c r="BF20" s="65" t="n"/>
      <c r="BG20" s="64" t="n"/>
      <c r="BH20" s="65" t="n"/>
    </row>
    <row r="21">
      <c r="B21" s="1" t="inlineStr">
        <is>
          <t>名取ヶ丘　三村邸</t>
        </is>
      </c>
      <c r="D21" s="1" t="inlineStr">
        <is>
          <t>ロスナイ工事</t>
        </is>
      </c>
      <c r="E21" s="10" t="n">
        <v>43806</v>
      </c>
      <c r="F21" s="62">
        <f>137000+25000</f>
        <v/>
      </c>
      <c r="G21" s="62">
        <f>IF(B21="","",F21-I21 )</f>
        <v/>
      </c>
      <c r="H21" s="4">
        <f>IF(G21="","",G21/F21)</f>
        <v/>
      </c>
      <c r="I21" s="62">
        <f>SUM(テーブル9[[#This Row],[五大]:[工場材]])</f>
        <v/>
      </c>
      <c r="J21" s="64" t="n"/>
      <c r="K21" s="65" t="n"/>
      <c r="L21" s="65" t="n"/>
      <c r="M21" s="65" t="n"/>
      <c r="N21" s="65" t="n"/>
      <c r="O21" s="65" t="n"/>
      <c r="P21" s="65" t="n"/>
      <c r="Q21" s="65" t="n"/>
      <c r="R21" s="65" t="n"/>
      <c r="S21" s="65" t="n"/>
      <c r="T21" s="64" t="n">
        <v>30000</v>
      </c>
      <c r="U21" s="65" t="n"/>
      <c r="V21" s="65" t="n"/>
      <c r="W21" s="64" t="n">
        <v>20000</v>
      </c>
      <c r="X21" s="66" t="n"/>
      <c r="Y21" s="64" t="n"/>
      <c r="Z21" s="64" t="n"/>
      <c r="AA21" s="64" t="n">
        <v>70000</v>
      </c>
      <c r="AB21" s="65" t="n"/>
      <c r="AC21" s="65" t="n"/>
      <c r="AD21" s="65" t="n"/>
      <c r="AE21" s="65" t="n"/>
      <c r="AF21" s="65" t="n"/>
      <c r="AG21" s="65" t="n"/>
      <c r="AH21" s="65" t="n"/>
      <c r="AI21" s="65" t="n"/>
      <c r="AJ21" s="65" t="n"/>
      <c r="AK21" s="65" t="n"/>
      <c r="AL21" s="64" t="n"/>
      <c r="AM21" s="65" t="n"/>
      <c r="AN21" s="65" t="n"/>
      <c r="AO21" s="65" t="n"/>
      <c r="AP21" s="65" t="n"/>
      <c r="AQ21" s="65" t="n"/>
      <c r="AR21" s="65" t="n"/>
      <c r="AS21" s="65" t="n"/>
      <c r="AT21" s="65" t="n"/>
      <c r="AU21" s="65" t="n"/>
      <c r="AV21" s="65" t="n"/>
      <c r="AW21" s="65" t="n"/>
      <c r="AX21" s="65" t="n"/>
      <c r="AY21" s="65" t="n"/>
      <c r="AZ21" s="65" t="n"/>
      <c r="BA21" s="65" t="n"/>
      <c r="BB21" s="65" t="n"/>
      <c r="BC21" s="65" t="n"/>
      <c r="BD21" s="65" t="n"/>
      <c r="BE21" s="65" t="n"/>
      <c r="BF21" s="65" t="n"/>
      <c r="BG21" s="64" t="n"/>
      <c r="BH21" s="65" t="n"/>
    </row>
    <row r="22">
      <c r="B22" s="1" t="inlineStr">
        <is>
          <t>登米 菊池美容院</t>
        </is>
      </c>
      <c r="D22" s="1" t="inlineStr">
        <is>
          <t>トイレ工事</t>
        </is>
      </c>
      <c r="E22" s="10" t="n">
        <v>43812</v>
      </c>
      <c r="F22" s="62" t="n">
        <v>170000</v>
      </c>
      <c r="G22" s="62">
        <f>IF(B22="","",F22-I22 )</f>
        <v/>
      </c>
      <c r="H22" s="4">
        <f>IF(G22="","",G22/F22)</f>
        <v/>
      </c>
      <c r="I22" s="62">
        <f>SUM(テーブル9[[#This Row],[五大]:[工場材]])</f>
        <v/>
      </c>
      <c r="J22" s="64" t="n"/>
      <c r="K22" s="65" t="n"/>
      <c r="L22" s="65" t="n"/>
      <c r="M22" s="65" t="n"/>
      <c r="N22" s="65" t="n"/>
      <c r="O22" s="65" t="n"/>
      <c r="P22" s="65" t="n"/>
      <c r="Q22" s="65" t="n"/>
      <c r="R22" s="65" t="n"/>
      <c r="S22" s="65" t="n"/>
      <c r="T22" s="64" t="n">
        <v>25000</v>
      </c>
      <c r="U22" s="65" t="n"/>
      <c r="V22" s="65" t="n"/>
      <c r="W22" s="64" t="n">
        <v>35000</v>
      </c>
      <c r="X22" s="66" t="n"/>
      <c r="Y22" s="64" t="n"/>
      <c r="Z22" s="64" t="n"/>
      <c r="AA22" s="64" t="n">
        <v>32000</v>
      </c>
      <c r="AB22" s="64" t="n">
        <v>63000</v>
      </c>
      <c r="AC22" s="64" t="n"/>
      <c r="AD22" s="64" t="n"/>
      <c r="AE22" s="65" t="n"/>
      <c r="AF22" s="65" t="n"/>
      <c r="AG22" s="65" t="n"/>
      <c r="AH22" s="65" t="n"/>
      <c r="AI22" s="65" t="n"/>
      <c r="AJ22" s="65" t="n"/>
      <c r="AK22" s="65" t="n"/>
      <c r="AL22" s="64" t="n"/>
      <c r="AM22" s="65" t="n"/>
      <c r="AN22" s="65" t="n"/>
      <c r="AO22" s="65" t="n"/>
      <c r="AP22" s="65" t="n"/>
      <c r="AQ22" s="65" t="n"/>
      <c r="AR22" s="65" t="n"/>
      <c r="AS22" s="65" t="n"/>
      <c r="AT22" s="65" t="n"/>
      <c r="AU22" s="65" t="n"/>
      <c r="AV22" s="65" t="n"/>
      <c r="AW22" s="65" t="n"/>
      <c r="AX22" s="65" t="n"/>
      <c r="AY22" s="65" t="n"/>
      <c r="AZ22" s="65" t="n"/>
      <c r="BA22" s="65" t="n"/>
      <c r="BB22" s="65" t="n"/>
      <c r="BC22" s="65" t="n"/>
      <c r="BD22" s="65" t="n"/>
      <c r="BE22" s="65" t="n"/>
      <c r="BF22" s="65" t="n"/>
      <c r="BG22" s="64" t="n"/>
      <c r="BH22" s="65" t="n"/>
    </row>
    <row r="23">
      <c r="B23" s="1" t="inlineStr">
        <is>
          <t>サンライフクリオネ</t>
        </is>
      </c>
      <c r="D23" s="1" t="inlineStr">
        <is>
          <t>塗装</t>
        </is>
      </c>
      <c r="F23" s="62" t="n">
        <v>1580000</v>
      </c>
      <c r="G23" s="62">
        <f>IF(B23="","",F23-I23 )</f>
        <v/>
      </c>
      <c r="H23" s="4">
        <f>IF(G23="","",G23/F23)</f>
        <v/>
      </c>
      <c r="I23" s="62">
        <f>SUM(テーブル9[[#This Row],[五大]:[工場材]])</f>
        <v/>
      </c>
      <c r="J23" s="64" t="n">
        <v>250000</v>
      </c>
      <c r="K23" s="65" t="n"/>
      <c r="L23" s="65" t="n"/>
      <c r="M23" s="65" t="n"/>
      <c r="N23" s="65" t="n"/>
      <c r="O23" s="65" t="n"/>
      <c r="P23" s="64" t="n">
        <v>750000</v>
      </c>
      <c r="Q23" s="65" t="n"/>
      <c r="R23" s="64" t="n">
        <v>6300</v>
      </c>
      <c r="S23" s="64" t="n">
        <v>35000</v>
      </c>
      <c r="T23" s="65" t="n"/>
      <c r="U23" s="64" t="n">
        <v>52400</v>
      </c>
      <c r="V23" s="64" t="n"/>
      <c r="W23" s="65" t="n"/>
      <c r="X23" s="66" t="n"/>
      <c r="Y23" s="65" t="n"/>
      <c r="Z23" s="65" t="n"/>
      <c r="AA23" s="65" t="n"/>
      <c r="AB23" s="65" t="n"/>
      <c r="AC23" s="65" t="n"/>
      <c r="AD23" s="65" t="n"/>
      <c r="AE23" s="65" t="n"/>
      <c r="AF23" s="65" t="n"/>
      <c r="AG23" s="65" t="n"/>
      <c r="AH23" s="65" t="n"/>
      <c r="AI23" s="65" t="n"/>
      <c r="AJ23" s="65" t="n"/>
      <c r="AK23" s="65" t="n"/>
      <c r="AL23" s="65" t="n"/>
      <c r="AM23" s="65" t="n"/>
      <c r="AN23" s="65" t="n"/>
      <c r="AO23" s="65" t="n"/>
      <c r="AP23" s="65" t="n"/>
      <c r="AQ23" s="65" t="n"/>
      <c r="AR23" s="65" t="n"/>
      <c r="AS23" s="65" t="n"/>
      <c r="AT23" s="65" t="n"/>
      <c r="AU23" s="65" t="n"/>
      <c r="AV23" s="65" t="n"/>
      <c r="AW23" s="65" t="n"/>
      <c r="AX23" s="65" t="n"/>
      <c r="AY23" s="65" t="n"/>
      <c r="AZ23" s="65" t="n"/>
      <c r="BA23" s="65" t="n"/>
      <c r="BB23" s="65" t="n"/>
      <c r="BC23" s="65" t="n"/>
      <c r="BD23" s="65" t="n"/>
      <c r="BE23" s="65" t="n"/>
      <c r="BF23" s="65" t="n"/>
      <c r="BG23" s="64" t="n"/>
      <c r="BH23" s="65" t="n"/>
    </row>
    <row r="24">
      <c r="B24" s="1" t="inlineStr">
        <is>
          <t>各現場</t>
        </is>
      </c>
      <c r="D24" s="1" t="inlineStr">
        <is>
          <t>苔洗浄　12件</t>
        </is>
      </c>
      <c r="E24" s="2" t="inlineStr">
        <is>
          <t>12月</t>
        </is>
      </c>
      <c r="F24" s="62">
        <f>15000*12</f>
        <v/>
      </c>
      <c r="G24" s="62">
        <f>IF(B24="","",F24-I24 )</f>
        <v/>
      </c>
      <c r="H24" s="4">
        <f>IF(G24="","",G24/F24)</f>
        <v/>
      </c>
      <c r="I24" s="62">
        <f>SUM(テーブル9[[#This Row],[五大]:[工場材]])</f>
        <v/>
      </c>
      <c r="J24" s="65" t="n"/>
      <c r="K24" s="65" t="n"/>
      <c r="L24" s="65" t="n"/>
      <c r="M24" s="65" t="n"/>
      <c r="N24" s="65" t="n"/>
      <c r="O24" s="65" t="n"/>
      <c r="P24" s="64">
        <f>13000*12</f>
        <v/>
      </c>
      <c r="Q24" s="65" t="n"/>
      <c r="R24" s="65" t="n"/>
      <c r="S24" s="65" t="n"/>
      <c r="T24" s="65" t="n"/>
      <c r="U24" s="65" t="n"/>
      <c r="V24" s="65" t="n"/>
      <c r="W24" s="65" t="n"/>
      <c r="X24" s="66" t="n"/>
      <c r="Y24" s="65" t="n"/>
      <c r="Z24" s="65" t="n"/>
      <c r="AA24" s="65" t="n"/>
      <c r="AB24" s="65" t="n"/>
      <c r="AC24" s="65" t="n"/>
      <c r="AD24" s="65" t="n"/>
      <c r="AE24" s="65" t="n"/>
      <c r="AF24" s="65" t="n"/>
      <c r="AG24" s="65" t="n"/>
      <c r="AH24" s="65" t="n"/>
      <c r="AI24" s="65" t="n"/>
      <c r="AJ24" s="65" t="n"/>
      <c r="AK24" s="65" t="n"/>
      <c r="AL24" s="65" t="n"/>
      <c r="AM24" s="65" t="n"/>
      <c r="AN24" s="65" t="n"/>
      <c r="AO24" s="65" t="n"/>
      <c r="AP24" s="65" t="n"/>
      <c r="AQ24" s="65" t="n"/>
      <c r="AR24" s="65" t="n"/>
      <c r="AS24" s="65" t="n"/>
      <c r="AT24" s="65" t="n"/>
      <c r="AU24" s="65" t="n"/>
      <c r="AV24" s="65" t="n"/>
      <c r="AW24" s="65" t="n"/>
      <c r="AX24" s="65" t="n"/>
      <c r="AY24" s="65" t="n"/>
      <c r="AZ24" s="65" t="n"/>
      <c r="BA24" s="65" t="n"/>
      <c r="BB24" s="65" t="n"/>
      <c r="BC24" s="65" t="n"/>
      <c r="BD24" s="65" t="n"/>
      <c r="BE24" s="65" t="n"/>
      <c r="BF24" s="65" t="n"/>
      <c r="BG24" s="64" t="n"/>
      <c r="BH24" s="65" t="n"/>
    </row>
    <row r="25">
      <c r="B25" s="22" t="inlineStr">
        <is>
          <t>合計</t>
        </is>
      </c>
      <c r="C25" s="22" t="n"/>
      <c r="F25" s="67">
        <f>SUBTOTAL(109,F4:F24)</f>
        <v/>
      </c>
      <c r="G25" s="67">
        <f>SUBTOTAL(109,G4:G24)</f>
        <v/>
      </c>
      <c r="H25" s="14">
        <f>IF(G25="","",G25/F25)</f>
        <v/>
      </c>
      <c r="I25" s="67">
        <f>SUBTOTAL(109,I4:I24)</f>
        <v/>
      </c>
      <c r="J25" s="64" t="n"/>
      <c r="K25" s="65" t="n"/>
      <c r="L25" s="65" t="n"/>
      <c r="M25" s="65" t="n"/>
      <c r="N25" s="65" t="n"/>
      <c r="O25" s="65" t="n"/>
      <c r="P25" s="65" t="n"/>
      <c r="Q25" s="65" t="n"/>
      <c r="R25" s="65" t="n"/>
      <c r="S25" s="65" t="n"/>
      <c r="T25" s="65" t="n"/>
      <c r="U25" s="65" t="n"/>
      <c r="V25" s="65" t="n"/>
      <c r="W25" s="65" t="n"/>
      <c r="X25" s="66" t="n"/>
      <c r="Y25" s="65" t="n"/>
      <c r="Z25" s="65" t="n"/>
      <c r="AA25" s="65" t="n"/>
      <c r="AB25" s="65" t="n"/>
      <c r="AC25" s="65" t="n"/>
      <c r="AD25" s="65" t="n"/>
      <c r="AE25" s="65" t="n"/>
      <c r="AF25" s="65" t="n"/>
      <c r="AG25" s="65" t="n"/>
      <c r="AH25" s="65" t="n"/>
      <c r="AI25" s="65" t="n"/>
      <c r="AJ25" s="65" t="n"/>
      <c r="AK25" s="65" t="n"/>
      <c r="AL25" s="65" t="n"/>
      <c r="AM25" s="65" t="n"/>
      <c r="AN25" s="65" t="n"/>
      <c r="AO25" s="65" t="n"/>
      <c r="AP25" s="65" t="n"/>
      <c r="AQ25" s="65" t="n"/>
      <c r="AR25" s="65" t="n"/>
      <c r="AS25" s="65" t="n"/>
      <c r="AT25" s="65" t="n"/>
      <c r="AU25" s="65" t="n"/>
      <c r="AV25" s="65" t="n"/>
      <c r="AW25" s="65" t="n"/>
      <c r="AX25" s="65" t="n"/>
      <c r="AY25" s="65" t="n"/>
      <c r="AZ25" s="65" t="n"/>
      <c r="BA25" s="65" t="n"/>
      <c r="BB25" s="65" t="n"/>
      <c r="BC25" s="65" t="n"/>
      <c r="BD25" s="65" t="n"/>
      <c r="BE25" s="65" t="n"/>
      <c r="BF25" s="65" t="n"/>
      <c r="BG25" s="64" t="n"/>
      <c r="BH25" s="65" t="n"/>
    </row>
    <row r="26">
      <c r="F26" s="68" t="n"/>
      <c r="G26" s="68">
        <f>IF(B26="","",F26-I26 )</f>
        <v/>
      </c>
      <c r="H26" s="5">
        <f>IF(G26="","",G26/F26)</f>
        <v/>
      </c>
      <c r="J26" s="64" t="n"/>
      <c r="K26" s="65" t="n"/>
      <c r="L26" s="65" t="n"/>
      <c r="M26" s="65" t="n"/>
      <c r="N26" s="65" t="n"/>
      <c r="O26" s="65" t="n"/>
      <c r="P26" s="65" t="n"/>
      <c r="Q26" s="65" t="n"/>
      <c r="R26" s="65" t="n"/>
      <c r="S26" s="65" t="n"/>
      <c r="T26" s="65" t="n"/>
      <c r="U26" s="65" t="n"/>
      <c r="V26" s="65" t="n"/>
      <c r="W26" s="65" t="n"/>
      <c r="X26" s="66" t="n"/>
      <c r="Y26" s="65" t="n"/>
      <c r="Z26" s="65" t="n"/>
      <c r="AA26" s="65" t="n"/>
      <c r="AB26" s="65" t="n"/>
      <c r="AC26" s="65" t="n"/>
      <c r="AD26" s="65" t="n"/>
      <c r="AE26" s="65" t="n"/>
      <c r="AF26" s="65" t="n"/>
      <c r="AG26" s="65" t="n"/>
      <c r="AH26" s="65" t="n"/>
      <c r="AI26" s="65" t="n"/>
      <c r="AJ26" s="65" t="n"/>
      <c r="AK26" s="65" t="n"/>
      <c r="AL26" s="65" t="n"/>
      <c r="AM26" s="65" t="n"/>
      <c r="AN26" s="65" t="n"/>
      <c r="AO26" s="65" t="n"/>
      <c r="AP26" s="65" t="n"/>
      <c r="AQ26" s="65" t="n"/>
      <c r="AR26" s="65" t="n"/>
      <c r="AS26" s="65" t="n"/>
      <c r="AT26" s="65" t="n"/>
      <c r="AU26" s="65" t="n"/>
      <c r="AV26" s="65" t="n"/>
      <c r="AW26" s="65" t="n"/>
      <c r="AX26" s="65" t="n"/>
      <c r="AY26" s="65" t="n"/>
      <c r="AZ26" s="65" t="n"/>
      <c r="BA26" s="65" t="n"/>
      <c r="BB26" s="65" t="n"/>
      <c r="BC26" s="65" t="n"/>
      <c r="BD26" s="65" t="n"/>
      <c r="BE26" s="65" t="n"/>
      <c r="BF26" s="65" t="n"/>
      <c r="BG26" s="64" t="n"/>
      <c r="BH26" s="65" t="n"/>
    </row>
    <row r="27">
      <c r="F27" s="68" t="n"/>
      <c r="G27" s="68">
        <f>IF(B27="","",F27-I27 )</f>
        <v/>
      </c>
      <c r="H27" s="5">
        <f>IF(G27="","",G27/F27)</f>
        <v/>
      </c>
      <c r="J27" s="64" t="n"/>
      <c r="K27" s="65" t="n"/>
      <c r="L27" s="65" t="n"/>
      <c r="M27" s="65" t="n"/>
      <c r="N27" s="65" t="n"/>
      <c r="O27" s="65" t="n"/>
      <c r="P27" s="65" t="n"/>
      <c r="Q27" s="65" t="n"/>
      <c r="R27" s="65" t="n"/>
      <c r="S27" s="65" t="n"/>
      <c r="T27" s="65" t="n"/>
      <c r="U27" s="65" t="n"/>
      <c r="V27" s="65" t="n"/>
      <c r="W27" s="65" t="n"/>
      <c r="X27" s="66" t="n"/>
      <c r="Y27" s="65" t="n"/>
      <c r="Z27" s="65" t="n"/>
      <c r="AA27" s="65" t="n"/>
      <c r="AB27" s="65" t="n"/>
      <c r="AC27" s="65" t="n"/>
      <c r="AD27" s="65" t="n"/>
      <c r="AE27" s="65" t="n"/>
      <c r="AF27" s="65" t="n"/>
      <c r="AG27" s="65" t="n"/>
      <c r="AH27" s="65" t="n"/>
      <c r="AI27" s="65" t="n"/>
      <c r="AJ27" s="65" t="n"/>
      <c r="AK27" s="65" t="n"/>
      <c r="AL27" s="65" t="n"/>
      <c r="AM27" s="65" t="n"/>
      <c r="AN27" s="65" t="n"/>
      <c r="AO27" s="65" t="n"/>
      <c r="AP27" s="65" t="n"/>
      <c r="AQ27" s="65" t="n"/>
      <c r="AR27" s="65" t="n"/>
      <c r="AS27" s="65" t="n"/>
      <c r="AT27" s="65" t="n"/>
      <c r="AU27" s="65" t="n"/>
      <c r="AV27" s="65" t="n"/>
      <c r="AW27" s="65" t="n"/>
      <c r="AX27" s="65" t="n"/>
      <c r="AY27" s="65" t="n"/>
      <c r="AZ27" s="65" t="n"/>
      <c r="BA27" s="65" t="n"/>
      <c r="BB27" s="65" t="n"/>
      <c r="BC27" s="65" t="n"/>
      <c r="BD27" s="65" t="n"/>
      <c r="BE27" s="65" t="n"/>
      <c r="BF27" s="65" t="n"/>
      <c r="BG27" s="64" t="n"/>
      <c r="BH27" s="65" t="n"/>
    </row>
    <row r="28">
      <c r="A28" s="0" t="inlineStr">
        <is>
          <t>H31.2</t>
        </is>
      </c>
      <c r="B28" s="1" t="inlineStr">
        <is>
          <t>ダディーハウス明石台</t>
        </is>
      </c>
      <c r="D28" s="1" t="inlineStr">
        <is>
          <t>塗装</t>
        </is>
      </c>
      <c r="E28" s="2" t="inlineStr">
        <is>
          <t>1月</t>
        </is>
      </c>
      <c r="F28" s="62" t="n">
        <v>1150000</v>
      </c>
      <c r="G28" s="62">
        <f>IF(B28="","",F28-I28 )</f>
        <v/>
      </c>
      <c r="H28" s="4">
        <f>IF(G28="","",G28/F28)</f>
        <v/>
      </c>
      <c r="I28" s="62">
        <f>SUM(テーブル9[[#This Row],[五大]:[工場材]])</f>
        <v/>
      </c>
      <c r="J28" s="65" t="n"/>
      <c r="K28" s="64" t="n">
        <v>189300</v>
      </c>
      <c r="L28" s="64" t="n"/>
      <c r="M28" s="65" t="inlineStr">
        <is>
          <t>式</t>
        </is>
      </c>
      <c r="N28" s="65" t="n"/>
      <c r="O28" s="64" t="n">
        <v>600000</v>
      </c>
      <c r="P28" s="65" t="n"/>
      <c r="Q28" s="65" t="n"/>
      <c r="R28" s="65" t="n"/>
      <c r="S28" s="64" t="n">
        <v>35000</v>
      </c>
      <c r="T28" s="65" t="n"/>
      <c r="U28" s="65" t="inlineStr">
        <is>
          <t>在庫使用0円</t>
        </is>
      </c>
      <c r="V28" s="65" t="n"/>
      <c r="W28" s="65" t="n"/>
      <c r="X28" s="66" t="n"/>
      <c r="Y28" s="65" t="n"/>
      <c r="Z28" s="65" t="n"/>
      <c r="AA28" s="65" t="n"/>
      <c r="AB28" s="65" t="n"/>
      <c r="AC28" s="65" t="n"/>
      <c r="AD28" s="65" t="n"/>
      <c r="AE28" s="65" t="n"/>
      <c r="AF28" s="65" t="n"/>
      <c r="AG28" s="65" t="n"/>
      <c r="AH28" s="65" t="n"/>
      <c r="AI28" s="65" t="n"/>
      <c r="AJ28" s="65" t="n"/>
      <c r="AK28" s="65" t="n"/>
      <c r="AL28" s="65" t="n"/>
      <c r="AM28" s="65" t="n"/>
      <c r="AN28" s="65" t="n"/>
      <c r="AO28" s="65" t="n"/>
      <c r="AP28" s="65" t="n"/>
      <c r="AQ28" s="65" t="n"/>
      <c r="AR28" s="65" t="n"/>
      <c r="AS28" s="65" t="n"/>
      <c r="AT28" s="65" t="n"/>
      <c r="AU28" s="65" t="n"/>
      <c r="AV28" s="65" t="n"/>
      <c r="AW28" s="65" t="n"/>
      <c r="AX28" s="65" t="n"/>
      <c r="AY28" s="65" t="n"/>
      <c r="AZ28" s="65" t="n"/>
      <c r="BA28" s="65" t="n"/>
      <c r="BB28" s="65" t="n"/>
      <c r="BC28" s="65" t="n"/>
      <c r="BD28" s="65" t="n"/>
      <c r="BE28" s="65" t="n"/>
      <c r="BF28" s="65" t="n"/>
      <c r="BG28" s="64">
        <f>2500*2+1500</f>
        <v/>
      </c>
      <c r="BH28" s="69" t="inlineStr">
        <is>
          <t>H31.1月分美作2月分先払い</t>
        </is>
      </c>
    </row>
    <row r="29">
      <c r="B29" s="1" t="inlineStr">
        <is>
          <t>フラワーハイツA</t>
        </is>
      </c>
      <c r="D29" s="1" t="inlineStr">
        <is>
          <t>塗装</t>
        </is>
      </c>
      <c r="E29" s="2" t="inlineStr">
        <is>
          <t>1月</t>
        </is>
      </c>
      <c r="F29" s="62" t="n">
        <v>2030000</v>
      </c>
      <c r="G29" s="62">
        <f>IF(B29="","",F29-I29 )</f>
        <v/>
      </c>
      <c r="H29" s="4">
        <f>IF(G29="","",G29/F29)</f>
        <v/>
      </c>
      <c r="I29" s="62">
        <f>SUM(テーブル9[[#This Row],[五大]:[工場材]])</f>
        <v/>
      </c>
      <c r="J29" s="64" t="n">
        <v>220000</v>
      </c>
      <c r="K29" s="65" t="n"/>
      <c r="L29" s="65" t="n"/>
      <c r="M29" s="65" t="n"/>
      <c r="N29" s="65" t="n"/>
      <c r="O29" s="65" t="n"/>
      <c r="P29" s="64" t="n">
        <v>700000</v>
      </c>
      <c r="Q29" s="65" t="n"/>
      <c r="R29" s="64">
        <f>39.6*700</f>
        <v/>
      </c>
      <c r="S29" s="64" t="n">
        <v>35000</v>
      </c>
      <c r="T29" s="65" t="n"/>
      <c r="U29" s="64">
        <f>4600+42000+110800+13500</f>
        <v/>
      </c>
      <c r="V29" s="64" t="n"/>
      <c r="W29" s="65" t="n"/>
      <c r="X29" s="66" t="n"/>
      <c r="Y29" s="65" t="n"/>
      <c r="Z29" s="64" t="n">
        <v>27000</v>
      </c>
      <c r="AA29" s="65" t="n">
        <v>69000</v>
      </c>
      <c r="AB29" s="65" t="n"/>
      <c r="AC29" s="65" t="n"/>
      <c r="AD29" s="65" t="n"/>
      <c r="AE29" s="65" t="n"/>
      <c r="AF29" s="65" t="n"/>
      <c r="AG29" s="65" t="n"/>
      <c r="AH29" s="65" t="n"/>
      <c r="AI29" s="65" t="n"/>
      <c r="AJ29" s="65" t="n"/>
      <c r="AK29" s="65" t="n"/>
      <c r="AL29" s="65" t="n"/>
      <c r="AM29" s="65" t="n"/>
      <c r="AN29" s="65" t="n"/>
      <c r="AO29" s="65" t="n"/>
      <c r="AP29" s="65" t="n"/>
      <c r="AQ29" s="65" t="n"/>
      <c r="AR29" s="65" t="n"/>
      <c r="AS29" s="65" t="n"/>
      <c r="AT29" s="65" t="n"/>
      <c r="AU29" s="65" t="n"/>
      <c r="AV29" s="65" t="n"/>
      <c r="AW29" s="65" t="n"/>
      <c r="AX29" s="65" t="n"/>
      <c r="AY29" s="65" t="n"/>
      <c r="AZ29" s="65" t="n"/>
      <c r="BA29" s="65" t="n"/>
      <c r="BB29" s="65" t="n"/>
      <c r="BC29" s="65" t="n"/>
      <c r="BD29" s="65" t="n"/>
      <c r="BE29" s="65" t="n"/>
      <c r="BF29" s="65" t="n"/>
      <c r="BG29" s="64">
        <f>41580+8910+7000+18000+8000</f>
        <v/>
      </c>
      <c r="BH29" s="65" t="n"/>
    </row>
    <row r="30">
      <c r="B30" s="1" t="inlineStr">
        <is>
          <t>うさちゃん　YB新田東</t>
        </is>
      </c>
      <c r="D30" s="1" t="inlineStr">
        <is>
          <t>改装</t>
        </is>
      </c>
      <c r="E30" s="2" t="inlineStr">
        <is>
          <t>1月</t>
        </is>
      </c>
      <c r="F30" s="62" t="n">
        <v>634000</v>
      </c>
      <c r="G30" s="62">
        <f>IF(B30="","",F30-I30 )</f>
        <v/>
      </c>
      <c r="H30" s="4">
        <f>IF(G30="","",G30/F30)</f>
        <v/>
      </c>
      <c r="I30" s="62">
        <f>SUM(テーブル9[[#This Row],[五大]:[工場材]])</f>
        <v/>
      </c>
      <c r="J30" s="65" t="n"/>
      <c r="K30" s="65" t="n"/>
      <c r="L30" s="65" t="n"/>
      <c r="M30" s="65" t="n"/>
      <c r="N30" s="65" t="n"/>
      <c r="O30" s="65" t="n">
        <v>65000</v>
      </c>
      <c r="P30" s="65" t="n"/>
      <c r="Q30" s="65" t="n"/>
      <c r="R30" s="65" t="n"/>
      <c r="S30" s="65" t="n"/>
      <c r="T30" s="65" t="n"/>
      <c r="U30" s="65" t="n"/>
      <c r="V30" s="65" t="n"/>
      <c r="W30" s="65" t="n"/>
      <c r="X30" s="66" t="n"/>
      <c r="Y30" s="65" t="n"/>
      <c r="Z30" s="65" t="n"/>
      <c r="AA30" s="65" t="n">
        <v>93000</v>
      </c>
      <c r="AB30" s="65" t="n">
        <v>30000</v>
      </c>
      <c r="AC30" s="65" t="n"/>
      <c r="AD30" s="65" t="n"/>
      <c r="AE30" s="65">
        <f>21*3000</f>
        <v/>
      </c>
      <c r="AF30" s="65" t="n"/>
      <c r="AG30" s="65" t="n"/>
      <c r="AH30" s="65" t="n"/>
      <c r="AI30" s="65" t="n"/>
      <c r="AJ30" s="65" t="n"/>
      <c r="AK30" s="65" t="n"/>
      <c r="AL30" s="65" t="n">
        <v>154740</v>
      </c>
      <c r="AM30" s="65" t="n"/>
      <c r="AN30" s="65" t="n"/>
      <c r="AO30" s="65" t="n"/>
      <c r="AP30" s="65" t="n"/>
      <c r="AQ30" s="65" t="n"/>
      <c r="AR30" s="65" t="n"/>
      <c r="AS30" s="65" t="n"/>
      <c r="AT30" s="65" t="n"/>
      <c r="AU30" s="65" t="n"/>
      <c r="AV30" s="65" t="n"/>
      <c r="AW30" s="65" t="n"/>
      <c r="AX30" s="65" t="n"/>
      <c r="AY30" s="65" t="n"/>
      <c r="AZ30" s="65" t="n">
        <v>30000</v>
      </c>
      <c r="BA30" s="65" t="n"/>
      <c r="BB30" s="65" t="n"/>
      <c r="BC30" s="65" t="n"/>
      <c r="BD30" s="65" t="n"/>
      <c r="BE30" s="65" t="n"/>
      <c r="BF30" s="65" t="n"/>
      <c r="BG30" s="64" t="n">
        <v>3000</v>
      </c>
      <c r="BH30" s="65" t="n"/>
    </row>
    <row r="31">
      <c r="B31" s="1" t="inlineStr">
        <is>
          <t>ディアス　ONE</t>
        </is>
      </c>
      <c r="D31" s="1" t="inlineStr">
        <is>
          <t>塗装</t>
        </is>
      </c>
      <c r="E31" s="2" t="inlineStr">
        <is>
          <t>1月</t>
        </is>
      </c>
      <c r="F31" s="62" t="n">
        <v>3190000</v>
      </c>
      <c r="G31" s="62">
        <f>IF(B31="","",F31-I31 )</f>
        <v/>
      </c>
      <c r="H31" s="4">
        <f>IF(G31="","",G31/F31)</f>
        <v/>
      </c>
      <c r="I31" s="62">
        <f>SUM(テーブル9[[#This Row],[五大]:[工場材]])</f>
        <v/>
      </c>
      <c r="J31" s="65" t="n"/>
      <c r="K31" s="65" t="n"/>
      <c r="L31" s="65" t="n"/>
      <c r="M31" s="64" t="n">
        <v>400000</v>
      </c>
      <c r="N31" s="64" t="n"/>
      <c r="O31" s="64" t="n">
        <v>1600000</v>
      </c>
      <c r="P31" s="65" t="n"/>
      <c r="Q31" s="65" t="n"/>
      <c r="R31" s="64" t="n">
        <v>74550</v>
      </c>
      <c r="S31" s="64" t="n">
        <v>35000</v>
      </c>
      <c r="T31" s="65" t="n"/>
      <c r="U31" s="64" t="n">
        <v>334630</v>
      </c>
      <c r="V31" s="64" t="n"/>
      <c r="W31" s="65" t="n">
        <v>15000</v>
      </c>
      <c r="X31" s="66" t="n"/>
      <c r="Y31" s="65" t="n"/>
      <c r="Z31" s="65" t="n"/>
      <c r="AA31" s="64" t="n">
        <v>75000</v>
      </c>
      <c r="AB31" s="65" t="n"/>
      <c r="AC31" s="65" t="n"/>
      <c r="AD31" s="65" t="n"/>
      <c r="AE31" s="65" t="n"/>
      <c r="AF31" s="65" t="n"/>
      <c r="AG31" s="65" t="n"/>
      <c r="AH31" s="65" t="n"/>
      <c r="AI31" s="65" t="n"/>
      <c r="AJ31" s="65" t="n"/>
      <c r="AK31" s="65" t="n"/>
      <c r="AL31" s="65" t="n"/>
      <c r="AM31" s="65" t="n"/>
      <c r="AN31" s="65" t="n"/>
      <c r="AO31" s="65" t="n"/>
      <c r="AP31" s="65" t="n"/>
      <c r="AQ31" s="65" t="n"/>
      <c r="AR31" s="65" t="n"/>
      <c r="AS31" s="65" t="n"/>
      <c r="AT31" s="65" t="n"/>
      <c r="AU31" s="65" t="n"/>
      <c r="AV31" s="65" t="n"/>
      <c r="AW31" s="65" t="n"/>
      <c r="AX31" s="65" t="n"/>
      <c r="AY31" s="65" t="n"/>
      <c r="AZ31" s="65">
        <f>16000+12000+3000+6000</f>
        <v/>
      </c>
      <c r="BA31" s="65" t="n"/>
      <c r="BB31" s="65" t="n"/>
      <c r="BC31" s="65" t="n"/>
      <c r="BD31" s="65" t="n"/>
      <c r="BE31" s="65" t="n"/>
      <c r="BF31" s="65" t="n"/>
      <c r="BG31" s="64" t="n">
        <v>35000</v>
      </c>
      <c r="BH31" s="65" t="n"/>
    </row>
    <row r="32">
      <c r="B32" s="1" t="inlineStr">
        <is>
          <t>ディアス苦竹A</t>
        </is>
      </c>
      <c r="D32" s="1" t="inlineStr">
        <is>
          <t>塗装</t>
        </is>
      </c>
      <c r="E32" s="2" t="inlineStr">
        <is>
          <t>1月</t>
        </is>
      </c>
      <c r="F32" s="68" t="n">
        <v>1520000</v>
      </c>
      <c r="G32" s="62">
        <f>IF(B32="","",F32-I32 )</f>
        <v/>
      </c>
      <c r="H32" s="4">
        <f>IF(G32="","",G32/F32)</f>
        <v/>
      </c>
      <c r="I32" s="62">
        <f>SUM(テーブル9[[#This Row],[五大]:[工場材]])</f>
        <v/>
      </c>
      <c r="J32" s="64" t="n">
        <v>230000</v>
      </c>
      <c r="K32" s="65" t="n"/>
      <c r="L32" s="65" t="n"/>
      <c r="M32" s="65" t="n"/>
      <c r="N32" s="65" t="n"/>
      <c r="O32" s="65" t="n">
        <v>650000</v>
      </c>
      <c r="P32" s="65" t="n"/>
      <c r="Q32" s="65" t="n"/>
      <c r="R32" s="64">
        <f>23*700</f>
        <v/>
      </c>
      <c r="S32" s="64" t="n">
        <v>35000</v>
      </c>
      <c r="T32" s="65" t="n"/>
      <c r="U32" s="64">
        <f>59800+38100</f>
        <v/>
      </c>
      <c r="V32" s="64" t="n"/>
      <c r="W32" s="65" t="n"/>
      <c r="X32" s="66" t="n"/>
      <c r="Y32" s="65" t="n"/>
      <c r="Z32" s="65" t="n"/>
      <c r="AA32" s="64" t="n">
        <v>16000</v>
      </c>
      <c r="AB32" s="65" t="n"/>
      <c r="AC32" s="65" t="n"/>
      <c r="AD32" s="65" t="n"/>
      <c r="AE32" s="65" t="n"/>
      <c r="AF32" s="65" t="n"/>
      <c r="AG32" s="65" t="n"/>
      <c r="AH32" s="65" t="n"/>
      <c r="AI32" s="65" t="n"/>
      <c r="AJ32" s="65" t="n"/>
      <c r="AK32" s="65" t="n"/>
      <c r="AL32" s="65" t="n"/>
      <c r="AM32" s="65" t="n"/>
      <c r="AN32" s="65" t="n"/>
      <c r="AO32" s="65" t="n"/>
      <c r="AP32" s="65" t="n"/>
      <c r="AQ32" s="65" t="n"/>
      <c r="AR32" s="65" t="n"/>
      <c r="AS32" s="65" t="n"/>
      <c r="AT32" s="65" t="n"/>
      <c r="AU32" s="65" t="n"/>
      <c r="AV32" s="65" t="n"/>
      <c r="AW32" s="65" t="n"/>
      <c r="AX32" s="65" t="n"/>
      <c r="AY32" s="65" t="n"/>
      <c r="AZ32" s="65" t="n"/>
      <c r="BA32" s="65" t="n"/>
      <c r="BB32" s="65" t="n"/>
      <c r="BC32" s="65" t="n"/>
      <c r="BD32" s="65" t="n"/>
      <c r="BE32" s="65" t="n"/>
      <c r="BF32" s="65" t="n"/>
      <c r="BG32" s="64" t="n"/>
      <c r="BH32" s="65" t="n"/>
    </row>
    <row r="33">
      <c r="B33" s="22" t="inlineStr">
        <is>
          <t>合計</t>
        </is>
      </c>
      <c r="C33" s="22" t="n"/>
      <c r="F33" s="67">
        <f>SUBTOTAL(109,F28:F32)</f>
        <v/>
      </c>
      <c r="G33" s="67">
        <f>SUBTOTAL(109,G28:G32)</f>
        <v/>
      </c>
      <c r="H33" s="14">
        <f>IF(G33="","",G33/F33)</f>
        <v/>
      </c>
      <c r="I33" s="67">
        <f>SUBTOTAL(109,I28:I32)</f>
        <v/>
      </c>
      <c r="J33" s="64" t="n"/>
      <c r="K33" s="65" t="n"/>
      <c r="L33" s="65" t="n"/>
      <c r="M33" s="65" t="n"/>
      <c r="N33" s="65" t="n"/>
      <c r="O33" s="65" t="n"/>
      <c r="P33" s="65" t="n"/>
      <c r="Q33" s="65" t="n"/>
      <c r="R33" s="65" t="n"/>
      <c r="S33" s="65" t="n"/>
      <c r="T33" s="65" t="n"/>
      <c r="U33" s="65" t="n"/>
      <c r="V33" s="65" t="n"/>
      <c r="W33" s="65" t="n"/>
      <c r="X33" s="66" t="n"/>
      <c r="Y33" s="65" t="n"/>
      <c r="Z33" s="65" t="n"/>
      <c r="AA33" s="65" t="n"/>
      <c r="AB33" s="65" t="n"/>
      <c r="AC33" s="65" t="n"/>
      <c r="AD33" s="65" t="n"/>
      <c r="AE33" s="65" t="n"/>
      <c r="AF33" s="65" t="n"/>
      <c r="AG33" s="65" t="n"/>
      <c r="AH33" s="65" t="n"/>
      <c r="AI33" s="65" t="n"/>
      <c r="AJ33" s="65" t="n"/>
      <c r="AK33" s="65" t="n"/>
      <c r="AL33" s="65" t="n"/>
      <c r="AM33" s="65" t="n"/>
      <c r="AN33" s="65" t="n"/>
      <c r="AO33" s="65" t="n"/>
      <c r="AP33" s="65" t="n"/>
      <c r="AQ33" s="65" t="n"/>
      <c r="AR33" s="65" t="n"/>
      <c r="AS33" s="65" t="n"/>
      <c r="AT33" s="65" t="n"/>
      <c r="AU33" s="65" t="n"/>
      <c r="AV33" s="65" t="n"/>
      <c r="AW33" s="65" t="n"/>
      <c r="AX33" s="65" t="n"/>
      <c r="AY33" s="65" t="n"/>
      <c r="AZ33" s="65" t="n"/>
      <c r="BA33" s="65" t="n"/>
      <c r="BB33" s="65" t="n"/>
      <c r="BC33" s="65" t="n"/>
      <c r="BD33" s="65" t="n"/>
      <c r="BE33" s="65" t="n"/>
      <c r="BF33" s="65" t="n"/>
      <c r="BG33" s="64" t="n"/>
      <c r="BH33" s="65" t="n"/>
    </row>
    <row r="34">
      <c r="F34" s="68" t="n"/>
      <c r="G34" s="62">
        <f>IF(B34="","",F34-I34 )</f>
        <v/>
      </c>
      <c r="H34" s="4">
        <f>IF(G34="","",G34/F34)</f>
        <v/>
      </c>
      <c r="J34" s="65" t="n"/>
      <c r="K34" s="65" t="n"/>
      <c r="L34" s="65" t="n"/>
      <c r="M34" s="65" t="n"/>
      <c r="N34" s="65" t="n"/>
      <c r="O34" s="65" t="n"/>
      <c r="P34" s="65" t="n"/>
      <c r="Q34" s="65" t="n"/>
      <c r="R34" s="65" t="n"/>
      <c r="S34" s="65" t="n"/>
      <c r="T34" s="65" t="n"/>
      <c r="U34" s="65" t="n"/>
      <c r="V34" s="65" t="n"/>
      <c r="W34" s="65" t="n"/>
      <c r="X34" s="66" t="n"/>
      <c r="Y34" s="65" t="n"/>
      <c r="Z34" s="65" t="n"/>
      <c r="AA34" s="65" t="n"/>
      <c r="AB34" s="65" t="n"/>
      <c r="AC34" s="65" t="n"/>
      <c r="AD34" s="65" t="n"/>
      <c r="AE34" s="65" t="n"/>
      <c r="AF34" s="65" t="n"/>
      <c r="AG34" s="65" t="n"/>
      <c r="AH34" s="65" t="n"/>
      <c r="AI34" s="65" t="n"/>
      <c r="AJ34" s="65" t="n"/>
      <c r="AK34" s="65" t="n"/>
      <c r="AL34" s="65" t="n"/>
      <c r="AM34" s="65" t="n"/>
      <c r="AN34" s="65" t="n"/>
      <c r="AO34" s="65" t="n"/>
      <c r="AP34" s="65" t="n"/>
      <c r="AQ34" s="65" t="n"/>
      <c r="AR34" s="65" t="n"/>
      <c r="AS34" s="65" t="n"/>
      <c r="AT34" s="65" t="n"/>
      <c r="AU34" s="65" t="n"/>
      <c r="AV34" s="65" t="n"/>
      <c r="AW34" s="65" t="n"/>
      <c r="AX34" s="65" t="n"/>
      <c r="AY34" s="65" t="n"/>
      <c r="AZ34" s="65" t="n"/>
      <c r="BA34" s="65" t="n"/>
      <c r="BB34" s="65" t="n"/>
      <c r="BC34" s="65" t="n"/>
      <c r="BD34" s="65" t="n"/>
      <c r="BE34" s="65" t="n"/>
      <c r="BF34" s="65" t="n"/>
      <c r="BG34" s="64" t="n"/>
      <c r="BH34" s="65" t="n"/>
    </row>
    <row r="35">
      <c r="F35" s="68" t="n"/>
      <c r="G35" s="62">
        <f>IF(B35="","",F35-I35 )</f>
        <v/>
      </c>
      <c r="H35" s="4">
        <f>IF(G35="","",G35/F35)</f>
        <v/>
      </c>
      <c r="J35" s="65" t="n"/>
      <c r="K35" s="65" t="n"/>
      <c r="L35" s="65" t="n"/>
      <c r="M35" s="65" t="n"/>
      <c r="N35" s="65" t="n"/>
      <c r="O35" s="65" t="n"/>
      <c r="P35" s="65" t="n"/>
      <c r="Q35" s="65" t="n"/>
      <c r="R35" s="65" t="n"/>
      <c r="S35" s="65" t="n"/>
      <c r="T35" s="65" t="n"/>
      <c r="U35" s="65" t="n"/>
      <c r="V35" s="65" t="n"/>
      <c r="W35" s="65" t="n"/>
      <c r="X35" s="66" t="n"/>
      <c r="Y35" s="65" t="n"/>
      <c r="Z35" s="65" t="n"/>
      <c r="AA35" s="65" t="n"/>
      <c r="AB35" s="65" t="n"/>
      <c r="AC35" s="65" t="n"/>
      <c r="AD35" s="65" t="n"/>
      <c r="AE35" s="65" t="n"/>
      <c r="AF35" s="65" t="n"/>
      <c r="AG35" s="65" t="n"/>
      <c r="AH35" s="65" t="n"/>
      <c r="AI35" s="65" t="n"/>
      <c r="AJ35" s="65" t="n"/>
      <c r="AK35" s="65" t="n"/>
      <c r="AL35" s="65" t="n"/>
      <c r="AM35" s="65" t="n"/>
      <c r="AN35" s="65" t="n"/>
      <c r="AO35" s="65" t="n"/>
      <c r="AP35" s="65" t="n"/>
      <c r="AQ35" s="65" t="n"/>
      <c r="AR35" s="65" t="n"/>
      <c r="AS35" s="65" t="n"/>
      <c r="AT35" s="65" t="n"/>
      <c r="AU35" s="65" t="n"/>
      <c r="AV35" s="65" t="n"/>
      <c r="AW35" s="65" t="n"/>
      <c r="AX35" s="65" t="n"/>
      <c r="AY35" s="65" t="n"/>
      <c r="AZ35" s="65" t="n"/>
      <c r="BA35" s="65" t="n"/>
      <c r="BB35" s="65" t="n"/>
      <c r="BC35" s="65" t="n"/>
      <c r="BD35" s="65" t="n"/>
      <c r="BE35" s="65" t="n"/>
      <c r="BF35" s="65" t="n"/>
      <c r="BG35" s="64" t="n"/>
      <c r="BH35" s="65" t="n"/>
    </row>
    <row r="36">
      <c r="A36" s="0" t="inlineStr">
        <is>
          <t>H31.3</t>
        </is>
      </c>
      <c r="B36" s="1" t="inlineStr">
        <is>
          <t>ビラージュ八幡</t>
        </is>
      </c>
      <c r="D36" s="1" t="inlineStr">
        <is>
          <t>塗装</t>
        </is>
      </c>
      <c r="E36" s="2" t="inlineStr">
        <is>
          <t>2月</t>
        </is>
      </c>
      <c r="F36" s="68" t="n">
        <v>1700000</v>
      </c>
      <c r="G36" s="62">
        <f>IF(B36="","",F36-I36 )</f>
        <v/>
      </c>
      <c r="H36" s="4">
        <f>IF(G36="","",G36/F36)</f>
        <v/>
      </c>
      <c r="I36" s="62">
        <f>SUM(テーブル9[[#This Row],[五大]:[工場材]])</f>
        <v/>
      </c>
      <c r="J36" s="64" t="n">
        <v>250000</v>
      </c>
      <c r="K36" s="65" t="n"/>
      <c r="L36" s="65" t="n"/>
      <c r="M36" s="65" t="n"/>
      <c r="N36" s="65" t="n"/>
      <c r="O36" s="65" t="n">
        <v>700000</v>
      </c>
      <c r="P36" s="65" t="n"/>
      <c r="Q36" s="65" t="n"/>
      <c r="R36" s="64">
        <f>30*700</f>
        <v/>
      </c>
      <c r="S36" s="64" t="n">
        <v>35000</v>
      </c>
      <c r="T36" s="65" t="n"/>
      <c r="U36" s="64" t="n">
        <v>98200</v>
      </c>
      <c r="V36" s="64" t="n"/>
      <c r="W36" s="65">
        <f>3500*35</f>
        <v/>
      </c>
      <c r="X36" s="66" t="n"/>
      <c r="Y36" s="65" t="n"/>
      <c r="Z36" s="65" t="n"/>
      <c r="AA36" s="65" t="n"/>
      <c r="AB36" s="65" t="n"/>
      <c r="AC36" s="65" t="n"/>
      <c r="AD36" s="65" t="n"/>
      <c r="AE36" s="65" t="n"/>
      <c r="AF36" s="65" t="n"/>
      <c r="AG36" s="65" t="n"/>
      <c r="AH36" s="65" t="n"/>
      <c r="AI36" s="65" t="n"/>
      <c r="AJ36" s="65" t="n"/>
      <c r="AK36" s="65" t="n"/>
      <c r="AL36" s="65" t="n"/>
      <c r="AM36" s="65" t="n"/>
      <c r="AN36" s="65" t="n"/>
      <c r="AO36" s="65" t="n"/>
      <c r="AP36" s="65" t="n"/>
      <c r="AQ36" s="65" t="n"/>
      <c r="AR36" s="65" t="n"/>
      <c r="AS36" s="65" t="n"/>
      <c r="AT36" s="65" t="n"/>
      <c r="AU36" s="64" t="n">
        <v>56000</v>
      </c>
      <c r="AV36" s="64" t="n"/>
      <c r="AW36" s="64" t="n"/>
      <c r="AX36" s="64" t="n"/>
      <c r="AY36" s="64" t="n"/>
      <c r="AZ36" s="65" t="n"/>
      <c r="BA36" s="65" t="n"/>
      <c r="BB36" s="65" t="n"/>
      <c r="BC36" s="65" t="n"/>
      <c r="BD36" s="65" t="n"/>
      <c r="BE36" s="65" t="n"/>
      <c r="BF36" s="65" t="n"/>
      <c r="BG36" s="64" t="n"/>
      <c r="BH36" s="65" t="n"/>
    </row>
    <row r="37">
      <c r="B37" s="1" t="inlineStr">
        <is>
          <t>ディアスTHREE</t>
        </is>
      </c>
      <c r="D37" s="1" t="inlineStr">
        <is>
          <t>塗装</t>
        </is>
      </c>
      <c r="E37" s="2" t="inlineStr">
        <is>
          <t>2月</t>
        </is>
      </c>
      <c r="F37" s="68" t="n">
        <v>3088000</v>
      </c>
      <c r="G37" s="62">
        <f>IF(B37="","",F37-I37 )</f>
        <v/>
      </c>
      <c r="H37" s="4">
        <f>IF(G37="","",G37/F37)</f>
        <v/>
      </c>
      <c r="I37" s="62">
        <f>SUM(テーブル9[[#This Row],[五大]:[工場材]])</f>
        <v/>
      </c>
      <c r="J37" s="65" t="n"/>
      <c r="K37" s="65" t="n"/>
      <c r="L37" s="65" t="n"/>
      <c r="M37" s="64" t="n">
        <v>320000</v>
      </c>
      <c r="N37" s="64" t="n"/>
      <c r="O37" s="65" t="n">
        <v>1500000</v>
      </c>
      <c r="P37" s="65" t="n"/>
      <c r="Q37" s="65" t="n"/>
      <c r="R37" s="64" t="n">
        <v>82600</v>
      </c>
      <c r="S37" s="64" t="n">
        <v>35000</v>
      </c>
      <c r="T37" s="65" t="n"/>
      <c r="U37" s="64" t="n">
        <v>116100</v>
      </c>
      <c r="V37" s="64" t="n"/>
      <c r="W37" s="65" t="n"/>
      <c r="X37" s="66" t="n"/>
      <c r="Y37" s="65" t="n"/>
      <c r="Z37" s="65" t="n"/>
      <c r="AA37" s="65" t="n">
        <v>60000</v>
      </c>
      <c r="AB37" s="65" t="n"/>
      <c r="AC37" s="65" t="n"/>
      <c r="AD37" s="65" t="n"/>
      <c r="AE37" s="65" t="n"/>
      <c r="AF37" s="65" t="n"/>
      <c r="AG37" s="65" t="n"/>
      <c r="AH37" s="65" t="n"/>
      <c r="AI37" s="65" t="n"/>
      <c r="AJ37" s="65" t="n"/>
      <c r="AK37" s="65" t="n"/>
      <c r="AL37" s="65" t="n"/>
      <c r="AM37" s="65" t="n"/>
      <c r="AN37" s="65" t="n"/>
      <c r="AO37" s="65" t="n"/>
      <c r="AP37" s="65" t="n"/>
      <c r="AQ37" s="65" t="n"/>
      <c r="AR37" s="65" t="n"/>
      <c r="AS37" s="65" t="n"/>
      <c r="AT37" s="65" t="n"/>
      <c r="AU37" s="65" t="n"/>
      <c r="AV37" s="65" t="n"/>
      <c r="AW37" s="65" t="n"/>
      <c r="AX37" s="65" t="n"/>
      <c r="AY37" s="65" t="n"/>
      <c r="AZ37" s="65" t="n"/>
      <c r="BA37" s="65" t="n"/>
      <c r="BB37" s="65" t="n"/>
      <c r="BC37" s="65" t="n"/>
      <c r="BD37" s="65" t="n"/>
      <c r="BE37" s="65" t="n"/>
      <c r="BF37" s="65" t="n"/>
      <c r="BG37" s="64" t="n">
        <v>20000</v>
      </c>
      <c r="BH37" s="65" t="n"/>
    </row>
    <row r="38">
      <c r="B38" s="1" t="inlineStr">
        <is>
          <t>パステ-ルハウスA・B</t>
        </is>
      </c>
      <c r="D38" s="1" t="inlineStr">
        <is>
          <t>塗装</t>
        </is>
      </c>
      <c r="E38" s="2" t="inlineStr">
        <is>
          <t>2月</t>
        </is>
      </c>
      <c r="F38" s="68">
        <f>1560000+1404000</f>
        <v/>
      </c>
      <c r="G38" s="62">
        <f>IF(B38="","",F38-I38 )</f>
        <v/>
      </c>
      <c r="H38" s="4">
        <f>IF(G38="","",G38/F38)</f>
        <v/>
      </c>
      <c r="I38" s="62">
        <f>SUM(テーブル9[[#This Row],[五大]:[工場材]])</f>
        <v/>
      </c>
      <c r="J38" s="65" t="n"/>
      <c r="K38" s="65">
        <f>880*500</f>
        <v/>
      </c>
      <c r="L38" s="65" t="n"/>
      <c r="M38" s="65" t="n"/>
      <c r="N38" s="65" t="n"/>
      <c r="O38" s="65" t="n"/>
      <c r="P38" s="64" t="n">
        <v>1400000</v>
      </c>
      <c r="Q38" s="65" t="n"/>
      <c r="R38" s="64">
        <f>68600*2</f>
        <v/>
      </c>
      <c r="S38" s="65" t="n"/>
      <c r="T38" s="65" t="n"/>
      <c r="U38" s="64">
        <f>63500+132300+25400+16600</f>
        <v/>
      </c>
      <c r="V38" s="64" t="n"/>
      <c r="W38" s="65" t="n"/>
      <c r="X38" s="66" t="n"/>
      <c r="Y38" s="65" t="n"/>
      <c r="Z38" s="65" t="n"/>
      <c r="AA38" s="65" t="n"/>
      <c r="AB38" s="65" t="n"/>
      <c r="AC38" s="65" t="n"/>
      <c r="AD38" s="65" t="n"/>
      <c r="AE38" s="65" t="n"/>
      <c r="AF38" s="65" t="n"/>
      <c r="AG38" s="65" t="n"/>
      <c r="AH38" s="65" t="n"/>
      <c r="AI38" s="65" t="n"/>
      <c r="AJ38" s="65" t="n"/>
      <c r="AK38" s="65" t="n"/>
      <c r="AL38" s="65" t="n"/>
      <c r="AM38" s="64" t="n">
        <v>15000</v>
      </c>
      <c r="AN38" s="64" t="n"/>
      <c r="AO38" s="65" t="n"/>
      <c r="AP38" s="65" t="n"/>
      <c r="AQ38" s="65" t="n"/>
      <c r="AR38" s="65" t="n"/>
      <c r="AS38" s="65" t="n"/>
      <c r="AT38" s="65" t="n"/>
      <c r="AU38" s="65" t="n"/>
      <c r="AV38" s="65" t="n"/>
      <c r="AW38" s="65" t="n"/>
      <c r="AX38" s="65" t="n"/>
      <c r="AY38" s="65" t="n"/>
      <c r="AZ38" s="65" t="n"/>
      <c r="BA38" s="65" t="n"/>
      <c r="BB38" s="65" t="n"/>
      <c r="BC38" s="65" t="n"/>
      <c r="BD38" s="65" t="n"/>
      <c r="BE38" s="65" t="n"/>
      <c r="BF38" s="65" t="n"/>
      <c r="BG38" s="64" t="n"/>
      <c r="BH38" s="65" t="n"/>
    </row>
    <row r="39">
      <c r="B39" s="1" t="inlineStr">
        <is>
          <t>コインランドリーJabba</t>
        </is>
      </c>
      <c r="D39" s="1" t="inlineStr">
        <is>
          <t>新築</t>
        </is>
      </c>
      <c r="E39" s="2" t="inlineStr">
        <is>
          <t>2月</t>
        </is>
      </c>
      <c r="F39" s="68" t="n">
        <v>3700000</v>
      </c>
      <c r="G39" s="62">
        <f>IF(B39="","",F39-I39 )</f>
        <v/>
      </c>
      <c r="H39" s="4">
        <f>IF(G39="","",G39/F39)</f>
        <v/>
      </c>
      <c r="I39" s="62">
        <f>SUM(テーブル9[[#This Row],[五大]:[工場材]])</f>
        <v/>
      </c>
      <c r="J39" s="65" t="n"/>
      <c r="K39" s="65" t="n"/>
      <c r="L39" s="65" t="n"/>
      <c r="M39" s="65" t="n"/>
      <c r="N39" s="65" t="n"/>
      <c r="O39" s="65" t="n">
        <v>60000</v>
      </c>
      <c r="P39" s="65" t="n"/>
      <c r="Q39" s="65" t="n"/>
      <c r="R39" s="65" t="n"/>
      <c r="S39" s="65" t="n">
        <v>8000</v>
      </c>
      <c r="T39" s="65" t="n"/>
      <c r="U39" s="65" t="n"/>
      <c r="V39" s="65" t="n"/>
      <c r="W39" s="65">
        <f>600000+74749</f>
        <v/>
      </c>
      <c r="X39" s="66" t="n"/>
      <c r="Y39" s="65" t="n"/>
      <c r="Z39" s="65" t="n"/>
      <c r="AA39" s="64" t="n">
        <v>1042800</v>
      </c>
      <c r="AB39" s="65" t="n">
        <v>151500</v>
      </c>
      <c r="AC39" s="65" t="n"/>
      <c r="AD39" s="65" t="n"/>
      <c r="AE39" s="65" t="n">
        <v>256718</v>
      </c>
      <c r="AF39" s="65" t="n"/>
      <c r="AG39" s="65" t="n"/>
      <c r="AH39" s="65" t="n">
        <v>454750</v>
      </c>
      <c r="AI39" s="65" t="n"/>
      <c r="AJ39" s="65" t="n"/>
      <c r="AK39" s="65" t="n"/>
      <c r="AL39" s="65" t="n"/>
      <c r="AM39" s="65" t="n"/>
      <c r="AN39" s="64" t="n">
        <v>313000</v>
      </c>
      <c r="AO39" s="65" t="n"/>
      <c r="AP39" s="65" t="n"/>
      <c r="AQ39" s="65" t="n"/>
      <c r="AR39" s="65" t="n"/>
      <c r="AS39" s="65" t="n"/>
      <c r="AT39" s="65" t="n"/>
      <c r="AU39" s="65" t="n"/>
      <c r="AV39" s="65" t="n"/>
      <c r="AW39" s="65" t="n"/>
      <c r="AX39" s="65" t="n"/>
      <c r="AY39" s="65" t="n"/>
      <c r="AZ39" s="65" t="n">
        <v>100000</v>
      </c>
      <c r="BA39" s="65" t="n"/>
      <c r="BB39" s="65" t="n"/>
      <c r="BC39" s="65" t="n"/>
      <c r="BD39" s="65" t="n"/>
      <c r="BE39" s="65" t="n"/>
      <c r="BF39" s="65" t="n"/>
      <c r="BG39" s="64" t="n">
        <v>130000</v>
      </c>
      <c r="BH39" s="65" t="n"/>
    </row>
    <row r="40">
      <c r="B40" s="22" t="inlineStr">
        <is>
          <t>合計</t>
        </is>
      </c>
      <c r="C40" s="22" t="n"/>
      <c r="F40" s="67">
        <f>SUBTOTAL(109,F36:F39)</f>
        <v/>
      </c>
      <c r="G40" s="67">
        <f>SUBTOTAL(109,G36:G39)</f>
        <v/>
      </c>
      <c r="H40" s="14">
        <f>IF(G40="","",G40/F40)</f>
        <v/>
      </c>
      <c r="I40" s="67">
        <f>SUBTOTAL(109,I36:I39)</f>
        <v/>
      </c>
      <c r="J40" s="64" t="n"/>
      <c r="K40" s="65" t="n"/>
      <c r="L40" s="65" t="n"/>
      <c r="M40" s="65" t="n"/>
      <c r="N40" s="65" t="n"/>
      <c r="O40" s="65" t="n"/>
      <c r="P40" s="65" t="n"/>
      <c r="Q40" s="65" t="n"/>
      <c r="R40" s="65" t="n"/>
      <c r="S40" s="65" t="n"/>
      <c r="T40" s="65" t="n"/>
      <c r="U40" s="65" t="n"/>
      <c r="V40" s="65" t="n"/>
      <c r="W40" s="65" t="n"/>
      <c r="X40" s="66" t="n"/>
      <c r="Y40" s="65" t="n"/>
      <c r="Z40" s="65" t="n"/>
      <c r="AA40" s="65" t="n"/>
      <c r="AB40" s="65" t="n"/>
      <c r="AC40" s="65" t="n"/>
      <c r="AD40" s="65" t="n"/>
      <c r="AE40" s="65" t="n"/>
      <c r="AF40" s="65" t="n"/>
      <c r="AG40" s="65" t="n"/>
      <c r="AH40" s="65" t="n"/>
      <c r="AI40" s="65" t="n"/>
      <c r="AJ40" s="65" t="n"/>
      <c r="AK40" s="65" t="n"/>
      <c r="AL40" s="65" t="n"/>
      <c r="AM40" s="65" t="n"/>
      <c r="AN40" s="65" t="n"/>
      <c r="AO40" s="65" t="n"/>
      <c r="AP40" s="65" t="n"/>
      <c r="AQ40" s="65" t="n"/>
      <c r="AR40" s="65" t="n"/>
      <c r="AS40" s="65" t="n"/>
      <c r="AT40" s="65" t="n"/>
      <c r="AU40" s="65" t="n"/>
      <c r="AV40" s="65" t="n"/>
      <c r="AW40" s="65" t="n"/>
      <c r="AX40" s="65" t="n"/>
      <c r="AY40" s="65" t="n"/>
      <c r="AZ40" s="65" t="n"/>
      <c r="BA40" s="65" t="n"/>
      <c r="BB40" s="65" t="n"/>
      <c r="BC40" s="65" t="n"/>
      <c r="BD40" s="65" t="n"/>
      <c r="BE40" s="65" t="n"/>
      <c r="BF40" s="65" t="n"/>
      <c r="BG40" s="64" t="n"/>
      <c r="BH40" s="65" t="n"/>
    </row>
    <row r="41">
      <c r="F41" s="68" t="n"/>
      <c r="G41" s="62">
        <f>IF(B41="","",F41-I41 )</f>
        <v/>
      </c>
      <c r="H41" s="4">
        <f>IF(G41="","",G41/F41)</f>
        <v/>
      </c>
      <c r="I41" s="62">
        <f>SUM(テーブル9[[#This Row],[五大]:[工場材]])</f>
        <v/>
      </c>
      <c r="J41" s="65" t="n"/>
      <c r="K41" s="65" t="n"/>
      <c r="L41" s="65" t="n"/>
      <c r="M41" s="65" t="n"/>
      <c r="N41" s="65" t="n"/>
      <c r="O41" s="65" t="n"/>
      <c r="P41" s="65" t="n"/>
      <c r="Q41" s="65" t="n"/>
      <c r="R41" s="65" t="n"/>
      <c r="S41" s="65" t="n"/>
      <c r="T41" s="65" t="n"/>
      <c r="U41" s="65" t="n"/>
      <c r="V41" s="65" t="n"/>
      <c r="W41" s="65" t="n"/>
      <c r="X41" s="66" t="n"/>
      <c r="Y41" s="65" t="n"/>
      <c r="Z41" s="65" t="n"/>
      <c r="AA41" s="65" t="n"/>
      <c r="AB41" s="65" t="n"/>
      <c r="AC41" s="65" t="n"/>
      <c r="AD41" s="65" t="n"/>
      <c r="AE41" s="65" t="n"/>
      <c r="AF41" s="65" t="n"/>
      <c r="AG41" s="65" t="n"/>
      <c r="AH41" s="65" t="n"/>
      <c r="AI41" s="65" t="n"/>
      <c r="AJ41" s="65" t="n"/>
      <c r="AK41" s="65" t="n"/>
      <c r="AL41" s="65" t="n"/>
      <c r="AM41" s="65" t="n"/>
      <c r="AN41" s="65" t="n"/>
      <c r="AO41" s="65" t="n"/>
      <c r="AP41" s="65" t="n"/>
      <c r="AQ41" s="65" t="n"/>
      <c r="AR41" s="65" t="n"/>
      <c r="AS41" s="65" t="n"/>
      <c r="AT41" s="65" t="n"/>
      <c r="AU41" s="65" t="n"/>
      <c r="AV41" s="65" t="n"/>
      <c r="AW41" s="65" t="n"/>
      <c r="AX41" s="65" t="n"/>
      <c r="AY41" s="65" t="n"/>
      <c r="AZ41" s="65" t="n"/>
      <c r="BA41" s="65" t="n"/>
      <c r="BB41" s="65" t="n"/>
      <c r="BC41" s="65" t="n"/>
      <c r="BD41" s="65" t="n"/>
      <c r="BE41" s="65" t="n"/>
      <c r="BF41" s="65" t="n"/>
      <c r="BG41" s="64" t="n"/>
      <c r="BH41" s="65" t="n"/>
    </row>
    <row r="42">
      <c r="A42" s="0" t="inlineStr">
        <is>
          <t>Ｈ31.4</t>
        </is>
      </c>
      <c r="B42" s="1" t="inlineStr">
        <is>
          <t>シャーメゾンＫ</t>
        </is>
      </c>
      <c r="D42" s="1" t="inlineStr">
        <is>
          <t>塗装</t>
        </is>
      </c>
      <c r="E42" s="2" t="inlineStr">
        <is>
          <t>3月</t>
        </is>
      </c>
      <c r="F42" s="68" t="n">
        <v>1820000</v>
      </c>
      <c r="G42" s="62">
        <f>IF(B42="","",F42-I42 )</f>
        <v/>
      </c>
      <c r="H42" s="4">
        <f>IF(G42="","",G42/F42)</f>
        <v/>
      </c>
      <c r="I42" s="62">
        <f>SUM(テーブル9[[#This Row],[五大]:[工場材]])</f>
        <v/>
      </c>
      <c r="J42" s="65" t="n"/>
      <c r="K42" s="64" t="n">
        <v>276000</v>
      </c>
      <c r="L42" s="64" t="n"/>
      <c r="M42" s="65" t="n"/>
      <c r="N42" s="65" t="n"/>
      <c r="O42" s="65" t="n"/>
      <c r="P42" s="65" t="n">
        <v>850000</v>
      </c>
      <c r="Q42" s="65" t="n"/>
      <c r="R42" s="64" t="n">
        <v>45000</v>
      </c>
      <c r="S42" s="64" t="n">
        <v>35000</v>
      </c>
      <c r="T42" s="65" t="n"/>
      <c r="U42" s="64">
        <f>44000+38100</f>
        <v/>
      </c>
      <c r="V42" s="64" t="n"/>
      <c r="W42" s="65" t="n"/>
      <c r="X42" s="66" t="n"/>
      <c r="Y42" s="65" t="n"/>
      <c r="Z42" s="65" t="n"/>
      <c r="AA42" s="64" t="n">
        <v>21000</v>
      </c>
      <c r="AB42" s="65" t="n"/>
      <c r="AC42" s="65" t="n"/>
      <c r="AD42" s="65" t="n"/>
      <c r="AE42" s="65" t="n"/>
      <c r="AF42" s="65" t="n"/>
      <c r="AG42" s="65" t="n"/>
      <c r="AH42" s="65" t="n"/>
      <c r="AI42" s="65" t="n"/>
      <c r="AJ42" s="65" t="n"/>
      <c r="AK42" s="65" t="n"/>
      <c r="AL42" s="65" t="n"/>
      <c r="AM42" s="65" t="n"/>
      <c r="AN42" s="65" t="n"/>
      <c r="AO42" s="65" t="n"/>
      <c r="AP42" s="65" t="n"/>
      <c r="AQ42" s="65" t="n"/>
      <c r="AR42" s="65" t="n"/>
      <c r="AS42" s="65" t="n"/>
      <c r="AT42" s="65" t="n"/>
      <c r="AU42" s="65" t="n"/>
      <c r="AV42" s="65" t="n"/>
      <c r="AW42" s="65" t="n"/>
      <c r="AX42" s="65" t="n"/>
      <c r="AY42" s="65" t="n"/>
      <c r="AZ42" s="65" t="n"/>
      <c r="BA42" s="65" t="n"/>
      <c r="BB42" s="65" t="n"/>
      <c r="BC42" s="65" t="n"/>
      <c r="BD42" s="65" t="n"/>
      <c r="BE42" s="65" t="n"/>
      <c r="BF42" s="65" t="n"/>
      <c r="BG42" s="64" t="n">
        <v>45000</v>
      </c>
      <c r="BH42" s="65" t="n"/>
    </row>
    <row r="43">
      <c r="B43" s="1" t="inlineStr">
        <is>
          <t>ディアスＦＩＶＥ</t>
        </is>
      </c>
      <c r="D43" s="1" t="inlineStr">
        <is>
          <t>塗装</t>
        </is>
      </c>
      <c r="E43" s="2" t="inlineStr">
        <is>
          <t>3月</t>
        </is>
      </c>
      <c r="F43" s="68" t="n">
        <v>1816000</v>
      </c>
      <c r="G43" s="62">
        <f>IF(B43="","",F43-I43 )</f>
        <v/>
      </c>
      <c r="H43" s="4">
        <f>IF(G43="","",G43/F43)</f>
        <v/>
      </c>
      <c r="I43" s="62">
        <f>SUM(テーブル9[[#This Row],[五大]:[工場材]])</f>
        <v/>
      </c>
      <c r="J43" s="65" t="n"/>
      <c r="K43" s="65" t="n"/>
      <c r="L43" s="65" t="n"/>
      <c r="M43" s="64" t="n">
        <v>245000</v>
      </c>
      <c r="N43" s="64" t="n"/>
      <c r="O43" s="64" t="n">
        <v>950000</v>
      </c>
      <c r="P43" s="65" t="n"/>
      <c r="Q43" s="65" t="n"/>
      <c r="R43" s="64" t="n">
        <v>27300</v>
      </c>
      <c r="S43" s="65" t="n"/>
      <c r="T43" s="65" t="n"/>
      <c r="U43" s="64">
        <f>22600+29900</f>
        <v/>
      </c>
      <c r="V43" s="64" t="n"/>
      <c r="W43" s="65" t="n"/>
      <c r="X43" s="66" t="n"/>
      <c r="Y43" s="65" t="n"/>
      <c r="Z43" s="65" t="n"/>
      <c r="AA43" s="64" t="n">
        <v>28000</v>
      </c>
      <c r="AB43" s="65" t="n"/>
      <c r="AC43" s="65" t="n"/>
      <c r="AD43" s="65" t="n"/>
      <c r="AE43" s="65" t="n"/>
      <c r="AF43" s="65" t="n"/>
      <c r="AG43" s="65" t="n"/>
      <c r="AH43" s="65" t="n"/>
      <c r="AI43" s="65" t="n"/>
      <c r="AJ43" s="65" t="n"/>
      <c r="AK43" s="65" t="n"/>
      <c r="AL43" s="65" t="n"/>
      <c r="AM43" s="65" t="n"/>
      <c r="AN43" s="65" t="n"/>
      <c r="AO43" s="65" t="n"/>
      <c r="AP43" s="65" t="n"/>
      <c r="AQ43" s="65" t="n"/>
      <c r="AR43" s="65" t="n"/>
      <c r="AS43" s="65" t="n"/>
      <c r="AT43" s="65" t="n"/>
      <c r="AU43" s="65" t="n"/>
      <c r="AV43" s="65" t="n"/>
      <c r="AW43" s="65" t="n"/>
      <c r="AX43" s="65" t="n"/>
      <c r="AY43" s="65" t="n"/>
      <c r="AZ43" s="65" t="n"/>
      <c r="BA43" s="65" t="n"/>
      <c r="BB43" s="65" t="n"/>
      <c r="BC43" s="65" t="n"/>
      <c r="BD43" s="65" t="n"/>
      <c r="BE43" s="65" t="n"/>
      <c r="BF43" s="65" t="n"/>
      <c r="BG43" s="64">
        <f>48000+4000</f>
        <v/>
      </c>
      <c r="BH43" s="65" t="n"/>
    </row>
    <row r="44">
      <c r="B44" s="1" t="inlineStr">
        <is>
          <t>ベルタウンⅢ</t>
        </is>
      </c>
      <c r="D44" s="1" t="inlineStr">
        <is>
          <t>塗装</t>
        </is>
      </c>
      <c r="E44" s="2" t="inlineStr">
        <is>
          <t>3月</t>
        </is>
      </c>
      <c r="F44" s="68" t="n">
        <v>2250000</v>
      </c>
      <c r="G44" s="62">
        <f>IF(B44="","",F44-I44 )</f>
        <v/>
      </c>
      <c r="H44" s="4">
        <f>IF(G44="","",G44/F44)</f>
        <v/>
      </c>
      <c r="I44" s="62">
        <f>SUM(テーブル9[[#This Row],[五大]:[工場材]])</f>
        <v/>
      </c>
      <c r="J44" s="65">
        <f>408*650</f>
        <v/>
      </c>
      <c r="K44" s="65" t="n"/>
      <c r="L44" s="65" t="n"/>
      <c r="M44" s="65" t="n"/>
      <c r="N44" s="65" t="n"/>
      <c r="O44" s="65" t="n">
        <v>900000</v>
      </c>
      <c r="P44" s="65" t="n"/>
      <c r="Q44" s="65" t="n"/>
      <c r="R44" s="64" t="n">
        <v>53200</v>
      </c>
      <c r="S44" s="64" t="n">
        <v>35000</v>
      </c>
      <c r="T44" s="65" t="n"/>
      <c r="U44" s="64">
        <f>13800+93600+14700</f>
        <v/>
      </c>
      <c r="V44" s="64" t="n"/>
      <c r="W44" s="65" t="n"/>
      <c r="X44" s="66" t="n"/>
      <c r="Y44" s="65" t="n"/>
      <c r="Z44" s="65" t="n"/>
      <c r="AA44" s="64" t="n">
        <v>14000</v>
      </c>
      <c r="AB44" s="65" t="n"/>
      <c r="AC44" s="65" t="n"/>
      <c r="AD44" s="65" t="n"/>
      <c r="AE44" s="65" t="n"/>
      <c r="AF44" s="65" t="n"/>
      <c r="AG44" s="65" t="n"/>
      <c r="AH44" s="65" t="n"/>
      <c r="AI44" s="65" t="n"/>
      <c r="AJ44" s="65" t="n"/>
      <c r="AK44" s="65" t="n"/>
      <c r="AL44" s="65" t="n"/>
      <c r="AM44" s="65" t="n"/>
      <c r="AN44" s="65" t="n"/>
      <c r="AO44" s="65" t="n"/>
      <c r="AP44" s="65" t="n"/>
      <c r="AQ44" s="65" t="n"/>
      <c r="AR44" s="65" t="n"/>
      <c r="AS44" s="65" t="n"/>
      <c r="AT44" s="65" t="n"/>
      <c r="AU44" s="64">
        <f>14000*8</f>
        <v/>
      </c>
      <c r="AV44" s="64" t="n"/>
      <c r="AW44" s="64" t="n"/>
      <c r="AX44" s="64" t="n"/>
      <c r="AY44" s="64" t="n"/>
      <c r="AZ44" s="65" t="n">
        <v>6000</v>
      </c>
      <c r="BA44" s="65" t="n"/>
      <c r="BB44" s="65" t="n"/>
      <c r="BC44" s="65" t="n"/>
      <c r="BD44" s="65" t="n"/>
      <c r="BE44" s="65" t="n"/>
      <c r="BF44" s="65" t="n"/>
      <c r="BG44" s="64">
        <f>8000+42000+48000</f>
        <v/>
      </c>
      <c r="BH44" s="65" t="n"/>
    </row>
    <row r="45">
      <c r="B45" s="1" t="inlineStr">
        <is>
          <t>美田園パレット</t>
        </is>
      </c>
      <c r="D45" s="1" t="inlineStr">
        <is>
          <t>改修</t>
        </is>
      </c>
      <c r="E45" s="2" t="inlineStr">
        <is>
          <t>3月</t>
        </is>
      </c>
      <c r="F45" s="68">
        <f>760000+640000+310000</f>
        <v/>
      </c>
      <c r="G45" s="68">
        <f>IF(B45="","",F45-I45 )</f>
        <v/>
      </c>
      <c r="H45" s="4">
        <f>IF(G45="","",G45/F45)</f>
        <v/>
      </c>
      <c r="I45" s="62">
        <f>SUM(テーブル9[[#This Row],[五大]:[工場材]])</f>
        <v/>
      </c>
      <c r="J45" s="65" t="n"/>
      <c r="K45" s="65" t="n"/>
      <c r="L45" s="65" t="n"/>
      <c r="M45" s="65" t="n"/>
      <c r="N45" s="65" t="n"/>
      <c r="O45" s="65" t="n"/>
      <c r="P45" s="65" t="n"/>
      <c r="Q45" s="65" t="n"/>
      <c r="R45" s="65" t="n"/>
      <c r="S45" s="65" t="n"/>
      <c r="T45" s="65" t="n"/>
      <c r="U45" s="65" t="n"/>
      <c r="V45" s="65" t="n"/>
      <c r="W45" s="65" t="n"/>
      <c r="X45" s="66" t="n"/>
      <c r="Y45" s="65" t="n"/>
      <c r="Z45" s="65" t="n"/>
      <c r="AA45" s="64" t="n">
        <v>250200</v>
      </c>
      <c r="AB45" s="64">
        <f>1292500</f>
        <v/>
      </c>
      <c r="AC45" s="64" t="n"/>
      <c r="AD45" s="64" t="n"/>
      <c r="AE45" s="65" t="n"/>
      <c r="AF45" s="65" t="n"/>
      <c r="AG45" s="65" t="n"/>
      <c r="AH45" s="65" t="n"/>
      <c r="AI45" s="65" t="n"/>
      <c r="AJ45" s="65" t="n"/>
      <c r="AK45" s="65" t="n"/>
      <c r="AL45" s="65" t="n"/>
      <c r="AM45" s="65" t="n"/>
      <c r="AN45" s="65" t="n"/>
      <c r="AO45" s="65" t="n"/>
      <c r="AP45" s="65" t="n"/>
      <c r="AQ45" s="65" t="n"/>
      <c r="AR45" s="65" t="n"/>
      <c r="AS45" s="65" t="n"/>
      <c r="AT45" s="65" t="n"/>
      <c r="AU45" s="65" t="n"/>
      <c r="AV45" s="65" t="n"/>
      <c r="AW45" s="65" t="n"/>
      <c r="AX45" s="65" t="n"/>
      <c r="AY45" s="65" t="n"/>
      <c r="AZ45" s="65" t="n"/>
      <c r="BA45" s="65" t="n"/>
      <c r="BB45" s="65" t="n"/>
      <c r="BC45" s="65" t="n"/>
      <c r="BD45" s="65" t="n"/>
      <c r="BE45" s="65" t="n"/>
      <c r="BF45" s="65" t="n"/>
      <c r="BG45" s="64" t="n"/>
      <c r="BH45" s="65" t="n"/>
    </row>
    <row r="46">
      <c r="B46" s="22" t="inlineStr">
        <is>
          <t>合計</t>
        </is>
      </c>
      <c r="C46" s="22" t="n"/>
      <c r="F46" s="67">
        <f>SUBTOTAL(109,F42:F45)</f>
        <v/>
      </c>
      <c r="G46" s="67">
        <f>SUBTOTAL(109,G42:G45)</f>
        <v/>
      </c>
      <c r="H46" s="14">
        <f>IF(G46="","",G46/F46)</f>
        <v/>
      </c>
      <c r="I46" s="67">
        <f>SUBTOTAL(109,I42:I45)</f>
        <v/>
      </c>
      <c r="J46" s="64" t="n"/>
      <c r="K46" s="65" t="n"/>
      <c r="L46" s="65" t="n"/>
      <c r="M46" s="65" t="n"/>
      <c r="N46" s="65" t="n"/>
      <c r="O46" s="65" t="n"/>
      <c r="P46" s="65" t="n"/>
      <c r="Q46" s="65" t="n"/>
      <c r="R46" s="65" t="n"/>
      <c r="S46" s="65" t="n"/>
      <c r="T46" s="65" t="n"/>
      <c r="U46" s="65" t="n"/>
      <c r="V46" s="65" t="n"/>
      <c r="W46" s="65" t="n"/>
      <c r="X46" s="66" t="n"/>
      <c r="Y46" s="65" t="n"/>
      <c r="Z46" s="65" t="n"/>
      <c r="AA46" s="65" t="n"/>
      <c r="AB46" s="65" t="n"/>
      <c r="AC46" s="65" t="n"/>
      <c r="AD46" s="65" t="n"/>
      <c r="AE46" s="65" t="n"/>
      <c r="AF46" s="65" t="n"/>
      <c r="AG46" s="65" t="n"/>
      <c r="AH46" s="65" t="n"/>
      <c r="AI46" s="65" t="n"/>
      <c r="AJ46" s="65" t="n"/>
      <c r="AK46" s="65" t="n"/>
      <c r="AL46" s="65" t="n"/>
      <c r="AM46" s="65" t="n"/>
      <c r="AN46" s="65" t="n"/>
      <c r="AO46" s="65" t="n"/>
      <c r="AP46" s="65" t="n"/>
      <c r="AQ46" s="65" t="n"/>
      <c r="AR46" s="65" t="n"/>
      <c r="AS46" s="65" t="n"/>
      <c r="AT46" s="65" t="n"/>
      <c r="AU46" s="65" t="n"/>
      <c r="AV46" s="65" t="n"/>
      <c r="AW46" s="65" t="n"/>
      <c r="AX46" s="65" t="n"/>
      <c r="AY46" s="65" t="n"/>
      <c r="AZ46" s="65" t="n"/>
      <c r="BA46" s="65" t="n"/>
      <c r="BB46" s="65" t="n"/>
      <c r="BC46" s="65" t="n"/>
      <c r="BD46" s="65" t="n"/>
      <c r="BE46" s="65" t="n"/>
      <c r="BF46" s="65" t="n"/>
      <c r="BG46" s="64" t="n"/>
      <c r="BH46" s="65" t="n"/>
    </row>
    <row r="47">
      <c r="F47" s="68" t="n"/>
      <c r="G47" s="62">
        <f>IF(B47="","",F47-I47 )</f>
        <v/>
      </c>
      <c r="H47" s="5">
        <f>IF(G47="","",G47/F47)</f>
        <v/>
      </c>
      <c r="I47" s="62">
        <f>SUM(テーブル9[[#This Row],[五大]:[工場材]])</f>
        <v/>
      </c>
      <c r="J47" s="65" t="n"/>
      <c r="K47" s="65" t="n"/>
      <c r="L47" s="65" t="n"/>
      <c r="M47" s="65" t="n"/>
      <c r="N47" s="65" t="n"/>
      <c r="O47" s="65" t="n"/>
      <c r="P47" s="65" t="n"/>
      <c r="Q47" s="65" t="n"/>
      <c r="R47" s="65" t="n"/>
      <c r="S47" s="65" t="n"/>
      <c r="T47" s="65" t="n"/>
      <c r="U47" s="65" t="n"/>
      <c r="V47" s="65" t="n"/>
      <c r="W47" s="65" t="n"/>
      <c r="X47" s="66" t="n"/>
      <c r="Y47" s="65" t="n"/>
      <c r="Z47" s="65" t="n"/>
      <c r="AA47" s="65" t="n"/>
      <c r="AB47" s="65" t="n"/>
      <c r="AC47" s="65" t="n"/>
      <c r="AD47" s="65" t="n"/>
      <c r="AE47" s="65" t="n"/>
      <c r="AF47" s="65" t="n"/>
      <c r="AG47" s="65" t="n"/>
      <c r="AH47" s="65" t="n"/>
      <c r="AI47" s="65" t="n"/>
      <c r="AJ47" s="65" t="n"/>
      <c r="AK47" s="65" t="n"/>
      <c r="AL47" s="65" t="n"/>
      <c r="AM47" s="65" t="n"/>
      <c r="AN47" s="65" t="n"/>
      <c r="AO47" s="65" t="n"/>
      <c r="AP47" s="65" t="n"/>
      <c r="AQ47" s="65" t="n"/>
      <c r="AR47" s="65" t="n"/>
      <c r="AS47" s="65" t="n"/>
      <c r="AT47" s="65" t="n"/>
      <c r="AU47" s="65" t="n"/>
      <c r="AV47" s="65" t="n"/>
      <c r="AW47" s="65" t="n"/>
      <c r="AX47" s="65" t="n"/>
      <c r="AY47" s="65" t="n"/>
      <c r="AZ47" s="65" t="n"/>
      <c r="BA47" s="65" t="n"/>
      <c r="BB47" s="65" t="n"/>
      <c r="BC47" s="65" t="n"/>
      <c r="BD47" s="65" t="n"/>
      <c r="BE47" s="65" t="n"/>
      <c r="BF47" s="65" t="n"/>
      <c r="BG47" s="64" t="n"/>
      <c r="BH47" s="65" t="n"/>
    </row>
    <row r="48">
      <c r="F48" s="68" t="n"/>
      <c r="G48" s="62">
        <f>IF(B48="","",F48-I48 )</f>
        <v/>
      </c>
      <c r="H48" s="5">
        <f>IF(G48="","",G48/F48)</f>
        <v/>
      </c>
      <c r="I48" s="62">
        <f>SUM(テーブル9[[#This Row],[五大]:[工場材]])</f>
        <v/>
      </c>
      <c r="J48" s="65" t="n"/>
      <c r="K48" s="65" t="n"/>
      <c r="L48" s="65" t="n"/>
      <c r="M48" s="65" t="n"/>
      <c r="N48" s="65" t="n"/>
      <c r="O48" s="65" t="n"/>
      <c r="P48" s="65" t="n"/>
      <c r="Q48" s="65" t="n"/>
      <c r="R48" s="65" t="n"/>
      <c r="S48" s="65" t="n"/>
      <c r="T48" s="65" t="n"/>
      <c r="U48" s="65" t="n"/>
      <c r="V48" s="65" t="n"/>
      <c r="W48" s="65" t="n"/>
      <c r="X48" s="66" t="n"/>
      <c r="Y48" s="65" t="n"/>
      <c r="Z48" s="65" t="n"/>
      <c r="AA48" s="65" t="n"/>
      <c r="AB48" s="65" t="n"/>
      <c r="AC48" s="65" t="n"/>
      <c r="AD48" s="65" t="n"/>
      <c r="AE48" s="65" t="n"/>
      <c r="AF48" s="65" t="n"/>
      <c r="AG48" s="65" t="n"/>
      <c r="AH48" s="65" t="n"/>
      <c r="AI48" s="65" t="n"/>
      <c r="AJ48" s="65" t="n"/>
      <c r="AK48" s="65" t="n"/>
      <c r="AL48" s="65" t="n"/>
      <c r="AM48" s="65" t="n"/>
      <c r="AN48" s="65" t="n"/>
      <c r="AO48" s="65" t="n"/>
      <c r="AP48" s="65" t="n"/>
      <c r="AQ48" s="65" t="n"/>
      <c r="AR48" s="65" t="n"/>
      <c r="AS48" s="65" t="n"/>
      <c r="AT48" s="65" t="n"/>
      <c r="AU48" s="65" t="n"/>
      <c r="AV48" s="65" t="n"/>
      <c r="AW48" s="65" t="n"/>
      <c r="AX48" s="65" t="n"/>
      <c r="AY48" s="65" t="n"/>
      <c r="AZ48" s="65" t="n"/>
      <c r="BA48" s="65" t="n"/>
      <c r="BB48" s="65" t="n"/>
      <c r="BC48" s="65" t="n"/>
      <c r="BD48" s="65" t="n"/>
      <c r="BE48" s="65" t="n"/>
      <c r="BF48" s="65" t="n"/>
      <c r="BG48" s="64" t="n"/>
      <c r="BH48" s="65" t="n"/>
    </row>
    <row r="49">
      <c r="A49" s="0" t="inlineStr">
        <is>
          <t>R1.5</t>
        </is>
      </c>
      <c r="B49" s="1" t="inlineStr">
        <is>
          <t>グレートシリウス</t>
        </is>
      </c>
      <c r="D49" s="1" t="inlineStr">
        <is>
          <t>塗装</t>
        </is>
      </c>
      <c r="E49" s="2" t="inlineStr">
        <is>
          <t>4月</t>
        </is>
      </c>
      <c r="F49" s="68" t="n">
        <v>1500000</v>
      </c>
      <c r="G49" s="62">
        <f>IF(B49="","",F49-I49 )</f>
        <v/>
      </c>
      <c r="H49" s="4">
        <f>IF(G49="","",G49/F49)</f>
        <v/>
      </c>
      <c r="I49" s="62">
        <f>SUM(テーブル9[[#This Row],[五大]:[工場材]])</f>
        <v/>
      </c>
      <c r="J49" s="64" t="n">
        <v>230000</v>
      </c>
      <c r="K49" s="65" t="n"/>
      <c r="L49" s="65" t="n"/>
      <c r="M49" s="65" t="n"/>
      <c r="N49" s="65" t="n"/>
      <c r="O49" s="64" t="n">
        <v>650000</v>
      </c>
      <c r="P49" s="65" t="n"/>
      <c r="Q49" s="65" t="n"/>
      <c r="R49" s="64">
        <f>(12+24)*700</f>
        <v/>
      </c>
      <c r="S49" s="64" t="n">
        <v>35000</v>
      </c>
      <c r="T49" s="65" t="n"/>
      <c r="U49" s="64">
        <f>26800+22200+7400+38100</f>
        <v/>
      </c>
      <c r="V49" s="64" t="n"/>
      <c r="W49" s="65" t="n"/>
      <c r="X49" s="66" t="n"/>
      <c r="Y49" s="65" t="n"/>
      <c r="Z49" s="65" t="n"/>
      <c r="AA49" s="64" t="n">
        <v>32000</v>
      </c>
      <c r="AB49" s="65" t="n"/>
      <c r="AC49" s="65" t="n"/>
      <c r="AD49" s="65" t="n"/>
      <c r="AE49" s="65" t="n"/>
      <c r="AF49" s="65" t="n"/>
      <c r="AG49" s="65" t="n"/>
      <c r="AH49" s="65" t="n"/>
      <c r="AI49" s="65" t="n"/>
      <c r="AJ49" s="65" t="n"/>
      <c r="AK49" s="65" t="n"/>
      <c r="AL49" s="65" t="n"/>
      <c r="AM49" s="65" t="n"/>
      <c r="AN49" s="65" t="n"/>
      <c r="AO49" s="65" t="n"/>
      <c r="AP49" s="65" t="n"/>
      <c r="AQ49" s="65" t="n"/>
      <c r="AR49" s="65" t="n"/>
      <c r="AS49" s="65" t="n"/>
      <c r="AT49" s="65" t="n"/>
      <c r="AU49" s="65" t="n"/>
      <c r="AV49" s="65" t="n"/>
      <c r="AW49" s="65" t="n"/>
      <c r="AX49" s="65" t="n"/>
      <c r="AY49" s="65" t="n"/>
      <c r="AZ49" s="65" t="n"/>
      <c r="BA49" s="65" t="n"/>
      <c r="BB49" s="65" t="n"/>
      <c r="BC49" s="65" t="n"/>
      <c r="BD49" s="65" t="n"/>
      <c r="BE49" s="65" t="n"/>
      <c r="BF49" s="65" t="n"/>
      <c r="BG49" s="64" t="n"/>
      <c r="BH49" s="65" t="n"/>
    </row>
    <row r="50">
      <c r="B50" s="1" t="inlineStr">
        <is>
          <t>ストラダーレ</t>
        </is>
      </c>
      <c r="D50" s="1" t="inlineStr">
        <is>
          <t>塗装</t>
        </is>
      </c>
      <c r="E50" s="2" t="inlineStr">
        <is>
          <t>3月</t>
        </is>
      </c>
      <c r="F50" s="68" t="n">
        <v>2374262</v>
      </c>
      <c r="G50" s="62">
        <f>IF(B50="","",F50-I50 )</f>
        <v/>
      </c>
      <c r="H50" s="4">
        <f>IF(G50="","",G50/F50)</f>
        <v/>
      </c>
      <c r="I50" s="62">
        <f>SUM(テーブル9[[#This Row],[五大]:[工場材]])</f>
        <v/>
      </c>
      <c r="J50" s="65" t="n"/>
      <c r="K50" s="64" t="n">
        <v>322000</v>
      </c>
      <c r="L50" s="64" t="n"/>
      <c r="M50" s="65" t="n"/>
      <c r="N50" s="65" t="n"/>
      <c r="O50" s="64" t="n">
        <v>900000</v>
      </c>
      <c r="P50" s="65" t="n"/>
      <c r="Q50" s="65" t="n"/>
      <c r="R50" s="64">
        <f>(15)*700</f>
        <v/>
      </c>
      <c r="S50" s="65" t="n"/>
      <c r="T50" s="65" t="n"/>
      <c r="U50" s="64">
        <f>22600+83700+12700</f>
        <v/>
      </c>
      <c r="V50" s="64" t="n"/>
      <c r="W50" s="65" t="n"/>
      <c r="X50" s="66" t="n"/>
      <c r="Y50" s="65" t="n"/>
      <c r="Z50" s="65" t="n"/>
      <c r="AA50" s="64" t="n">
        <v>32000</v>
      </c>
      <c r="AB50" s="65" t="n"/>
      <c r="AC50" s="65" t="n"/>
      <c r="AD50" s="65" t="n"/>
      <c r="AE50" s="65" t="n"/>
      <c r="AF50" s="65" t="n"/>
      <c r="AG50" s="65" t="n"/>
      <c r="AH50" s="65" t="n"/>
      <c r="AI50" s="65" t="n"/>
      <c r="AJ50" s="65" t="n"/>
      <c r="AK50" s="65" t="n"/>
      <c r="AL50" s="65" t="n"/>
      <c r="AM50" s="65" t="n"/>
      <c r="AN50" s="65" t="n"/>
      <c r="AO50" s="65" t="n"/>
      <c r="AP50" s="65" t="n"/>
      <c r="AQ50" s="65" t="n"/>
      <c r="AR50" s="65" t="n"/>
      <c r="AS50" s="65" t="n"/>
      <c r="AT50" s="65" t="n"/>
      <c r="AU50" s="65" t="n"/>
      <c r="AV50" s="65" t="n"/>
      <c r="AW50" s="65" t="n"/>
      <c r="AX50" s="65" t="n"/>
      <c r="AY50" s="65" t="n"/>
      <c r="AZ50" s="65" t="n"/>
      <c r="BA50" s="65" t="n"/>
      <c r="BB50" s="65" t="n"/>
      <c r="BC50" s="65" t="n"/>
      <c r="BD50" s="65" t="n"/>
      <c r="BE50" s="65" t="n"/>
      <c r="BF50" s="65" t="n"/>
      <c r="BG50" s="64">
        <f>4*21000</f>
        <v/>
      </c>
      <c r="BH50" s="65" t="n"/>
    </row>
    <row r="51">
      <c r="B51" s="1" t="inlineStr">
        <is>
          <t>プチドミール</t>
        </is>
      </c>
      <c r="D51" s="1" t="inlineStr">
        <is>
          <t>塗装</t>
        </is>
      </c>
      <c r="E51" s="2" t="inlineStr">
        <is>
          <t>4月</t>
        </is>
      </c>
      <c r="F51" s="68" t="n">
        <v>1207000</v>
      </c>
      <c r="G51" s="68">
        <f>IF(B51="","",F51-I51 )</f>
        <v/>
      </c>
      <c r="H51" s="4">
        <f>IF(G51="","",G51/F51)</f>
        <v/>
      </c>
      <c r="I51" s="62">
        <f>SUM(テーブル9[[#This Row],[五大]:[工場材]])</f>
        <v/>
      </c>
      <c r="J51" s="64" t="n">
        <v>220000</v>
      </c>
      <c r="K51" s="64" t="n"/>
      <c r="L51" s="64" t="n"/>
      <c r="M51" s="65" t="n"/>
      <c r="N51" s="65" t="n"/>
      <c r="O51" s="64">
        <f>266*2300</f>
        <v/>
      </c>
      <c r="P51" s="65" t="n"/>
      <c r="Q51" s="65" t="n"/>
      <c r="R51" s="65" t="n"/>
      <c r="S51" s="65" t="n"/>
      <c r="T51" s="65" t="n"/>
      <c r="U51" s="64">
        <f>141200+52200</f>
        <v/>
      </c>
      <c r="V51" s="64" t="n"/>
      <c r="W51" s="65" t="n"/>
      <c r="X51" s="66" t="n"/>
      <c r="Y51" s="65" t="n"/>
      <c r="Z51" s="65" t="n"/>
      <c r="AA51" s="64" t="n"/>
      <c r="AB51" s="65" t="n"/>
      <c r="AC51" s="65" t="n"/>
      <c r="AD51" s="65" t="n"/>
      <c r="AE51" s="65" t="n"/>
      <c r="AF51" s="65" t="n"/>
      <c r="AG51" s="65" t="n"/>
      <c r="AH51" s="65" t="n"/>
      <c r="AI51" s="65" t="n"/>
      <c r="AJ51" s="65" t="n"/>
      <c r="AK51" s="65" t="n"/>
      <c r="AL51" s="65" t="n"/>
      <c r="AM51" s="65" t="n"/>
      <c r="AN51" s="65" t="n"/>
      <c r="AO51" s="65" t="n"/>
      <c r="AP51" s="65" t="n"/>
      <c r="AQ51" s="65" t="n"/>
      <c r="AR51" s="65" t="n"/>
      <c r="AS51" s="65" t="n"/>
      <c r="AT51" s="65" t="n"/>
      <c r="AU51" s="65" t="n"/>
      <c r="AV51" s="65" t="n"/>
      <c r="AW51" s="65" t="n"/>
      <c r="AX51" s="65" t="n"/>
      <c r="AY51" s="65" t="n"/>
      <c r="AZ51" s="65" t="n"/>
      <c r="BA51" s="65" t="n"/>
      <c r="BB51" s="65" t="n"/>
      <c r="BC51" s="65" t="n"/>
      <c r="BD51" s="65" t="n"/>
      <c r="BE51" s="65" t="n"/>
      <c r="BF51" s="65" t="n"/>
      <c r="BG51" s="64" t="n"/>
      <c r="BH51" s="65" t="n"/>
    </row>
    <row r="52">
      <c r="B52" s="1" t="inlineStr">
        <is>
          <t>コンフィーＯＮＥ</t>
        </is>
      </c>
      <c r="D52" s="1" t="inlineStr">
        <is>
          <t>塗装</t>
        </is>
      </c>
      <c r="E52" s="2" t="inlineStr">
        <is>
          <t>4月</t>
        </is>
      </c>
      <c r="F52" s="68">
        <f>1442000</f>
        <v/>
      </c>
      <c r="G52" s="62">
        <f>IF(B52="","",F52-I52 )</f>
        <v/>
      </c>
      <c r="H52" s="4">
        <f>IF(G52="","",G52/F52)</f>
        <v/>
      </c>
      <c r="I52" s="62">
        <f>SUM(テーブル9[[#This Row],[五大]:[工場材]])</f>
        <v/>
      </c>
      <c r="J52" s="65" t="n"/>
      <c r="K52" s="64" t="n">
        <v>214000</v>
      </c>
      <c r="L52" s="64" t="n"/>
      <c r="M52" s="65" t="n"/>
      <c r="N52" s="65" t="n"/>
      <c r="O52" s="64" t="n">
        <v>650000</v>
      </c>
      <c r="P52" s="65" t="n"/>
      <c r="Q52" s="65" t="n"/>
      <c r="R52" s="64">
        <f>(26.8+27)*700</f>
        <v/>
      </c>
      <c r="S52" s="64" t="n">
        <v>35000</v>
      </c>
      <c r="T52" s="65" t="n"/>
      <c r="U52" s="64">
        <f>22600+40100</f>
        <v/>
      </c>
      <c r="V52" s="64" t="n"/>
      <c r="W52" s="65" t="n"/>
      <c r="X52" s="66" t="n"/>
      <c r="Y52" s="65" t="n"/>
      <c r="Z52" s="65" t="n"/>
      <c r="AA52" s="64" t="n"/>
      <c r="AB52" s="65" t="n"/>
      <c r="AC52" s="65" t="n"/>
      <c r="AD52" s="65" t="n"/>
      <c r="AE52" s="65" t="n"/>
      <c r="AF52" s="65" t="n"/>
      <c r="AG52" s="65" t="n"/>
      <c r="AH52" s="65" t="n"/>
      <c r="AI52" s="65" t="n"/>
      <c r="AJ52" s="65" t="n"/>
      <c r="AK52" s="65" t="n"/>
      <c r="AL52" s="65" t="n"/>
      <c r="AM52" s="65" t="n"/>
      <c r="AN52" s="65" t="n"/>
      <c r="AO52" s="65" t="n"/>
      <c r="AP52" s="65" t="n"/>
      <c r="AQ52" s="65" t="n"/>
      <c r="AR52" s="65" t="n"/>
      <c r="AS52" s="65" t="n"/>
      <c r="AT52" s="65" t="n"/>
      <c r="AU52" s="65" t="n"/>
      <c r="AV52" s="65" t="n"/>
      <c r="AW52" s="65" t="n"/>
      <c r="AX52" s="65" t="n"/>
      <c r="AY52" s="65" t="n"/>
      <c r="AZ52" s="65" t="n"/>
      <c r="BA52" s="65" t="n"/>
      <c r="BB52" s="65" t="n"/>
      <c r="BC52" s="65" t="n"/>
      <c r="BD52" s="65" t="n"/>
      <c r="BE52" s="65" t="n"/>
      <c r="BF52" s="65" t="n"/>
      <c r="BG52" s="64" t="n"/>
      <c r="BH52" s="65" t="n"/>
    </row>
    <row r="53">
      <c r="B53" s="1" t="inlineStr">
        <is>
          <t>ディアスＦＯＵＲ</t>
        </is>
      </c>
      <c r="D53" s="1" t="inlineStr">
        <is>
          <t>塗装</t>
        </is>
      </c>
      <c r="E53" s="2" t="inlineStr">
        <is>
          <t>4月</t>
        </is>
      </c>
      <c r="F53" s="68" t="n">
        <v>1820000</v>
      </c>
      <c r="G53" s="68">
        <f>IF(B53="","",F53-I53 )</f>
        <v/>
      </c>
      <c r="H53" s="4">
        <f>IF(G53="","",G53/F53)</f>
        <v/>
      </c>
      <c r="I53" s="62">
        <f>SUM(テーブル9[[#This Row],[五大]:[工場材]])</f>
        <v/>
      </c>
      <c r="J53" s="65" t="n"/>
      <c r="K53" s="65" t="n"/>
      <c r="L53" s="65" t="n"/>
      <c r="M53" s="64" t="n">
        <v>245000</v>
      </c>
      <c r="N53" s="64" t="n"/>
      <c r="O53" s="64" t="n">
        <v>950000</v>
      </c>
      <c r="P53" s="65" t="n"/>
      <c r="Q53" s="65" t="n"/>
      <c r="R53" s="64">
        <f>(30+9)*700</f>
        <v/>
      </c>
      <c r="S53" s="64" t="n">
        <v>35000</v>
      </c>
      <c r="T53" s="65" t="n"/>
      <c r="U53" s="64">
        <f>22600</f>
        <v/>
      </c>
      <c r="V53" s="64" t="n"/>
      <c r="W53" s="65" t="n"/>
      <c r="X53" s="66" t="n"/>
      <c r="Y53" s="65" t="n"/>
      <c r="Z53" s="65" t="n"/>
      <c r="AA53" s="64" t="n">
        <v>14000</v>
      </c>
      <c r="AB53" s="65" t="n"/>
      <c r="AC53" s="65" t="n"/>
      <c r="AD53" s="65" t="n"/>
      <c r="AE53" s="65" t="n"/>
      <c r="AF53" s="65" t="n"/>
      <c r="AG53" s="65" t="n"/>
      <c r="AH53" s="65" t="n"/>
      <c r="AI53" s="65" t="n"/>
      <c r="AJ53" s="65" t="n"/>
      <c r="AK53" s="65" t="n"/>
      <c r="AL53" s="65" t="n"/>
      <c r="AM53" s="65" t="n"/>
      <c r="AN53" s="65" t="n"/>
      <c r="AO53" s="65" t="n"/>
      <c r="AP53" s="65" t="n"/>
      <c r="AQ53" s="65" t="n"/>
      <c r="AR53" s="65" t="n"/>
      <c r="AS53" s="65" t="n"/>
      <c r="AT53" s="65" t="n"/>
      <c r="AU53" s="65" t="n"/>
      <c r="AV53" s="65" t="n"/>
      <c r="AW53" s="65" t="n"/>
      <c r="AX53" s="65" t="n"/>
      <c r="AY53" s="65" t="n"/>
      <c r="AZ53" s="65" t="n">
        <v>6000</v>
      </c>
      <c r="BA53" s="65" t="n"/>
      <c r="BB53" s="65" t="n"/>
      <c r="BC53" s="65" t="n"/>
      <c r="BD53" s="65" t="n"/>
      <c r="BE53" s="65" t="n"/>
      <c r="BF53" s="65" t="n"/>
      <c r="BG53" s="64" t="n"/>
      <c r="BH53" s="65" t="n"/>
    </row>
    <row r="54">
      <c r="B54" s="1" t="inlineStr">
        <is>
          <t>ベルタウンⅡ</t>
        </is>
      </c>
      <c r="D54" s="1" t="inlineStr">
        <is>
          <t>塗装</t>
        </is>
      </c>
      <c r="E54" s="2" t="inlineStr">
        <is>
          <t>4月</t>
        </is>
      </c>
      <c r="F54" s="68" t="n">
        <v>1750000</v>
      </c>
      <c r="G54" s="68">
        <f>IF(B54="","",F54-I54 )</f>
        <v/>
      </c>
      <c r="H54" s="4">
        <f>IF(G54="","",G54/F54)</f>
        <v/>
      </c>
      <c r="I54" s="62">
        <f>SUM(テーブル9[[#This Row],[五大]:[工場材]])</f>
        <v/>
      </c>
      <c r="J54" s="64" t="n">
        <v>240000</v>
      </c>
      <c r="K54" s="65" t="n"/>
      <c r="L54" s="65" t="n"/>
      <c r="M54" s="65" t="n"/>
      <c r="N54" s="65" t="n"/>
      <c r="O54" s="64" t="n">
        <v>650000</v>
      </c>
      <c r="P54" s="65" t="n"/>
      <c r="Q54" s="65" t="n"/>
      <c r="R54" s="64">
        <f>(30.8+26.5)*700</f>
        <v/>
      </c>
      <c r="S54" s="64" t="n">
        <v>35000</v>
      </c>
      <c r="T54" s="65" t="n"/>
      <c r="U54" s="64">
        <f>35900+28200</f>
        <v/>
      </c>
      <c r="V54" s="64" t="n"/>
      <c r="W54" s="65" t="n"/>
      <c r="X54" s="66" t="n"/>
      <c r="Y54" s="65" t="n"/>
      <c r="Z54" s="65" t="n"/>
      <c r="AA54" s="64" t="n">
        <v>11500</v>
      </c>
      <c r="AB54" s="65" t="n"/>
      <c r="AC54" s="65" t="n"/>
      <c r="AD54" s="65" t="n"/>
      <c r="AE54" s="65" t="n"/>
      <c r="AF54" s="65" t="n"/>
      <c r="AG54" s="65" t="n"/>
      <c r="AH54" s="65" t="n"/>
      <c r="AI54" s="65" t="n"/>
      <c r="AJ54" s="65" t="n"/>
      <c r="AK54" s="65" t="n"/>
      <c r="AL54" s="65" t="n"/>
      <c r="AM54" s="65" t="n"/>
      <c r="AN54" s="65" t="n"/>
      <c r="AO54" s="65" t="n"/>
      <c r="AP54" s="65" t="n"/>
      <c r="AQ54" s="65" t="n"/>
      <c r="AR54" s="65" t="n"/>
      <c r="AS54" s="65" t="n"/>
      <c r="AT54" s="65" t="n"/>
      <c r="AU54" s="64">
        <f>14000*4</f>
        <v/>
      </c>
      <c r="AV54" s="64" t="n"/>
      <c r="AW54" s="64" t="n"/>
      <c r="AX54" s="64" t="n"/>
      <c r="AY54" s="64" t="n"/>
      <c r="AZ54" s="65" t="n">
        <v>15000</v>
      </c>
      <c r="BA54" s="65" t="n"/>
      <c r="BB54" s="65" t="n"/>
      <c r="BC54" s="65" t="n"/>
      <c r="BD54" s="65" t="n"/>
      <c r="BE54" s="65" t="n"/>
      <c r="BF54" s="65" t="n"/>
      <c r="BG54" s="64">
        <f>12000+22000</f>
        <v/>
      </c>
      <c r="BH54" s="65" t="n"/>
    </row>
    <row r="55">
      <c r="B55" s="1" t="inlineStr">
        <is>
          <t>フラッツＪ‘ｓ</t>
        </is>
      </c>
      <c r="D55" s="1" t="inlineStr">
        <is>
          <t>塗装</t>
        </is>
      </c>
      <c r="E55" s="2" t="inlineStr">
        <is>
          <t>3月</t>
        </is>
      </c>
      <c r="F55" s="68" t="n">
        <v>1800000</v>
      </c>
      <c r="G55" s="62">
        <f>IF(B55="","",F55-I55 )</f>
        <v/>
      </c>
      <c r="H55" s="4">
        <f>IF(G55="","",G55/F55)</f>
        <v/>
      </c>
      <c r="I55" s="62">
        <f>SUM(テーブル9[[#This Row],[五大]:[工場材]])</f>
        <v/>
      </c>
      <c r="J55" s="64" t="n">
        <v>220000</v>
      </c>
      <c r="K55" s="64" t="n"/>
      <c r="L55" s="64" t="n"/>
      <c r="M55" s="65" t="n"/>
      <c r="N55" s="65" t="n"/>
      <c r="O55" s="64" t="n">
        <v>750000</v>
      </c>
      <c r="P55" s="65" t="n"/>
      <c r="Q55" s="65" t="n"/>
      <c r="R55" s="64">
        <f>(29+36.5)*700</f>
        <v/>
      </c>
      <c r="S55" s="65" t="n"/>
      <c r="T55" s="65" t="n"/>
      <c r="U55" s="64">
        <f>26200+12700+11500</f>
        <v/>
      </c>
      <c r="V55" s="64" t="n"/>
      <c r="W55" s="65" t="n"/>
      <c r="X55" s="66" t="n"/>
      <c r="Y55" s="65" t="n"/>
      <c r="Z55" s="65" t="n"/>
      <c r="AA55" s="64" t="n">
        <v>25500</v>
      </c>
      <c r="AB55" s="65" t="n"/>
      <c r="AC55" s="65" t="n"/>
      <c r="AD55" s="65" t="n"/>
      <c r="AE55" s="65" t="n"/>
      <c r="AF55" s="65" t="n"/>
      <c r="AG55" s="65" t="n"/>
      <c r="AH55" s="65" t="n"/>
      <c r="AI55" s="65" t="n"/>
      <c r="AJ55" s="65" t="n"/>
      <c r="AK55" s="65" t="n"/>
      <c r="AL55" s="65" t="n"/>
      <c r="AM55" s="65" t="n"/>
      <c r="AN55" s="65" t="n"/>
      <c r="AO55" s="65" t="n"/>
      <c r="AP55" s="65" t="n"/>
      <c r="AQ55" s="65" t="n"/>
      <c r="AR55" s="65" t="n"/>
      <c r="AS55" s="65" t="n"/>
      <c r="AT55" s="65" t="n"/>
      <c r="AU55" s="65" t="n"/>
      <c r="AV55" s="65" t="n"/>
      <c r="AW55" s="65" t="n"/>
      <c r="AX55" s="65" t="n"/>
      <c r="AY55" s="65" t="n"/>
      <c r="AZ55" s="65" t="n"/>
      <c r="BA55" s="65" t="n"/>
      <c r="BB55" s="65" t="n"/>
      <c r="BC55" s="65" t="n"/>
      <c r="BD55" s="65" t="n"/>
      <c r="BE55" s="65" t="n"/>
      <c r="BF55" s="65" t="n"/>
      <c r="BG55" s="64">
        <f>4*21000</f>
        <v/>
      </c>
      <c r="BH55" s="65" t="n"/>
    </row>
    <row r="56">
      <c r="B56" s="1" t="inlineStr">
        <is>
          <t>グレイスボナール</t>
        </is>
      </c>
      <c r="D56" s="1" t="inlineStr">
        <is>
          <t>塗装</t>
        </is>
      </c>
      <c r="E56" s="2" t="inlineStr">
        <is>
          <t>4月</t>
        </is>
      </c>
      <c r="F56" s="68" t="n">
        <v>1930000</v>
      </c>
      <c r="G56" s="68">
        <f>IF(B56="","",F56-I56 )</f>
        <v/>
      </c>
      <c r="H56" s="4">
        <f>IF(G56="","",G56/F56)</f>
        <v/>
      </c>
      <c r="I56" s="62">
        <f>SUM(テーブル9[[#This Row],[五大]:[工場材]])</f>
        <v/>
      </c>
      <c r="J56" s="64" t="n">
        <v>283000</v>
      </c>
      <c r="K56" s="64" t="n"/>
      <c r="L56" s="64" t="n"/>
      <c r="M56" s="65" t="n"/>
      <c r="N56" s="65" t="n"/>
      <c r="O56" s="64" t="n">
        <v>950000</v>
      </c>
      <c r="P56" s="65" t="n"/>
      <c r="Q56" s="65" t="n"/>
      <c r="R56" s="64" t="n">
        <v>40000</v>
      </c>
      <c r="S56" s="65" t="n"/>
      <c r="T56" s="65" t="n"/>
      <c r="U56" s="64">
        <f>95000+51400+70100</f>
        <v/>
      </c>
      <c r="V56" s="64" t="n"/>
      <c r="W56" s="65" t="n"/>
      <c r="X56" s="66" t="n"/>
      <c r="Y56" s="65" t="n"/>
      <c r="Z56" s="65" t="n"/>
      <c r="AA56" s="64" t="n"/>
      <c r="AB56" s="65" t="n"/>
      <c r="AC56" s="65" t="n"/>
      <c r="AD56" s="65" t="n"/>
      <c r="AE56" s="65" t="n"/>
      <c r="AF56" s="65" t="n"/>
      <c r="AG56" s="65" t="n"/>
      <c r="AH56" s="65" t="n"/>
      <c r="AI56" s="65" t="n"/>
      <c r="AJ56" s="65" t="n"/>
      <c r="AK56" s="65" t="n"/>
      <c r="AL56" s="65" t="n"/>
      <c r="AM56" s="65" t="n"/>
      <c r="AN56" s="65" t="n"/>
      <c r="AO56" s="65" t="n"/>
      <c r="AP56" s="65" t="n"/>
      <c r="AQ56" s="65" t="n"/>
      <c r="AR56" s="65" t="n"/>
      <c r="AS56" s="65" t="n"/>
      <c r="AT56" s="65" t="n"/>
      <c r="AU56" s="65" t="n"/>
      <c r="AV56" s="65" t="n"/>
      <c r="AW56" s="65" t="n"/>
      <c r="AX56" s="65" t="n"/>
      <c r="AY56" s="65" t="n"/>
      <c r="AZ56" s="65" t="n"/>
      <c r="BA56" s="65" t="n"/>
      <c r="BB56" s="65" t="n"/>
      <c r="BC56" s="65" t="n"/>
      <c r="BD56" s="65" t="n"/>
      <c r="BE56" s="65" t="n"/>
      <c r="BF56" s="65" t="n"/>
      <c r="BG56" s="64" t="n"/>
      <c r="BH56" s="65" t="n"/>
    </row>
    <row r="57">
      <c r="B57" s="1" t="inlineStr">
        <is>
          <t>松山 三浦邸</t>
        </is>
      </c>
      <c r="D57" s="1" t="inlineStr">
        <is>
          <t>リフォーム</t>
        </is>
      </c>
      <c r="E57" s="2" t="inlineStr">
        <is>
          <t>4月</t>
        </is>
      </c>
      <c r="F57" s="68" t="n">
        <v>2035000</v>
      </c>
      <c r="G57" s="68">
        <f>IF(B57="","",F57-I57 )</f>
        <v/>
      </c>
      <c r="H57" s="4">
        <f>IF(G57="","",G57/F62)</f>
        <v/>
      </c>
      <c r="I57" s="62">
        <f>SUM(テーブル9[[#This Row],[五大]:[工場材]])</f>
        <v/>
      </c>
      <c r="J57" s="64" t="n"/>
      <c r="K57" s="64" t="n"/>
      <c r="L57" s="64" t="n"/>
      <c r="M57" s="65" t="n"/>
      <c r="N57" s="65" t="n"/>
      <c r="O57" s="65" t="n">
        <v>50000</v>
      </c>
      <c r="P57" s="65" t="n"/>
      <c r="Q57" s="65" t="n"/>
      <c r="R57" s="65" t="n"/>
      <c r="S57" s="65" t="n"/>
      <c r="T57" s="65" t="n"/>
      <c r="U57" s="64" t="n"/>
      <c r="V57" s="64" t="n"/>
      <c r="W57" s="65" t="n">
        <v>500000</v>
      </c>
      <c r="X57" s="66" t="n"/>
      <c r="Y57" s="65" t="n"/>
      <c r="Z57" s="65" t="n"/>
      <c r="AA57" s="64" t="n">
        <v>200000</v>
      </c>
      <c r="AB57" s="64" t="n">
        <v>420000</v>
      </c>
      <c r="AC57" s="64" t="n"/>
      <c r="AD57" s="64" t="n"/>
      <c r="AE57" s="65" t="n"/>
      <c r="AF57" s="65" t="n"/>
      <c r="AG57" s="65" t="n"/>
      <c r="AH57" s="64" t="n">
        <v>235000</v>
      </c>
      <c r="AI57" s="64" t="n"/>
      <c r="AJ57" s="64" t="n"/>
      <c r="AK57" s="64" t="n"/>
      <c r="AL57" s="65" t="n"/>
      <c r="AM57" s="65" t="n"/>
      <c r="AN57" s="65" t="n"/>
      <c r="AO57" s="65" t="n">
        <v>40000</v>
      </c>
      <c r="AP57" s="65" t="n"/>
      <c r="AQ57" s="65" t="n"/>
      <c r="AR57" s="65" t="n"/>
      <c r="AS57" s="65" t="n"/>
      <c r="AT57" s="65" t="n"/>
      <c r="AU57" s="65" t="n"/>
      <c r="AV57" s="65" t="n"/>
      <c r="AW57" s="65" t="n"/>
      <c r="AX57" s="65" t="n"/>
      <c r="AY57" s="65" t="n"/>
      <c r="AZ57" s="64">
        <f>60000+54000</f>
        <v/>
      </c>
      <c r="BA57" s="64" t="n"/>
      <c r="BB57" s="64" t="n"/>
      <c r="BC57" s="64" t="n"/>
      <c r="BD57" s="64" t="n"/>
      <c r="BE57" s="64" t="n"/>
      <c r="BF57" s="64" t="n"/>
      <c r="BG57" s="64" t="n"/>
      <c r="BH57" s="65" t="n"/>
    </row>
    <row r="58">
      <c r="B58" s="22" t="inlineStr">
        <is>
          <t>合計</t>
        </is>
      </c>
      <c r="C58" s="22" t="n"/>
      <c r="F58" s="67">
        <f>SUBTOTAL(109,F49:F57)</f>
        <v/>
      </c>
      <c r="G58" s="67">
        <f>SUBTOTAL(109,G49:G57)</f>
        <v/>
      </c>
      <c r="H58" s="14">
        <f>IF(G58="","",G58/F58)</f>
        <v/>
      </c>
      <c r="I58" s="67">
        <f>SUBTOTAL(109,I49:I57)</f>
        <v/>
      </c>
      <c r="J58" s="64" t="n"/>
      <c r="K58" s="65" t="n"/>
      <c r="L58" s="65" t="n"/>
      <c r="M58" s="65" t="n"/>
      <c r="N58" s="65" t="n"/>
      <c r="O58" s="65" t="n"/>
      <c r="P58" s="65" t="n"/>
      <c r="Q58" s="65" t="n"/>
      <c r="R58" s="65" t="n"/>
      <c r="S58" s="65" t="n"/>
      <c r="T58" s="65" t="n"/>
      <c r="U58" s="65" t="n"/>
      <c r="V58" s="65" t="n"/>
      <c r="W58" s="65" t="n"/>
      <c r="X58" s="66" t="n"/>
      <c r="Y58" s="65" t="n"/>
      <c r="Z58" s="65" t="n"/>
      <c r="AA58" s="65" t="n"/>
      <c r="AB58" s="65" t="n"/>
      <c r="AC58" s="65" t="n"/>
      <c r="AD58" s="65" t="n"/>
      <c r="AE58" s="65" t="n"/>
      <c r="AF58" s="65" t="n"/>
      <c r="AG58" s="65" t="n"/>
      <c r="AH58" s="65" t="n"/>
      <c r="AI58" s="65" t="n"/>
      <c r="AJ58" s="65" t="n"/>
      <c r="AK58" s="65" t="n"/>
      <c r="AL58" s="65" t="n"/>
      <c r="AM58" s="65" t="n"/>
      <c r="AN58" s="65" t="n"/>
      <c r="AO58" s="65" t="n"/>
      <c r="AP58" s="65" t="n"/>
      <c r="AQ58" s="65" t="n"/>
      <c r="AR58" s="65" t="n"/>
      <c r="AS58" s="65" t="n"/>
      <c r="AT58" s="65" t="n"/>
      <c r="AU58" s="65" t="n"/>
      <c r="AV58" s="65" t="n"/>
      <c r="AW58" s="65" t="n"/>
      <c r="AX58" s="65" t="n"/>
      <c r="AY58" s="65" t="n"/>
      <c r="AZ58" s="65" t="n"/>
      <c r="BA58" s="65" t="n"/>
      <c r="BB58" s="65" t="n"/>
      <c r="BC58" s="65" t="n"/>
      <c r="BD58" s="65" t="n"/>
      <c r="BE58" s="65" t="n"/>
      <c r="BF58" s="65" t="n"/>
      <c r="BG58" s="64" t="n"/>
      <c r="BH58" s="65" t="n"/>
    </row>
    <row r="59">
      <c r="B59" s="22" t="n"/>
      <c r="C59" s="22" t="n"/>
      <c r="F59" s="70" t="n"/>
      <c r="G59" s="70">
        <f>IF(B59="","",F59-I59 )</f>
        <v/>
      </c>
      <c r="H59" s="16">
        <f>IF(G59="","",G59/F59)</f>
        <v/>
      </c>
      <c r="I59" s="67" t="n"/>
      <c r="J59" s="64" t="n"/>
      <c r="K59" s="65" t="n"/>
      <c r="L59" s="65" t="n"/>
      <c r="M59" s="65" t="n"/>
      <c r="N59" s="65" t="n"/>
      <c r="O59" s="65" t="inlineStr">
        <is>
          <t>※塗装単価県内2300円/㎡県外2500円/㎡妥当か5/22</t>
        </is>
      </c>
      <c r="P59" s="65" t="n"/>
      <c r="Q59" s="65" t="n"/>
      <c r="R59" s="65" t="n"/>
      <c r="S59" s="65" t="n"/>
      <c r="T59" s="65" t="n"/>
      <c r="U59" s="65" t="n"/>
      <c r="V59" s="65" t="n"/>
      <c r="W59" s="65" t="n"/>
      <c r="X59" s="66" t="n"/>
      <c r="Y59" s="65" t="n"/>
      <c r="Z59" s="65" t="n"/>
      <c r="AA59" s="65" t="n"/>
      <c r="AB59" s="65" t="n"/>
      <c r="AC59" s="65" t="n"/>
      <c r="AD59" s="65" t="n"/>
      <c r="AE59" s="65" t="n"/>
      <c r="AF59" s="65" t="n"/>
      <c r="AG59" s="65" t="n"/>
      <c r="AH59" s="65" t="n"/>
      <c r="AI59" s="65" t="n"/>
      <c r="AJ59" s="65" t="n"/>
      <c r="AK59" s="65" t="n"/>
      <c r="AL59" s="65" t="n"/>
      <c r="AM59" s="65" t="n"/>
      <c r="AN59" s="65" t="n"/>
      <c r="AO59" s="65" t="n"/>
      <c r="AP59" s="65" t="n"/>
      <c r="AQ59" s="65" t="n"/>
      <c r="AR59" s="65" t="n"/>
      <c r="AS59" s="65" t="n"/>
      <c r="AT59" s="65" t="n"/>
      <c r="AU59" s="65" t="n"/>
      <c r="AV59" s="65" t="n"/>
      <c r="AW59" s="65" t="n"/>
      <c r="AX59" s="65" t="n"/>
      <c r="AY59" s="65" t="n"/>
      <c r="AZ59" s="65" t="n"/>
      <c r="BA59" s="65" t="n"/>
      <c r="BB59" s="65" t="n"/>
      <c r="BC59" s="65" t="n"/>
      <c r="BD59" s="65" t="n"/>
      <c r="BE59" s="65" t="n"/>
      <c r="BF59" s="65" t="n"/>
      <c r="BG59" s="64" t="n"/>
      <c r="BH59" s="65" t="n"/>
    </row>
    <row r="60">
      <c r="F60" s="68" t="n"/>
      <c r="G60" s="68">
        <f>IF(B60="","",F60-I60 )</f>
        <v/>
      </c>
      <c r="H60" s="5" t="n"/>
      <c r="J60" s="65" t="n"/>
      <c r="K60" s="65" t="n"/>
      <c r="L60" s="65" t="n"/>
      <c r="M60" s="65" t="n"/>
      <c r="N60" s="65" t="n"/>
      <c r="O60" s="65" t="n"/>
      <c r="P60" s="65" t="n"/>
      <c r="Q60" s="65" t="n"/>
      <c r="R60" s="65" t="n"/>
      <c r="S60" s="65" t="n"/>
      <c r="T60" s="65" t="n"/>
      <c r="U60" s="65" t="n"/>
      <c r="V60" s="65" t="n"/>
      <c r="W60" s="65" t="n"/>
      <c r="X60" s="66" t="n"/>
      <c r="Y60" s="65" t="n"/>
      <c r="Z60" s="65" t="n"/>
      <c r="AA60" s="65" t="n"/>
      <c r="AB60" s="65" t="n"/>
      <c r="AC60" s="65" t="n"/>
      <c r="AD60" s="65" t="n"/>
      <c r="AE60" s="65" t="n"/>
      <c r="AF60" s="65" t="n"/>
      <c r="AG60" s="65" t="n"/>
      <c r="AH60" s="65" t="n"/>
      <c r="AI60" s="65" t="n"/>
      <c r="AJ60" s="65" t="n"/>
      <c r="AK60" s="65" t="n"/>
      <c r="AL60" s="65" t="n"/>
      <c r="AM60" s="65" t="n"/>
      <c r="AN60" s="65" t="n"/>
      <c r="AO60" s="65" t="n"/>
      <c r="AP60" s="65" t="n"/>
      <c r="AQ60" s="65" t="n"/>
      <c r="AR60" s="65" t="n"/>
      <c r="AS60" s="65" t="n"/>
      <c r="AT60" s="65" t="n"/>
      <c r="AU60" s="65" t="n"/>
      <c r="AV60" s="65" t="n"/>
      <c r="AW60" s="65" t="n"/>
      <c r="AX60" s="65" t="n"/>
      <c r="AY60" s="65" t="n"/>
      <c r="AZ60" s="65" t="n"/>
      <c r="BA60" s="65" t="n"/>
      <c r="BB60" s="65" t="n"/>
      <c r="BC60" s="65" t="n"/>
      <c r="BD60" s="65" t="n"/>
      <c r="BE60" s="65" t="n"/>
      <c r="BF60" s="65" t="n"/>
      <c r="BG60" s="64" t="n"/>
      <c r="BH60" s="65" t="n"/>
    </row>
    <row r="61">
      <c r="A61" s="0" t="inlineStr">
        <is>
          <t>R1.6</t>
        </is>
      </c>
      <c r="B61" s="1" t="inlineStr">
        <is>
          <t>ゆりが丘　市原邸</t>
        </is>
      </c>
      <c r="D61" s="1" t="inlineStr">
        <is>
          <t>リフォーム</t>
        </is>
      </c>
      <c r="E61" s="2" t="inlineStr">
        <is>
          <t>5月</t>
        </is>
      </c>
      <c r="F61" s="68" t="n">
        <v>11500000</v>
      </c>
      <c r="G61" s="68">
        <f>IF(B61="","",F61-I61 )</f>
        <v/>
      </c>
      <c r="H61" s="17">
        <f>IF(G61="","",G61/F61)</f>
        <v/>
      </c>
      <c r="I61" s="62">
        <f>SUM(テーブル9[[#This Row],[五大]:[工場材]])</f>
        <v/>
      </c>
      <c r="J61" s="65" t="n"/>
      <c r="K61" s="65" t="n"/>
      <c r="L61" s="65" t="n"/>
      <c r="M61" s="65" t="n"/>
      <c r="N61" s="65" t="n"/>
      <c r="O61" s="64" t="n">
        <v>200000</v>
      </c>
      <c r="P61" s="64" t="n"/>
      <c r="Q61" s="64" t="n"/>
      <c r="R61" s="64" t="n"/>
      <c r="S61" s="64" t="n"/>
      <c r="T61" s="64" t="n"/>
      <c r="U61" s="64" t="n"/>
      <c r="V61" s="64" t="n"/>
      <c r="W61" s="64" t="n">
        <v>1500000</v>
      </c>
      <c r="X61" s="66" t="n"/>
      <c r="Y61" s="64" t="n">
        <v>85000</v>
      </c>
      <c r="Z61" s="64" t="n"/>
      <c r="AA61" s="64" t="n">
        <v>1523200</v>
      </c>
      <c r="AB61" s="64" t="n">
        <v>430500</v>
      </c>
      <c r="AC61" s="64" t="n"/>
      <c r="AD61" s="64" t="n"/>
      <c r="AE61" s="64">
        <f>85000+18000+825267+85000</f>
        <v/>
      </c>
      <c r="AF61" s="64" t="n"/>
      <c r="AG61" s="64" t="n"/>
      <c r="AH61" s="64">
        <f>800000+115000</f>
        <v/>
      </c>
      <c r="AI61" s="64" t="n"/>
      <c r="AJ61" s="64" t="n"/>
      <c r="AK61" s="64" t="n"/>
      <c r="AL61" s="64" t="n">
        <v>545000</v>
      </c>
      <c r="AM61" s="64" t="n">
        <v>15000</v>
      </c>
      <c r="AN61" s="64" t="n"/>
      <c r="AO61" s="64">
        <f>30870+341400+99800+53325+1830000</f>
        <v/>
      </c>
      <c r="AP61" s="64" t="n"/>
      <c r="AQ61" s="64" t="n"/>
      <c r="AR61" s="64" t="n"/>
      <c r="AS61" s="64" t="n"/>
      <c r="AT61" s="64" t="n"/>
      <c r="AU61" s="64" t="n"/>
      <c r="AV61" s="64" t="n"/>
      <c r="AW61" s="64" t="n"/>
      <c r="AX61" s="64" t="n"/>
      <c r="AY61" s="64" t="n"/>
      <c r="AZ61" s="64" t="n">
        <v>165000</v>
      </c>
      <c r="BA61" s="64" t="n"/>
      <c r="BB61" s="64" t="n"/>
      <c r="BC61" s="64" t="n"/>
      <c r="BD61" s="64" t="n"/>
      <c r="BE61" s="64" t="n"/>
      <c r="BF61" s="64" t="n"/>
      <c r="BG61" s="64" t="n">
        <v>414000</v>
      </c>
      <c r="BH61" s="65" t="n"/>
    </row>
    <row r="62">
      <c r="B62" s="1" t="inlineStr">
        <is>
          <t>アンシャンテ豊田</t>
        </is>
      </c>
      <c r="D62" s="1" t="inlineStr">
        <is>
          <t>塗装</t>
        </is>
      </c>
      <c r="E62" s="2" t="inlineStr">
        <is>
          <t>5月</t>
        </is>
      </c>
      <c r="F62" s="68" t="n">
        <v>2440000</v>
      </c>
      <c r="G62" s="68">
        <f>IF(B62="","",F62-I62 )</f>
        <v/>
      </c>
      <c r="H62" s="17">
        <f>IF(G62="","",G62/F62)</f>
        <v/>
      </c>
      <c r="I62" s="62">
        <f>SUM(テーブル9[[#This Row],[五大]:[工場材]])</f>
        <v/>
      </c>
      <c r="J62" s="64" t="n">
        <v>340000</v>
      </c>
      <c r="K62" s="65" t="n"/>
      <c r="L62" s="65" t="n"/>
      <c r="M62" s="65" t="n"/>
      <c r="N62" s="65" t="n"/>
      <c r="O62" s="65" t="n"/>
      <c r="P62" s="65" t="n">
        <v>800000</v>
      </c>
      <c r="Q62" s="65" t="n"/>
      <c r="R62" s="64">
        <f>77000+10000</f>
        <v/>
      </c>
      <c r="S62" s="65" t="n"/>
      <c r="T62" s="65" t="n"/>
      <c r="U62" s="64">
        <f>26800+25400+36900+7400+12700</f>
        <v/>
      </c>
      <c r="V62" s="64" t="n"/>
      <c r="W62" s="65" t="n"/>
      <c r="X62" s="66" t="n"/>
      <c r="Y62" s="65" t="n"/>
      <c r="Z62" s="65" t="n"/>
      <c r="AA62" s="65" t="n"/>
      <c r="AB62" s="65" t="n"/>
      <c r="AC62" s="65" t="n"/>
      <c r="AD62" s="65" t="n"/>
      <c r="AE62" s="65" t="n"/>
      <c r="AF62" s="65" t="n"/>
      <c r="AG62" s="65" t="n"/>
      <c r="AH62" s="65" t="n"/>
      <c r="AI62" s="65" t="n"/>
      <c r="AJ62" s="65" t="n"/>
      <c r="AK62" s="65" t="n"/>
      <c r="AL62" s="65" t="n"/>
      <c r="AM62" s="65" t="n"/>
      <c r="AN62" s="65" t="n"/>
      <c r="AO62" s="65" t="n"/>
      <c r="AP62" s="65" t="n"/>
      <c r="AQ62" s="65" t="n"/>
      <c r="AR62" s="65" t="n"/>
      <c r="AS62" s="65" t="n"/>
      <c r="AT62" s="65" t="n"/>
      <c r="AU62" s="65" t="n"/>
      <c r="AV62" s="65" t="n"/>
      <c r="AW62" s="65" t="n"/>
      <c r="AX62" s="65" t="n"/>
      <c r="AY62" s="65" t="n"/>
      <c r="AZ62" s="65" t="n"/>
      <c r="BA62" s="65" t="n"/>
      <c r="BB62" s="65" t="n"/>
      <c r="BC62" s="65" t="n"/>
      <c r="BD62" s="65" t="n"/>
      <c r="BE62" s="65" t="n"/>
      <c r="BF62" s="65" t="n"/>
      <c r="BG62" s="65" t="n">
        <v>15000</v>
      </c>
      <c r="BH62" s="65" t="n"/>
    </row>
    <row r="63">
      <c r="B63" s="1" t="inlineStr">
        <is>
          <t>エクセレントフタバ</t>
        </is>
      </c>
      <c r="D63" s="1" t="inlineStr">
        <is>
          <t>塗装</t>
        </is>
      </c>
      <c r="E63" s="2" t="inlineStr">
        <is>
          <t>5月</t>
        </is>
      </c>
      <c r="F63" s="68" t="n">
        <v>1220000</v>
      </c>
      <c r="G63" s="68">
        <f>IF(B63="","",F63-I63 )</f>
        <v/>
      </c>
      <c r="H63" s="17">
        <f>IF(G63="","",G63/F63)</f>
        <v/>
      </c>
      <c r="I63" s="62">
        <f>SUM(テーブル9[[#This Row],[五大]:[工場材]])</f>
        <v/>
      </c>
      <c r="J63" s="65" t="n"/>
      <c r="K63" s="65" t="n"/>
      <c r="L63" s="65" t="n"/>
      <c r="M63" s="65" t="n">
        <v>240000</v>
      </c>
      <c r="N63" s="65" t="n"/>
      <c r="O63" s="64" t="n">
        <v>600000</v>
      </c>
      <c r="P63" s="65" t="n"/>
      <c r="Q63" s="65" t="n"/>
      <c r="R63" s="64" t="n">
        <v>45780</v>
      </c>
      <c r="S63" s="65" t="n"/>
      <c r="T63" s="65" t="n"/>
      <c r="U63" s="64" t="n">
        <v>52700</v>
      </c>
      <c r="V63" s="64" t="n"/>
      <c r="W63" s="65" t="n"/>
      <c r="X63" s="66" t="n"/>
      <c r="Y63" s="65" t="n"/>
      <c r="Z63" s="65" t="n"/>
      <c r="AA63" s="65" t="n"/>
      <c r="AB63" s="65" t="n"/>
      <c r="AC63" s="65" t="n"/>
      <c r="AD63" s="65" t="n"/>
      <c r="AE63" s="65" t="n"/>
      <c r="AF63" s="65" t="n"/>
      <c r="AG63" s="65" t="n"/>
      <c r="AH63" s="65" t="n"/>
      <c r="AI63" s="65" t="n"/>
      <c r="AJ63" s="65" t="n"/>
      <c r="AK63" s="65" t="n"/>
      <c r="AL63" s="65" t="n"/>
      <c r="AM63" s="65" t="n"/>
      <c r="AN63" s="65" t="n"/>
      <c r="AO63" s="65" t="n"/>
      <c r="AP63" s="65" t="n"/>
      <c r="AQ63" s="65" t="n"/>
      <c r="AR63" s="65" t="n"/>
      <c r="AS63" s="65" t="n"/>
      <c r="AT63" s="65" t="n"/>
      <c r="AU63" s="65" t="n"/>
      <c r="AV63" s="65" t="n"/>
      <c r="AW63" s="65" t="n"/>
      <c r="AX63" s="65" t="n"/>
      <c r="AY63" s="65" t="n"/>
      <c r="AZ63" s="65" t="n"/>
      <c r="BA63" s="65" t="n"/>
      <c r="BB63" s="65" t="n"/>
      <c r="BC63" s="65" t="n"/>
      <c r="BD63" s="65" t="n"/>
      <c r="BE63" s="65" t="n"/>
      <c r="BF63" s="65" t="n"/>
      <c r="BG63" s="65" t="n"/>
      <c r="BH63" s="65" t="n"/>
    </row>
    <row r="64">
      <c r="B64" s="1" t="inlineStr">
        <is>
          <t>コートビギン</t>
        </is>
      </c>
      <c r="D64" s="1" t="inlineStr">
        <is>
          <t>塗装</t>
        </is>
      </c>
      <c r="E64" s="2" t="inlineStr">
        <is>
          <t>5月</t>
        </is>
      </c>
      <c r="F64" s="68" t="n">
        <v>1980000</v>
      </c>
      <c r="G64" s="68">
        <f>IF(B64="","",F64-I64 )</f>
        <v/>
      </c>
      <c r="H64" s="17">
        <f>IF(G64="","",G64/F64)</f>
        <v/>
      </c>
      <c r="I64" s="62">
        <f>SUM(テーブル9[[#This Row],[五大]:[工場材]])</f>
        <v/>
      </c>
      <c r="J64" s="65" t="n"/>
      <c r="K64" s="64" t="n">
        <v>279500</v>
      </c>
      <c r="L64" s="64" t="n"/>
      <c r="M64" s="65" t="n"/>
      <c r="N64" s="65" t="n"/>
      <c r="O64" s="64" t="n">
        <v>800000</v>
      </c>
      <c r="P64" s="65" t="n"/>
      <c r="Q64" s="65" t="n"/>
      <c r="R64" s="64">
        <f>81*700</f>
        <v/>
      </c>
      <c r="S64" s="64" t="n">
        <v>35000</v>
      </c>
      <c r="T64" s="65" t="n"/>
      <c r="U64" s="64">
        <f>79600+25400+13500</f>
        <v/>
      </c>
      <c r="V64" s="64" t="n"/>
      <c r="W64" s="65" t="n"/>
      <c r="X64" s="66" t="n"/>
      <c r="Y64" s="65" t="n"/>
      <c r="Z64" s="65" t="n"/>
      <c r="AA64" s="65" t="n"/>
      <c r="AB64" s="65" t="n"/>
      <c r="AC64" s="65" t="n"/>
      <c r="AD64" s="65" t="n"/>
      <c r="AE64" s="65" t="n"/>
      <c r="AF64" s="65" t="n"/>
      <c r="AG64" s="65" t="n"/>
      <c r="AH64" s="65" t="n"/>
      <c r="AI64" s="65" t="n"/>
      <c r="AJ64" s="65" t="n"/>
      <c r="AK64" s="65" t="n"/>
      <c r="AL64" s="65" t="n"/>
      <c r="AM64" s="65" t="n"/>
      <c r="AN64" s="65" t="n"/>
      <c r="AO64" s="65" t="n"/>
      <c r="AP64" s="65" t="n"/>
      <c r="AQ64" s="65" t="n"/>
      <c r="AR64" s="65" t="n"/>
      <c r="AS64" s="65" t="n"/>
      <c r="AT64" s="65" t="n"/>
      <c r="AU64" s="65" t="n"/>
      <c r="AV64" s="65" t="n"/>
      <c r="AW64" s="65" t="n"/>
      <c r="AX64" s="65" t="n"/>
      <c r="AY64" s="65" t="n"/>
      <c r="AZ64" s="65" t="n"/>
      <c r="BA64" s="65" t="n"/>
      <c r="BB64" s="65" t="n"/>
      <c r="BC64" s="65" t="n"/>
      <c r="BD64" s="65" t="n"/>
      <c r="BE64" s="65" t="n"/>
      <c r="BF64" s="65" t="n"/>
      <c r="BG64" s="65" t="n"/>
      <c r="BH64" s="65" t="n"/>
    </row>
    <row r="65">
      <c r="B65" s="1" t="inlineStr">
        <is>
          <t>塩釜 渡辺邸</t>
        </is>
      </c>
      <c r="D65" s="1" t="inlineStr">
        <is>
          <t>キッチン交換</t>
        </is>
      </c>
      <c r="E65" s="2" t="inlineStr">
        <is>
          <t>5月</t>
        </is>
      </c>
      <c r="F65" s="62" t="n">
        <v>542000</v>
      </c>
      <c r="G65" s="68">
        <f>IF(B65="","",F65-I65 )</f>
        <v/>
      </c>
      <c r="H65" s="17">
        <f>IF(G65="","",G65/F65)</f>
        <v/>
      </c>
      <c r="I65" s="62">
        <f>SUM(テーブル9[[#This Row],[五大]:[工場材]])</f>
        <v/>
      </c>
      <c r="J65" s="65" t="n"/>
      <c r="K65" s="65" t="n"/>
      <c r="L65" s="65" t="n"/>
      <c r="M65" s="65" t="n"/>
      <c r="N65" s="65" t="n"/>
      <c r="O65" s="65" t="n"/>
      <c r="P65" s="65" t="n"/>
      <c r="Q65" s="65" t="n"/>
      <c r="R65" s="65" t="n"/>
      <c r="S65" s="65" t="n"/>
      <c r="T65" s="65" t="n"/>
      <c r="U65" s="65" t="n"/>
      <c r="V65" s="65" t="n"/>
      <c r="W65" s="65" t="n"/>
      <c r="X65" s="66" t="n"/>
      <c r="Y65" s="65" t="n"/>
      <c r="Z65" s="65" t="n"/>
      <c r="AA65" s="64" t="n">
        <v>160000</v>
      </c>
      <c r="AB65" s="64" t="n">
        <v>65000</v>
      </c>
      <c r="AC65" s="64" t="n"/>
      <c r="AD65" s="64" t="n"/>
      <c r="AE65" s="65" t="n"/>
      <c r="AF65" s="65" t="n"/>
      <c r="AG65" s="65" t="n"/>
      <c r="AH65" s="65" t="n"/>
      <c r="AI65" s="65" t="n"/>
      <c r="AJ65" s="65" t="n"/>
      <c r="AK65" s="65" t="n"/>
      <c r="AL65" s="65" t="n"/>
      <c r="AM65" s="65" t="n"/>
      <c r="AN65" s="65" t="n"/>
      <c r="AO65" s="65" t="n"/>
      <c r="AP65" s="65" t="n"/>
      <c r="AQ65" s="65" t="n"/>
      <c r="AR65" s="65" t="n"/>
      <c r="AS65" s="65" t="n"/>
      <c r="AT65" s="65" t="n"/>
      <c r="AU65" s="65" t="n"/>
      <c r="AV65" s="65" t="n"/>
      <c r="AW65" s="65" t="n"/>
      <c r="AX65" s="65" t="n"/>
      <c r="AY65" s="65" t="n"/>
      <c r="AZ65" s="65" t="n"/>
      <c r="BA65" s="65" t="n"/>
      <c r="BB65" s="65" t="n"/>
      <c r="BC65" s="65" t="n"/>
      <c r="BD65" s="65" t="n"/>
      <c r="BE65" s="65" t="n"/>
      <c r="BF65" s="65" t="n"/>
      <c r="BG65" s="65" t="n"/>
      <c r="BH65" s="65" t="n"/>
    </row>
    <row r="66">
      <c r="B66" s="22" t="inlineStr">
        <is>
          <t>合計</t>
        </is>
      </c>
      <c r="C66" s="22" t="n"/>
      <c r="F66" s="67">
        <f>SUBTOTAL(109,F61:F65)</f>
        <v/>
      </c>
      <c r="G66" s="67">
        <f>SUBTOTAL(109,G61:G65)</f>
        <v/>
      </c>
      <c r="H66" s="14">
        <f>IF(G66="","",G66/F66)</f>
        <v/>
      </c>
      <c r="I66" s="67">
        <f>SUBTOTAL(109,I61:I65)</f>
        <v/>
      </c>
      <c r="J66" s="64" t="n"/>
      <c r="K66" s="65" t="n"/>
      <c r="L66" s="65" t="n"/>
      <c r="M66" s="65" t="n"/>
      <c r="N66" s="65" t="n"/>
      <c r="O66" s="65" t="n"/>
      <c r="P66" s="65" t="n"/>
      <c r="Q66" s="65" t="n"/>
      <c r="R66" s="65" t="n"/>
      <c r="S66" s="65" t="n"/>
      <c r="T66" s="65" t="n"/>
      <c r="U66" s="65" t="n"/>
      <c r="V66" s="65" t="n"/>
      <c r="W66" s="65" t="n"/>
      <c r="X66" s="66" t="n"/>
      <c r="Y66" s="65" t="n"/>
      <c r="Z66" s="65" t="n"/>
      <c r="AA66" s="65" t="n"/>
      <c r="AB66" s="65" t="n"/>
      <c r="AC66" s="65" t="n"/>
      <c r="AD66" s="65" t="n"/>
      <c r="AE66" s="65" t="n"/>
      <c r="AF66" s="65" t="n"/>
      <c r="AG66" s="65" t="n"/>
      <c r="AH66" s="65" t="n"/>
      <c r="AI66" s="65" t="n"/>
      <c r="AJ66" s="65" t="n"/>
      <c r="AK66" s="65" t="n"/>
      <c r="AL66" s="65" t="n"/>
      <c r="AM66" s="65" t="n"/>
      <c r="AN66" s="65" t="n"/>
      <c r="AO66" s="65" t="n"/>
      <c r="AP66" s="65" t="n"/>
      <c r="AQ66" s="65" t="n"/>
      <c r="AR66" s="65" t="n"/>
      <c r="AS66" s="65" t="n"/>
      <c r="AT66" s="65" t="n"/>
      <c r="AU66" s="65" t="n"/>
      <c r="AV66" s="65" t="n"/>
      <c r="AW66" s="65" t="n"/>
      <c r="AX66" s="65" t="n"/>
      <c r="AY66" s="65" t="n"/>
      <c r="AZ66" s="65" t="n"/>
      <c r="BA66" s="65" t="n"/>
      <c r="BB66" s="65" t="n"/>
      <c r="BC66" s="65" t="n"/>
      <c r="BD66" s="65" t="n"/>
      <c r="BE66" s="65" t="n"/>
      <c r="BF66" s="65" t="n"/>
      <c r="BG66" s="64" t="n"/>
      <c r="BH66" s="65" t="n"/>
    </row>
    <row r="67">
      <c r="G67" s="62">
        <f>IF(B67="","",F67-I67 )</f>
        <v/>
      </c>
      <c r="H67" s="4">
        <f>IF(G67="","",G67/F67)</f>
        <v/>
      </c>
      <c r="I67" s="62">
        <f>SUM(テーブル9[[#This Row],[五大]:[工場材]])</f>
        <v/>
      </c>
      <c r="J67" s="65" t="n"/>
      <c r="K67" s="65" t="n"/>
      <c r="L67" s="65" t="n"/>
      <c r="M67" s="65" t="n"/>
      <c r="N67" s="65" t="n"/>
      <c r="O67" s="65" t="n"/>
      <c r="P67" s="65" t="n"/>
      <c r="Q67" s="65" t="n"/>
      <c r="R67" s="65" t="n"/>
      <c r="S67" s="65" t="n"/>
      <c r="T67" s="65" t="n"/>
      <c r="U67" s="65" t="n"/>
      <c r="V67" s="65" t="n"/>
      <c r="W67" s="65" t="n"/>
      <c r="X67" s="66" t="n"/>
      <c r="Y67" s="65" t="n"/>
      <c r="Z67" s="65" t="n"/>
      <c r="AA67" s="65" t="n"/>
      <c r="AB67" s="65" t="n"/>
      <c r="AC67" s="65" t="n"/>
      <c r="AD67" s="65" t="n"/>
      <c r="AE67" s="65" t="n"/>
      <c r="AF67" s="65" t="n"/>
      <c r="AG67" s="65" t="n"/>
      <c r="AH67" s="65" t="n"/>
      <c r="AI67" s="65" t="n"/>
      <c r="AJ67" s="65" t="n"/>
      <c r="AK67" s="65" t="n"/>
      <c r="AL67" s="65" t="n"/>
      <c r="AM67" s="65" t="n"/>
      <c r="AN67" s="65" t="n"/>
      <c r="AO67" s="65" t="n"/>
      <c r="AP67" s="65" t="n"/>
      <c r="AQ67" s="65" t="n"/>
      <c r="AR67" s="65" t="n"/>
      <c r="AS67" s="65" t="n"/>
      <c r="AT67" s="65" t="n"/>
      <c r="AU67" s="65" t="n"/>
      <c r="AV67" s="65" t="n"/>
      <c r="AW67" s="65" t="n"/>
      <c r="AX67" s="65" t="n"/>
      <c r="AY67" s="65" t="n"/>
      <c r="AZ67" s="65" t="n"/>
      <c r="BA67" s="65" t="n"/>
      <c r="BB67" s="65" t="n"/>
      <c r="BC67" s="65" t="n"/>
      <c r="BD67" s="65" t="n"/>
      <c r="BE67" s="65" t="n"/>
      <c r="BF67" s="65" t="n"/>
      <c r="BG67" s="65" t="n"/>
      <c r="BH67" s="65" t="n"/>
    </row>
    <row r="68">
      <c r="F68" s="68" t="n"/>
      <c r="G68" s="68">
        <f>IF(B68="","",F68-I68 )</f>
        <v/>
      </c>
      <c r="H68" s="5">
        <f>IF(G68="","",G68/F68)</f>
        <v/>
      </c>
      <c r="I68" s="62">
        <f>SUM(テーブル9[[#This Row],[五大]:[工場材]])</f>
        <v/>
      </c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  <c r="X68" s="66" t="n"/>
      <c r="Y68" s="65" t="n"/>
      <c r="Z68" s="65" t="n"/>
      <c r="AA68" s="65" t="n"/>
      <c r="AB68" s="65" t="n"/>
      <c r="AC68" s="65" t="n"/>
      <c r="AD68" s="65" t="n"/>
      <c r="AE68" s="65" t="n"/>
      <c r="AF68" s="65" t="n"/>
      <c r="AG68" s="65" t="n"/>
      <c r="AH68" s="65" t="n"/>
      <c r="AI68" s="65" t="n"/>
      <c r="AJ68" s="65" t="n"/>
      <c r="AK68" s="65" t="n"/>
      <c r="AL68" s="65" t="n"/>
      <c r="AM68" s="65" t="n"/>
      <c r="AN68" s="65" t="n"/>
      <c r="AO68" s="65" t="n"/>
      <c r="AP68" s="65" t="n"/>
      <c r="AQ68" s="65" t="n"/>
      <c r="AR68" s="65" t="n"/>
      <c r="AS68" s="65" t="n"/>
      <c r="AT68" s="65" t="n"/>
      <c r="AU68" s="65" t="n"/>
      <c r="AV68" s="65" t="n"/>
      <c r="AW68" s="65" t="n"/>
      <c r="AX68" s="65" t="n"/>
      <c r="AY68" s="65" t="n"/>
      <c r="AZ68" s="65" t="n"/>
      <c r="BA68" s="65" t="n"/>
      <c r="BB68" s="65" t="n"/>
      <c r="BC68" s="65" t="n"/>
      <c r="BD68" s="65" t="n"/>
      <c r="BE68" s="65" t="n"/>
      <c r="BF68" s="65" t="n"/>
      <c r="BG68" s="65" t="n"/>
      <c r="BH68" s="65" t="n"/>
    </row>
    <row r="69">
      <c r="A69" s="0" t="inlineStr">
        <is>
          <t>R1.7</t>
        </is>
      </c>
      <c r="B69" s="1" t="inlineStr">
        <is>
          <t>コーポユーカリ/Ⅱ（2棟）</t>
        </is>
      </c>
      <c r="D69" s="1" t="inlineStr">
        <is>
          <t>塗装</t>
        </is>
      </c>
      <c r="E69" s="2" t="inlineStr">
        <is>
          <t>6月</t>
        </is>
      </c>
      <c r="F69" s="68" t="n">
        <v>3000000</v>
      </c>
      <c r="G69" s="68" t="n">
        <v>785500</v>
      </c>
      <c r="H69" s="17" t="n">
        <v>0.2618333333333333</v>
      </c>
      <c r="I69" s="62" t="n">
        <v>2214500</v>
      </c>
      <c r="J69" s="65" t="n"/>
      <c r="K69" s="64" t="n">
        <v>474300</v>
      </c>
      <c r="L69" s="64" t="n"/>
      <c r="M69" s="65" t="n"/>
      <c r="N69" s="65" t="n"/>
      <c r="O69" s="64" t="n">
        <v>1400000</v>
      </c>
      <c r="P69" s="65" t="n"/>
      <c r="Q69" s="65" t="n"/>
      <c r="R69" s="64" t="n">
        <v>80000</v>
      </c>
      <c r="S69" s="64" t="n">
        <v>35000</v>
      </c>
      <c r="T69" s="65" t="n"/>
      <c r="U69" s="64">
        <f>207200+4600</f>
        <v/>
      </c>
      <c r="V69" s="64" t="n"/>
      <c r="W69" s="65" t="n"/>
      <c r="X69" s="66" t="n"/>
      <c r="Y69" s="65" t="n"/>
      <c r="Z69" s="65" t="n"/>
      <c r="AA69" s="65" t="n"/>
      <c r="AB69" s="65" t="n"/>
      <c r="AC69" s="65" t="n"/>
      <c r="AD69" s="65" t="n"/>
      <c r="AE69" s="65" t="n"/>
      <c r="AF69" s="65" t="n"/>
      <c r="AG69" s="65" t="n"/>
      <c r="AH69" s="65" t="n"/>
      <c r="AI69" s="65" t="n"/>
      <c r="AJ69" s="65" t="n"/>
      <c r="AK69" s="65" t="n"/>
      <c r="AL69" s="65" t="n"/>
      <c r="AM69" s="65" t="n"/>
      <c r="AN69" s="65" t="n"/>
      <c r="AO69" s="65" t="n"/>
      <c r="AP69" s="65" t="n"/>
      <c r="AQ69" s="65" t="n"/>
      <c r="AR69" s="65" t="n"/>
      <c r="AS69" s="65" t="n"/>
      <c r="AT69" s="65" t="n"/>
      <c r="AU69" s="65" t="n"/>
      <c r="AV69" s="65" t="n"/>
      <c r="AW69" s="65" t="n"/>
      <c r="AX69" s="65" t="n"/>
      <c r="AY69" s="65" t="n"/>
      <c r="AZ69" s="65" t="n">
        <v>18000</v>
      </c>
      <c r="BA69" s="65" t="n"/>
      <c r="BB69" s="65" t="n"/>
      <c r="BC69" s="65" t="n"/>
      <c r="BD69" s="65" t="n"/>
      <c r="BE69" s="65" t="n"/>
      <c r="BF69" s="65" t="n"/>
      <c r="BG69" s="65" t="n"/>
      <c r="BH69" s="65" t="n"/>
    </row>
    <row r="70">
      <c r="B70" s="1" t="inlineStr">
        <is>
          <t>サンティエ</t>
        </is>
      </c>
      <c r="D70" s="1" t="inlineStr">
        <is>
          <t>塗装</t>
        </is>
      </c>
      <c r="E70" s="2" t="inlineStr">
        <is>
          <t>6月</t>
        </is>
      </c>
      <c r="F70" s="68" t="n">
        <v>1490000</v>
      </c>
      <c r="G70" s="68" t="n">
        <v>529200</v>
      </c>
      <c r="H70" s="17" t="n">
        <v>0.3551677852348993</v>
      </c>
      <c r="I70" s="62" t="n">
        <v>960800</v>
      </c>
      <c r="J70" s="64" t="n">
        <v>250000</v>
      </c>
      <c r="K70" s="64" t="n"/>
      <c r="L70" s="64" t="n"/>
      <c r="M70" s="65" t="n"/>
      <c r="N70" s="65" t="n"/>
      <c r="O70" s="65" t="n"/>
      <c r="P70" s="64" t="n">
        <v>600000</v>
      </c>
      <c r="Q70" s="65" t="n"/>
      <c r="R70" s="64" t="n">
        <v>60000</v>
      </c>
      <c r="S70" s="65" t="n"/>
      <c r="T70" s="65" t="n"/>
      <c r="U70" s="64" t="n">
        <v>50800</v>
      </c>
      <c r="V70" s="64" t="n"/>
      <c r="W70" s="65" t="n"/>
      <c r="X70" s="66" t="n"/>
      <c r="Y70" s="65" t="n"/>
      <c r="Z70" s="65" t="n"/>
      <c r="AA70" s="65" t="n"/>
      <c r="AB70" s="65" t="n"/>
      <c r="AC70" s="65" t="n"/>
      <c r="AD70" s="65" t="n"/>
      <c r="AE70" s="65" t="n"/>
      <c r="AF70" s="65" t="n"/>
      <c r="AG70" s="65" t="n"/>
      <c r="AH70" s="65" t="n"/>
      <c r="AI70" s="65" t="n"/>
      <c r="AJ70" s="65" t="n"/>
      <c r="AK70" s="65" t="n"/>
      <c r="AL70" s="65" t="n"/>
      <c r="AM70" s="65" t="n"/>
      <c r="AN70" s="65" t="n"/>
      <c r="AO70" s="65" t="n"/>
      <c r="AP70" s="65" t="n"/>
      <c r="AQ70" s="65" t="n"/>
      <c r="AR70" s="65" t="n"/>
      <c r="AS70" s="65" t="n"/>
      <c r="AT70" s="65" t="n"/>
      <c r="AU70" s="65" t="n"/>
      <c r="AV70" s="65" t="n"/>
      <c r="AW70" s="65" t="n"/>
      <c r="AX70" s="65" t="n"/>
      <c r="AY70" s="65" t="n"/>
      <c r="AZ70" s="65" t="n"/>
      <c r="BA70" s="65" t="n"/>
      <c r="BB70" s="65" t="n"/>
      <c r="BC70" s="65" t="n"/>
      <c r="BD70" s="65" t="n"/>
      <c r="BE70" s="65" t="n"/>
      <c r="BF70" s="65" t="n"/>
      <c r="BG70" s="65" t="n"/>
      <c r="BH70" s="65" t="n"/>
    </row>
    <row r="71">
      <c r="B71" s="1" t="inlineStr">
        <is>
          <t>パークヒルズK</t>
        </is>
      </c>
      <c r="D71" s="1" t="inlineStr">
        <is>
          <t>塗装</t>
        </is>
      </c>
      <c r="E71" s="2" t="inlineStr">
        <is>
          <t>6月</t>
        </is>
      </c>
      <c r="F71" s="68" t="n">
        <v>2100000</v>
      </c>
      <c r="G71" s="68" t="n">
        <v>777380</v>
      </c>
      <c r="H71" s="17" t="n">
        <v>0.3701809523809524</v>
      </c>
      <c r="I71" s="62" t="n">
        <v>1322620</v>
      </c>
      <c r="J71" s="65" t="n"/>
      <c r="K71" s="64" t="n">
        <v>260000</v>
      </c>
      <c r="L71" s="64" t="n"/>
      <c r="M71" s="65" t="n"/>
      <c r="N71" s="65" t="n"/>
      <c r="O71" s="64" t="n">
        <v>850000</v>
      </c>
      <c r="P71" s="65" t="n"/>
      <c r="Q71" s="65" t="n"/>
      <c r="R71" s="64" t="n">
        <v>40320</v>
      </c>
      <c r="S71" s="64" t="n">
        <v>35000</v>
      </c>
      <c r="T71" s="65" t="n"/>
      <c r="U71" s="64" t="n">
        <v>122300</v>
      </c>
      <c r="V71" s="64" t="n"/>
      <c r="W71" s="65" t="n"/>
      <c r="X71" s="66" t="n"/>
      <c r="Y71" s="65" t="n"/>
      <c r="Z71" s="65" t="n"/>
      <c r="AA71" s="65" t="n"/>
      <c r="AB71" s="65" t="n"/>
      <c r="AC71" s="65" t="n"/>
      <c r="AD71" s="65" t="n"/>
      <c r="AE71" s="65" t="n"/>
      <c r="AF71" s="65" t="n"/>
      <c r="AG71" s="65" t="n"/>
      <c r="AH71" s="65" t="n"/>
      <c r="AI71" s="65" t="n"/>
      <c r="AJ71" s="65" t="n"/>
      <c r="AK71" s="65" t="n"/>
      <c r="AL71" s="65" t="n"/>
      <c r="AM71" s="64" t="n">
        <v>15000</v>
      </c>
      <c r="AN71" s="65" t="n"/>
      <c r="AO71" s="65" t="n"/>
      <c r="AP71" s="65" t="n"/>
      <c r="AQ71" s="65" t="n"/>
      <c r="AR71" s="65" t="n"/>
      <c r="AS71" s="65" t="n"/>
      <c r="AT71" s="65" t="n"/>
      <c r="AU71" s="65" t="n"/>
      <c r="AV71" s="65" t="n"/>
      <c r="AW71" s="65" t="n"/>
      <c r="AX71" s="65" t="n"/>
      <c r="AY71" s="65" t="n"/>
      <c r="AZ71" s="65" t="n"/>
      <c r="BA71" s="65" t="n"/>
      <c r="BB71" s="65" t="n"/>
      <c r="BC71" s="65" t="n"/>
      <c r="BD71" s="65" t="n"/>
      <c r="BE71" s="65" t="n"/>
      <c r="BF71" s="65" t="n"/>
      <c r="BG71" s="65" t="n"/>
      <c r="BH71" s="65" t="n"/>
    </row>
    <row r="72">
      <c r="B72" s="22" t="inlineStr">
        <is>
          <t>合計</t>
        </is>
      </c>
      <c r="C72" s="22" t="n"/>
      <c r="F72" s="67">
        <f>SUBTOTAL(109,F68:F71)</f>
        <v/>
      </c>
      <c r="G72" s="67">
        <f>SUBTOTAL(109,G68:G71)</f>
        <v/>
      </c>
      <c r="H72" s="14">
        <f>IF(G72="","",G72/F72)</f>
        <v/>
      </c>
      <c r="I72" s="67">
        <f>SUBTOTAL(109,I68:I71)</f>
        <v/>
      </c>
      <c r="J72" s="64" t="n"/>
      <c r="K72" s="65" t="n"/>
      <c r="L72" s="65" t="n"/>
      <c r="M72" s="65" t="n"/>
      <c r="N72" s="65" t="n"/>
      <c r="O72" s="65" t="n"/>
      <c r="P72" s="65" t="n"/>
      <c r="Q72" s="65" t="n"/>
      <c r="R72" s="65" t="n"/>
      <c r="S72" s="65" t="n"/>
      <c r="T72" s="65" t="n"/>
      <c r="U72" s="65" t="n"/>
      <c r="V72" s="65" t="n"/>
      <c r="W72" s="65" t="n"/>
      <c r="X72" s="66" t="n"/>
      <c r="Y72" s="65" t="n"/>
      <c r="Z72" s="65" t="n"/>
      <c r="AA72" s="65" t="n"/>
      <c r="AB72" s="65" t="n"/>
      <c r="AC72" s="65" t="n"/>
      <c r="AD72" s="65" t="n"/>
      <c r="AE72" s="65" t="n"/>
      <c r="AF72" s="65" t="n"/>
      <c r="AG72" s="65" t="n"/>
      <c r="AH72" s="65" t="n"/>
      <c r="AI72" s="65" t="n"/>
      <c r="AJ72" s="65" t="n"/>
      <c r="AK72" s="65" t="n"/>
      <c r="AL72" s="65" t="n"/>
      <c r="AM72" s="65" t="n"/>
      <c r="AN72" s="65" t="n"/>
      <c r="AO72" s="65" t="n"/>
      <c r="AP72" s="65" t="n"/>
      <c r="AQ72" s="65" t="n"/>
      <c r="AR72" s="65" t="n"/>
      <c r="AS72" s="65" t="n"/>
      <c r="AT72" s="65" t="n"/>
      <c r="AU72" s="65" t="n"/>
      <c r="AV72" s="65" t="n"/>
      <c r="AW72" s="65" t="n"/>
      <c r="AX72" s="65" t="n"/>
      <c r="AY72" s="65" t="n"/>
      <c r="AZ72" s="65" t="n"/>
      <c r="BA72" s="65" t="n"/>
      <c r="BB72" s="65" t="n"/>
      <c r="BC72" s="65" t="n"/>
      <c r="BD72" s="65" t="n"/>
      <c r="BE72" s="65" t="n"/>
      <c r="BF72" s="65" t="n"/>
      <c r="BG72" s="64" t="n"/>
      <c r="BH72" s="65" t="n"/>
    </row>
    <row r="73">
      <c r="F73" s="68" t="n"/>
      <c r="G73" s="68">
        <f>IF(B73="","",F73-I73 )</f>
        <v/>
      </c>
      <c r="H73" s="5">
        <f>IF(G73="","",G73/F73)</f>
        <v/>
      </c>
      <c r="J73" s="65" t="n"/>
      <c r="K73" s="65" t="n"/>
      <c r="L73" s="65" t="n"/>
      <c r="M73" s="65" t="n"/>
      <c r="N73" s="65" t="n"/>
      <c r="O73" s="65" t="n"/>
      <c r="P73" s="65" t="n"/>
      <c r="Q73" s="65" t="n"/>
      <c r="R73" s="65" t="n"/>
      <c r="S73" s="65" t="n"/>
      <c r="T73" s="65" t="n"/>
      <c r="U73" s="65" t="n"/>
      <c r="V73" s="65" t="n"/>
      <c r="W73" s="65" t="n"/>
      <c r="X73" s="66" t="n"/>
      <c r="Y73" s="65" t="n"/>
      <c r="Z73" s="65" t="n"/>
      <c r="AA73" s="65" t="n"/>
      <c r="AB73" s="65" t="n"/>
      <c r="AC73" s="65" t="n"/>
      <c r="AD73" s="65" t="n"/>
      <c r="AE73" s="65" t="n"/>
      <c r="AF73" s="65" t="n"/>
      <c r="AG73" s="65" t="n"/>
      <c r="AH73" s="65" t="n"/>
      <c r="AI73" s="65" t="n"/>
      <c r="AJ73" s="65" t="n"/>
      <c r="AK73" s="65" t="n"/>
      <c r="AL73" s="65" t="n"/>
      <c r="AM73" s="65" t="n"/>
      <c r="AN73" s="65" t="n"/>
      <c r="AO73" s="65" t="n"/>
      <c r="AP73" s="65" t="n"/>
      <c r="AQ73" s="65" t="n"/>
      <c r="AR73" s="65" t="n"/>
      <c r="AS73" s="65" t="n"/>
      <c r="AT73" s="65" t="n"/>
      <c r="AU73" s="65" t="n"/>
      <c r="AV73" s="65" t="n"/>
      <c r="AW73" s="65" t="n"/>
      <c r="AX73" s="65" t="n"/>
      <c r="AY73" s="65" t="n"/>
      <c r="AZ73" s="65" t="n"/>
      <c r="BA73" s="65" t="n"/>
      <c r="BB73" s="65" t="n"/>
      <c r="BC73" s="65" t="n"/>
      <c r="BD73" s="65" t="n"/>
      <c r="BE73" s="65" t="n"/>
      <c r="BF73" s="65" t="n"/>
      <c r="BG73" s="65" t="n"/>
      <c r="BH73" s="65" t="n"/>
    </row>
    <row r="74">
      <c r="F74" s="68" t="n"/>
      <c r="G74" s="68">
        <f>IF(B74="","",F74-I74 )</f>
        <v/>
      </c>
      <c r="H74" s="5">
        <f>IF(G74="","",G74/F74)</f>
        <v/>
      </c>
      <c r="J74" s="65" t="n"/>
      <c r="K74" s="65" t="n"/>
      <c r="L74" s="65" t="n"/>
      <c r="M74" s="65" t="n"/>
      <c r="N74" s="65" t="n"/>
      <c r="O74" s="65" t="n"/>
      <c r="P74" s="65" t="n"/>
      <c r="Q74" s="65" t="n"/>
      <c r="R74" s="65" t="n"/>
      <c r="S74" s="65" t="n"/>
      <c r="T74" s="65" t="n"/>
      <c r="U74" s="65" t="n"/>
      <c r="V74" s="65" t="n"/>
      <c r="W74" s="65" t="n"/>
      <c r="X74" s="66" t="n"/>
      <c r="Y74" s="65" t="n"/>
      <c r="Z74" s="65" t="n"/>
      <c r="AA74" s="65" t="n"/>
      <c r="AB74" s="65" t="n"/>
      <c r="AC74" s="65" t="n"/>
      <c r="AD74" s="65" t="n"/>
      <c r="AE74" s="65" t="n"/>
      <c r="AF74" s="65" t="n"/>
      <c r="AG74" s="65" t="n"/>
      <c r="AH74" s="65" t="n"/>
      <c r="AI74" s="65" t="n"/>
      <c r="AJ74" s="65" t="n"/>
      <c r="AK74" s="65" t="n"/>
      <c r="AL74" s="65" t="n"/>
      <c r="AM74" s="65" t="n"/>
      <c r="AN74" s="65" t="n"/>
      <c r="AO74" s="65" t="n"/>
      <c r="AP74" s="65" t="n"/>
      <c r="AQ74" s="65" t="n"/>
      <c r="AR74" s="65" t="n"/>
      <c r="AS74" s="65" t="n"/>
      <c r="AT74" s="65" t="n"/>
      <c r="AU74" s="65" t="n"/>
      <c r="AV74" s="65" t="n"/>
      <c r="AW74" s="65" t="n"/>
      <c r="AX74" s="65" t="n"/>
      <c r="AY74" s="65" t="n"/>
      <c r="AZ74" s="65" t="n"/>
      <c r="BA74" s="65" t="n"/>
      <c r="BB74" s="65" t="n"/>
      <c r="BC74" s="65" t="n"/>
      <c r="BD74" s="65" t="n"/>
      <c r="BE74" s="65" t="n"/>
      <c r="BF74" s="65" t="n"/>
      <c r="BG74" s="65" t="n"/>
      <c r="BH74" s="65" t="n"/>
    </row>
    <row r="75">
      <c r="A75" s="0" t="inlineStr">
        <is>
          <t>R1.8</t>
        </is>
      </c>
      <c r="B75" s="1" t="inlineStr">
        <is>
          <t>アスティオン</t>
        </is>
      </c>
      <c r="D75" s="1" t="inlineStr">
        <is>
          <t>塗装</t>
        </is>
      </c>
      <c r="E75" s="2" t="inlineStr">
        <is>
          <t>7月</t>
        </is>
      </c>
      <c r="F75" s="62" t="n">
        <v>1473200</v>
      </c>
      <c r="G75" s="62">
        <f>IF(B75="","",F75-I75 )</f>
        <v/>
      </c>
      <c r="H75" s="4">
        <f>IF(G75="","",G75/F75)</f>
        <v/>
      </c>
      <c r="I75" s="62">
        <f>SUM(テーブル9[[#This Row],[五大]:[工場材]])</f>
        <v/>
      </c>
      <c r="J75" s="64" t="n">
        <v>255000</v>
      </c>
      <c r="K75" s="65" t="n"/>
      <c r="L75" s="65" t="n"/>
      <c r="M75" s="65" t="n"/>
      <c r="N75" s="65" t="n"/>
      <c r="O75" s="64" t="n">
        <v>700000</v>
      </c>
      <c r="P75" s="65" t="n"/>
      <c r="Q75" s="65" t="n"/>
      <c r="R75" s="65" t="n"/>
      <c r="S75" s="64" t="n">
        <v>35000</v>
      </c>
      <c r="T75" s="65" t="n"/>
      <c r="U75" s="64" t="n"/>
      <c r="V75" s="64" t="n"/>
      <c r="W75" s="65" t="n"/>
      <c r="X75" s="66" t="n"/>
      <c r="Y75" s="65" t="n"/>
      <c r="Z75" s="65" t="n"/>
      <c r="AA75" s="65" t="n"/>
      <c r="AB75" s="65" t="n"/>
      <c r="AC75" s="65" t="n"/>
      <c r="AD75" s="65" t="n"/>
      <c r="AE75" s="65" t="n"/>
      <c r="AF75" s="65" t="n"/>
      <c r="AG75" s="65" t="n"/>
      <c r="AH75" s="65" t="n"/>
      <c r="AI75" s="65" t="n"/>
      <c r="AJ75" s="65" t="n"/>
      <c r="AK75" s="65" t="n"/>
      <c r="AL75" s="65" t="n"/>
      <c r="AM75" s="64" t="n">
        <v>15000</v>
      </c>
      <c r="AN75" s="65" t="n"/>
      <c r="AO75" s="65" t="n"/>
      <c r="AP75" s="65" t="n"/>
      <c r="AQ75" s="65" t="n"/>
      <c r="AR75" s="65" t="n"/>
      <c r="AS75" s="65" t="n"/>
      <c r="AT75" s="65" t="n"/>
      <c r="AU75" s="65" t="n"/>
      <c r="AV75" s="65" t="n"/>
      <c r="AW75" s="65" t="n"/>
      <c r="AX75" s="65" t="n"/>
      <c r="AY75" s="65" t="n"/>
      <c r="AZ75" s="65" t="n"/>
      <c r="BA75" s="65" t="n"/>
      <c r="BB75" s="65" t="n"/>
      <c r="BC75" s="65" t="n"/>
      <c r="BD75" s="65" t="n"/>
      <c r="BE75" s="65" t="n"/>
      <c r="BF75" s="65" t="n"/>
      <c r="BG75" s="65" t="n"/>
      <c r="BH75" s="65" t="n"/>
    </row>
    <row r="76">
      <c r="B76" s="1" t="inlineStr">
        <is>
          <t>プレイスティージュE</t>
        </is>
      </c>
      <c r="D76" s="1" t="inlineStr">
        <is>
          <t>塗装　福島</t>
        </is>
      </c>
      <c r="E76" s="2" t="inlineStr">
        <is>
          <t>6月</t>
        </is>
      </c>
      <c r="F76" s="62" t="n">
        <v>2390000</v>
      </c>
      <c r="G76" s="62">
        <f>IF(B76="","",F76-I76 )</f>
        <v/>
      </c>
      <c r="H76" s="4">
        <f>IF(G76="","",G76/F76)</f>
        <v/>
      </c>
      <c r="I76" s="62">
        <f>SUM(テーブル9[[#This Row],[五大]:[工場材]])</f>
        <v/>
      </c>
      <c r="J76" s="64" t="n"/>
      <c r="K76" s="64" t="n">
        <v>442000</v>
      </c>
      <c r="L76" s="64" t="n"/>
      <c r="M76" s="65" t="n"/>
      <c r="N76" s="65" t="n"/>
      <c r="O76" s="64" t="n"/>
      <c r="P76" s="64" t="n">
        <v>1200000</v>
      </c>
      <c r="Q76" s="65" t="n"/>
      <c r="R76" s="65" t="n"/>
      <c r="S76" s="64" t="n">
        <v>35000</v>
      </c>
      <c r="T76" s="65" t="n"/>
      <c r="U76" s="64">
        <f>97400+30700+76200+25200+14800</f>
        <v/>
      </c>
      <c r="V76" s="64" t="n"/>
      <c r="W76" s="65" t="n"/>
      <c r="X76" s="66" t="n"/>
      <c r="Y76" s="65" t="n"/>
      <c r="Z76" s="65" t="n"/>
      <c r="AA76" s="65" t="n"/>
      <c r="AB76" s="65" t="n"/>
      <c r="AC76" s="65" t="n"/>
      <c r="AD76" s="65" t="n"/>
      <c r="AE76" s="65" t="n"/>
      <c r="AF76" s="65" t="n"/>
      <c r="AG76" s="65" t="n"/>
      <c r="AH76" s="65" t="n"/>
      <c r="AI76" s="65" t="n"/>
      <c r="AJ76" s="65" t="n"/>
      <c r="AK76" s="65" t="n"/>
      <c r="AL76" s="65" t="n"/>
      <c r="AM76" s="65" t="n"/>
      <c r="AN76" s="65" t="n"/>
      <c r="AO76" s="65" t="n"/>
      <c r="AP76" s="65" t="n"/>
      <c r="AQ76" s="65" t="n"/>
      <c r="AR76" s="65" t="n"/>
      <c r="AS76" s="65" t="n"/>
      <c r="AT76" s="65" t="n"/>
      <c r="AU76" s="65" t="n"/>
      <c r="AV76" s="65" t="n"/>
      <c r="AW76" s="65" t="n"/>
      <c r="AX76" s="65" t="n"/>
      <c r="AY76" s="65" t="n"/>
      <c r="AZ76" s="65" t="n"/>
      <c r="BA76" s="65" t="n"/>
      <c r="BB76" s="65" t="n"/>
      <c r="BC76" s="65" t="n"/>
      <c r="BD76" s="65" t="n"/>
      <c r="BE76" s="65" t="n"/>
      <c r="BF76" s="65" t="n"/>
      <c r="BG76" s="65" t="n"/>
      <c r="BH76" s="65" t="n"/>
    </row>
    <row r="77">
      <c r="B77" s="1" t="inlineStr">
        <is>
          <t>シャルマンA</t>
        </is>
      </c>
      <c r="D77" s="1" t="inlineStr">
        <is>
          <t>塗装</t>
        </is>
      </c>
      <c r="E77" s="2" t="inlineStr">
        <is>
          <t>7月</t>
        </is>
      </c>
      <c r="F77" s="62" t="n">
        <v>1839668</v>
      </c>
      <c r="G77" s="62" t="n">
        <v>664208</v>
      </c>
      <c r="H77" s="4" t="n">
        <v>0.361047754268705</v>
      </c>
      <c r="I77" s="62" t="n">
        <v>1175460</v>
      </c>
      <c r="J77" s="64" t="n">
        <v>250000</v>
      </c>
      <c r="K77" s="65" t="n"/>
      <c r="L77" s="65" t="n"/>
      <c r="M77" s="65" t="n"/>
      <c r="N77" s="65" t="n"/>
      <c r="O77" s="64" t="n">
        <v>700000</v>
      </c>
      <c r="P77" s="65" t="n"/>
      <c r="Q77" s="65" t="n"/>
      <c r="R77" s="64" t="n">
        <v>48160</v>
      </c>
      <c r="S77" s="65" t="n"/>
      <c r="T77" s="65" t="n"/>
      <c r="U77" s="64" t="n">
        <v>177300</v>
      </c>
      <c r="V77" s="64" t="n"/>
      <c r="W77" s="65" t="n"/>
      <c r="X77" s="66" t="n"/>
      <c r="Y77" s="65" t="n"/>
      <c r="Z77" s="65" t="n"/>
      <c r="AA77" s="65" t="n"/>
      <c r="AB77" s="65" t="n"/>
      <c r="AC77" s="65" t="n"/>
      <c r="AD77" s="65" t="n"/>
      <c r="AE77" s="65" t="n"/>
      <c r="AF77" s="65" t="n"/>
      <c r="AG77" s="65" t="n"/>
      <c r="AH77" s="65" t="n"/>
      <c r="AI77" s="65" t="n"/>
      <c r="AJ77" s="65" t="n"/>
      <c r="AK77" s="65" t="n"/>
      <c r="AL77" s="65" t="n"/>
      <c r="AM77" s="64" t="n"/>
      <c r="AN77" s="65" t="n"/>
      <c r="AO77" s="65" t="n"/>
      <c r="AP77" s="65" t="n"/>
      <c r="AQ77" s="65" t="n"/>
      <c r="AR77" s="65" t="n"/>
      <c r="AS77" s="65" t="n"/>
      <c r="AT77" s="65" t="n"/>
      <c r="AU77" s="65" t="n"/>
      <c r="AV77" s="65" t="n"/>
      <c r="AW77" s="65" t="n"/>
      <c r="AX77" s="65" t="n"/>
      <c r="AY77" s="65" t="n"/>
      <c r="AZ77" s="65" t="n"/>
      <c r="BA77" s="65" t="n"/>
      <c r="BB77" s="65" t="n"/>
      <c r="BC77" s="65" t="n"/>
      <c r="BD77" s="65" t="n"/>
      <c r="BE77" s="65" t="n"/>
      <c r="BF77" s="65" t="n"/>
      <c r="BG77" s="65" t="n"/>
      <c r="BH77" s="65" t="n"/>
    </row>
    <row r="78">
      <c r="B78" s="1" t="inlineStr">
        <is>
          <t>シャルマンB</t>
        </is>
      </c>
      <c r="D78" s="1" t="inlineStr">
        <is>
          <t>塗装</t>
        </is>
      </c>
      <c r="E78" s="2" t="inlineStr">
        <is>
          <t>7月</t>
        </is>
      </c>
      <c r="F78" s="62" t="n">
        <v>1710784</v>
      </c>
      <c r="G78" s="62" t="n">
        <v>578484</v>
      </c>
      <c r="H78" s="4" t="n">
        <v>0.338139706707568</v>
      </c>
      <c r="I78" s="62" t="n">
        <v>1132300</v>
      </c>
      <c r="J78" s="64" t="n">
        <v>255000</v>
      </c>
      <c r="K78" s="65" t="n"/>
      <c r="L78" s="65" t="n"/>
      <c r="M78" s="65" t="n"/>
      <c r="N78" s="65" t="n"/>
      <c r="O78" s="64" t="n">
        <v>700000</v>
      </c>
      <c r="P78" s="65" t="n"/>
      <c r="Q78" s="65" t="n"/>
      <c r="R78" s="64" t="n">
        <v>49000</v>
      </c>
      <c r="S78" s="65" t="n"/>
      <c r="T78" s="65" t="n"/>
      <c r="U78" s="64" t="n">
        <v>177300</v>
      </c>
      <c r="V78" s="64" t="n"/>
      <c r="W78" s="65" t="n"/>
      <c r="X78" s="66" t="n"/>
      <c r="Y78" s="65" t="n"/>
      <c r="Z78" s="65" t="n"/>
      <c r="AA78" s="65" t="n"/>
      <c r="AB78" s="65" t="n"/>
      <c r="AC78" s="65" t="n"/>
      <c r="AD78" s="65" t="n"/>
      <c r="AE78" s="65" t="n"/>
      <c r="AF78" s="65" t="n"/>
      <c r="AG78" s="65" t="n"/>
      <c r="AH78" s="65" t="n"/>
      <c r="AI78" s="65" t="n"/>
      <c r="AJ78" s="65" t="n"/>
      <c r="AK78" s="65" t="n"/>
      <c r="AL78" s="65" t="n"/>
      <c r="AM78" s="64" t="n"/>
      <c r="AN78" s="65" t="n"/>
      <c r="AO78" s="65" t="n"/>
      <c r="AP78" s="65" t="n"/>
      <c r="AQ78" s="65" t="n"/>
      <c r="AR78" s="65" t="n"/>
      <c r="AS78" s="65" t="n"/>
      <c r="AT78" s="65" t="n"/>
      <c r="AU78" s="65" t="n"/>
      <c r="AV78" s="65" t="n"/>
      <c r="AW78" s="65" t="n"/>
      <c r="AX78" s="65" t="n"/>
      <c r="AY78" s="65" t="n"/>
      <c r="AZ78" s="65" t="n"/>
      <c r="BA78" s="65" t="n"/>
      <c r="BB78" s="65" t="n"/>
      <c r="BC78" s="65" t="n"/>
      <c r="BD78" s="65" t="n"/>
      <c r="BE78" s="65" t="n"/>
      <c r="BF78" s="65" t="n"/>
      <c r="BG78" s="65" t="n"/>
      <c r="BH78" s="65" t="n"/>
    </row>
    <row r="79">
      <c r="B79" s="1" t="inlineStr">
        <is>
          <t>シャーメゾン下原Ⅰ</t>
        </is>
      </c>
      <c r="D79" s="1" t="inlineStr">
        <is>
          <t>塗装</t>
        </is>
      </c>
      <c r="E79" s="2" t="inlineStr">
        <is>
          <t>7月</t>
        </is>
      </c>
      <c r="F79" s="62" t="n">
        <v>1729000</v>
      </c>
      <c r="G79" s="62" t="n">
        <v>420100</v>
      </c>
      <c r="H79" s="4" t="n">
        <v>0.2429728166570272</v>
      </c>
      <c r="I79" s="62" t="n">
        <v>1308900</v>
      </c>
      <c r="J79" s="65" t="n"/>
      <c r="K79" s="64" t="n">
        <v>260000</v>
      </c>
      <c r="L79" s="64" t="n"/>
      <c r="M79" s="65" t="n"/>
      <c r="N79" s="65" t="n"/>
      <c r="O79" s="64" t="n">
        <v>900000</v>
      </c>
      <c r="P79" s="65" t="n"/>
      <c r="Q79" s="65" t="n"/>
      <c r="R79" s="64" t="n">
        <v>42700</v>
      </c>
      <c r="S79" s="64" t="n">
        <v>35000</v>
      </c>
      <c r="T79" s="65" t="n"/>
      <c r="U79" s="64">
        <f>56200</f>
        <v/>
      </c>
      <c r="V79" s="64" t="n"/>
      <c r="W79" s="65" t="n"/>
      <c r="X79" s="66" t="n"/>
      <c r="Y79" s="65" t="n"/>
      <c r="Z79" s="65" t="n"/>
      <c r="AA79" s="65" t="n"/>
      <c r="AB79" s="65" t="n"/>
      <c r="AC79" s="65" t="n"/>
      <c r="AD79" s="65" t="n"/>
      <c r="AE79" s="65" t="n"/>
      <c r="AF79" s="65" t="n"/>
      <c r="AG79" s="65" t="n"/>
      <c r="AH79" s="65" t="n"/>
      <c r="AI79" s="65" t="n"/>
      <c r="AJ79" s="65" t="n"/>
      <c r="AK79" s="65" t="n"/>
      <c r="AL79" s="65" t="n"/>
      <c r="AM79" s="64" t="n">
        <v>15000</v>
      </c>
      <c r="AN79" s="65" t="n"/>
      <c r="AO79" s="65" t="n"/>
      <c r="AP79" s="65" t="n"/>
      <c r="AQ79" s="65" t="n"/>
      <c r="AR79" s="65" t="n"/>
      <c r="AS79" s="65" t="n"/>
      <c r="AT79" s="65" t="n"/>
      <c r="AU79" s="65" t="n"/>
      <c r="AV79" s="65" t="n"/>
      <c r="AW79" s="65" t="n"/>
      <c r="AX79" s="65" t="n"/>
      <c r="AY79" s="65" t="n"/>
      <c r="AZ79" s="65" t="n"/>
      <c r="BA79" s="65" t="n"/>
      <c r="BB79" s="65" t="n"/>
      <c r="BC79" s="65" t="n"/>
      <c r="BD79" s="65" t="n"/>
      <c r="BE79" s="65" t="n"/>
      <c r="BF79" s="65" t="n"/>
      <c r="BG79" s="65" t="n"/>
      <c r="BH79" s="65" t="n"/>
    </row>
    <row r="80">
      <c r="B80" s="1" t="inlineStr">
        <is>
          <t>ラフィーネ市名坂</t>
        </is>
      </c>
      <c r="D80" s="1" t="inlineStr">
        <is>
          <t>塗装</t>
        </is>
      </c>
      <c r="E80" s="2" t="inlineStr">
        <is>
          <t>7月</t>
        </is>
      </c>
      <c r="F80" s="62" t="n">
        <v>1665200</v>
      </c>
      <c r="G80" s="62" t="n">
        <v>481900</v>
      </c>
      <c r="H80" s="4" t="n">
        <v>0.2893946673072303</v>
      </c>
      <c r="I80" s="62" t="n">
        <v>1183300</v>
      </c>
      <c r="J80" s="65" t="n"/>
      <c r="K80" s="64" t="n">
        <v>253500</v>
      </c>
      <c r="L80" s="64" t="n"/>
      <c r="M80" s="65" t="n"/>
      <c r="N80" s="65" t="n"/>
      <c r="O80" s="64" t="n">
        <v>700000</v>
      </c>
      <c r="P80" s="65" t="n"/>
      <c r="Q80" s="65" t="n"/>
      <c r="R80" s="64" t="n">
        <v>29400</v>
      </c>
      <c r="S80" s="64" t="n">
        <v>35000</v>
      </c>
      <c r="T80" s="65" t="n"/>
      <c r="U80" s="64" t="n">
        <v>150400</v>
      </c>
      <c r="V80" s="64" t="n"/>
      <c r="W80" s="65" t="n"/>
      <c r="X80" s="66" t="n"/>
      <c r="Y80" s="65" t="n"/>
      <c r="Z80" s="65" t="n"/>
      <c r="AA80" s="65" t="n"/>
      <c r="AB80" s="65" t="n"/>
      <c r="AC80" s="65" t="n"/>
      <c r="AD80" s="65" t="n"/>
      <c r="AE80" s="65" t="n"/>
      <c r="AF80" s="65" t="n"/>
      <c r="AG80" s="65" t="n"/>
      <c r="AH80" s="65" t="n"/>
      <c r="AI80" s="65" t="n"/>
      <c r="AJ80" s="65" t="n"/>
      <c r="AK80" s="65" t="n"/>
      <c r="AL80" s="65" t="n"/>
      <c r="AM80" s="64" t="n">
        <v>15000</v>
      </c>
      <c r="AN80" s="65" t="n"/>
      <c r="AO80" s="65" t="n"/>
      <c r="AP80" s="65" t="n"/>
      <c r="AQ80" s="65" t="n"/>
      <c r="AR80" s="65" t="n"/>
      <c r="AS80" s="65" t="n"/>
      <c r="AT80" s="65" t="n"/>
      <c r="AU80" s="65" t="n"/>
      <c r="AV80" s="65" t="n"/>
      <c r="AW80" s="65" t="n"/>
      <c r="AX80" s="65" t="n"/>
      <c r="AY80" s="65" t="n"/>
      <c r="AZ80" s="65" t="n"/>
      <c r="BA80" s="65" t="n"/>
      <c r="BB80" s="65" t="n"/>
      <c r="BC80" s="65" t="n"/>
      <c r="BD80" s="65" t="n"/>
      <c r="BE80" s="65" t="n"/>
      <c r="BF80" s="65" t="n"/>
      <c r="BG80" s="65" t="n"/>
      <c r="BH80" s="65" t="n"/>
    </row>
    <row r="81">
      <c r="B81" s="1" t="inlineStr">
        <is>
          <t>シャルマンAB</t>
        </is>
      </c>
      <c r="D81" s="1" t="inlineStr">
        <is>
          <t>雪止め設置</t>
        </is>
      </c>
      <c r="E81" s="2" t="inlineStr">
        <is>
          <t>7月</t>
        </is>
      </c>
      <c r="F81" s="62" t="n">
        <v>292000</v>
      </c>
      <c r="G81" s="62">
        <f>IF(B81="","",F81-I81 )</f>
        <v/>
      </c>
      <c r="H81" s="4">
        <f>IF(G81="","",G81/F81)</f>
        <v/>
      </c>
      <c r="I81" s="62">
        <f>SUM(テーブル9[[#This Row],[五大]:[工場材]])</f>
        <v/>
      </c>
      <c r="J81" s="65" t="n"/>
      <c r="K81" s="65" t="n"/>
      <c r="L81" s="65" t="n"/>
      <c r="M81" s="65" t="n"/>
      <c r="N81" s="65" t="n"/>
      <c r="O81" s="65" t="n"/>
      <c r="P81" s="65" t="n"/>
      <c r="Q81" s="65" t="n"/>
      <c r="R81" s="65" t="n"/>
      <c r="S81" s="65" t="n"/>
      <c r="T81" s="65" t="n"/>
      <c r="U81" s="64" t="n"/>
      <c r="V81" s="64" t="n"/>
      <c r="W81" s="71" t="n">
        <v>65000</v>
      </c>
      <c r="X81" s="72" t="n"/>
      <c r="Y81" s="71" t="n"/>
      <c r="Z81" s="65" t="n"/>
      <c r="AA81" s="65" t="n"/>
      <c r="AB81" s="65" t="n"/>
      <c r="AC81" s="65" t="n"/>
      <c r="AD81" s="65" t="n"/>
      <c r="AE81" s="65" t="n"/>
      <c r="AF81" s="65" t="n"/>
      <c r="AG81" s="65" t="n"/>
      <c r="AH81" s="65" t="n"/>
      <c r="AI81" s="65" t="n"/>
      <c r="AJ81" s="65" t="n"/>
      <c r="AK81" s="65" t="n"/>
      <c r="AL81" s="65" t="n"/>
      <c r="AM81" s="64" t="n"/>
      <c r="AN81" s="65" t="n"/>
      <c r="AO81" s="65" t="n"/>
      <c r="AP81" s="65" t="n"/>
      <c r="AQ81" s="65" t="n"/>
      <c r="AR81" s="65" t="n"/>
      <c r="AS81" s="65" t="n"/>
      <c r="AT81" s="65" t="n"/>
      <c r="AU81" s="65" t="n"/>
      <c r="AV81" s="65" t="n"/>
      <c r="AW81" s="65" t="n"/>
      <c r="AX81" s="65" t="n"/>
      <c r="AY81" s="65" t="n"/>
      <c r="AZ81" s="65" t="n"/>
      <c r="BA81" s="65" t="n"/>
      <c r="BB81" s="65" t="n"/>
      <c r="BC81" s="65" t="n"/>
      <c r="BD81" s="65" t="n"/>
      <c r="BE81" s="65" t="n"/>
      <c r="BF81" s="65" t="n"/>
      <c r="BG81" s="64">
        <f>4000*40</f>
        <v/>
      </c>
      <c r="BH81" s="65" t="n"/>
    </row>
    <row r="82">
      <c r="B82" s="1" t="inlineStr">
        <is>
          <t>うさちゃんクリーニングアクロス</t>
        </is>
      </c>
      <c r="D82" s="1" t="inlineStr">
        <is>
          <t>撤去工事</t>
        </is>
      </c>
      <c r="E82" s="2" t="inlineStr">
        <is>
          <t>7月</t>
        </is>
      </c>
      <c r="F82" s="68" t="n">
        <v>376000</v>
      </c>
      <c r="G82" s="68">
        <f>IF(B82="","",F82-I82 )</f>
        <v/>
      </c>
      <c r="H82" s="4">
        <f>IF(G82="","",G82/F82)</f>
        <v/>
      </c>
      <c r="I82" s="62">
        <f>SUM(テーブル9[[#This Row],[五大]:[工場材]])</f>
        <v/>
      </c>
      <c r="J82" s="64" t="n"/>
      <c r="K82" s="65" t="n"/>
      <c r="L82" s="65" t="n"/>
      <c r="M82" s="65" t="n"/>
      <c r="N82" s="65" t="n"/>
      <c r="O82" s="64" t="n"/>
      <c r="P82" s="65" t="n"/>
      <c r="Q82" s="65" t="n"/>
      <c r="R82" s="65" t="n"/>
      <c r="S82" s="64" t="n"/>
      <c r="T82" s="64" t="n"/>
      <c r="U82" s="64" t="n"/>
      <c r="V82" s="64" t="n"/>
      <c r="W82" s="64" t="n"/>
      <c r="X82" s="66" t="n"/>
      <c r="Y82" s="64" t="n"/>
      <c r="Z82" s="64" t="n"/>
      <c r="AA82" s="64" t="n">
        <v>20000</v>
      </c>
      <c r="AB82" s="64" t="n">
        <v>18000</v>
      </c>
      <c r="AC82" s="64" t="n"/>
      <c r="AD82" s="64" t="n"/>
      <c r="AE82" s="64" t="n">
        <v>50000</v>
      </c>
      <c r="AF82" s="64" t="n"/>
      <c r="AG82" s="64" t="n"/>
      <c r="AH82" s="64" t="n"/>
      <c r="AI82" s="64" t="n">
        <v>50000</v>
      </c>
      <c r="AJ82" s="64" t="n"/>
      <c r="AK82" s="64" t="n"/>
      <c r="AL82" s="64" t="n"/>
      <c r="AM82" s="64" t="n"/>
      <c r="AN82" s="64" t="n">
        <v>57000</v>
      </c>
      <c r="AO82" s="64" t="n"/>
      <c r="AP82" s="64" t="n"/>
      <c r="AQ82" s="64" t="n"/>
      <c r="AR82" s="64" t="n"/>
      <c r="AS82" s="64" t="n"/>
      <c r="AT82" s="64" t="n"/>
      <c r="AU82" s="64" t="n"/>
      <c r="AV82" s="64" t="n"/>
      <c r="AW82" s="64" t="n"/>
      <c r="AX82" s="64" t="n"/>
      <c r="AY82" s="64" t="n"/>
      <c r="AZ82" s="64" t="n">
        <v>18000</v>
      </c>
      <c r="BA82" s="64" t="n"/>
      <c r="BB82" s="64" t="n"/>
      <c r="BC82" s="64" t="n"/>
      <c r="BD82" s="64" t="n"/>
      <c r="BE82" s="64" t="n"/>
      <c r="BF82" s="64" t="n"/>
      <c r="BG82" s="64" t="n"/>
      <c r="BH82" s="65" t="n"/>
    </row>
    <row r="83">
      <c r="B83" s="22" t="inlineStr">
        <is>
          <t>合計</t>
        </is>
      </c>
      <c r="C83" s="22" t="n"/>
      <c r="F83" s="67">
        <f>SUBTOTAL(109,F75:F82)</f>
        <v/>
      </c>
      <c r="G83" s="67">
        <f>SUBTOTAL(109,G75:G82)</f>
        <v/>
      </c>
      <c r="H83" s="14">
        <f>IF(G83="","",G83/F83)</f>
        <v/>
      </c>
      <c r="I83" s="67">
        <f>SUBTOTAL(109,I75:I82)</f>
        <v/>
      </c>
      <c r="J83" s="64" t="n"/>
      <c r="K83" s="65" t="n"/>
      <c r="L83" s="65" t="n"/>
      <c r="M83" s="65" t="n"/>
      <c r="N83" s="65" t="n"/>
      <c r="O83" s="65" t="n"/>
      <c r="P83" s="65" t="n"/>
      <c r="Q83" s="65" t="n"/>
      <c r="R83" s="65" t="n"/>
      <c r="S83" s="65" t="n"/>
      <c r="T83" s="65" t="n"/>
      <c r="U83" s="64" t="n"/>
      <c r="V83" s="64" t="n"/>
      <c r="W83" s="65" t="n"/>
      <c r="X83" s="66" t="n"/>
      <c r="Y83" s="65" t="n"/>
      <c r="Z83" s="65" t="n"/>
      <c r="AA83" s="65" t="n"/>
      <c r="AB83" s="65" t="n"/>
      <c r="AC83" s="65" t="n"/>
      <c r="AD83" s="65" t="n"/>
      <c r="AE83" s="65" t="n"/>
      <c r="AF83" s="65" t="n"/>
      <c r="AG83" s="65" t="n"/>
      <c r="AH83" s="65" t="n"/>
      <c r="AI83" s="65" t="n"/>
      <c r="AJ83" s="65" t="n"/>
      <c r="AK83" s="65" t="n"/>
      <c r="AL83" s="65" t="n"/>
      <c r="AM83" s="65" t="n"/>
      <c r="AN83" s="65" t="n"/>
      <c r="AO83" s="65" t="n"/>
      <c r="AP83" s="65" t="n"/>
      <c r="AQ83" s="65" t="n"/>
      <c r="AR83" s="65" t="n"/>
      <c r="AS83" s="65" t="n"/>
      <c r="AT83" s="65" t="n"/>
      <c r="AU83" s="65" t="n"/>
      <c r="AV83" s="65" t="n"/>
      <c r="AW83" s="65" t="n"/>
      <c r="AX83" s="65" t="n"/>
      <c r="AY83" s="65" t="n"/>
      <c r="AZ83" s="65" t="n"/>
      <c r="BA83" s="65" t="n"/>
      <c r="BB83" s="65" t="n"/>
      <c r="BC83" s="65" t="n"/>
      <c r="BD83" s="65" t="n"/>
      <c r="BE83" s="65" t="n"/>
      <c r="BF83" s="65" t="n"/>
      <c r="BG83" s="64" t="n"/>
      <c r="BH83" s="65" t="n"/>
    </row>
    <row r="84">
      <c r="F84" s="68" t="n"/>
      <c r="G84" s="68">
        <f>IF(B84="","",F84-I84 )</f>
        <v/>
      </c>
      <c r="H84" s="5">
        <f>IF(G84="","",G84/F84)</f>
        <v/>
      </c>
      <c r="J84" s="64" t="n"/>
      <c r="K84" s="65" t="n"/>
      <c r="L84" s="65" t="n"/>
      <c r="M84" s="65" t="n"/>
      <c r="N84" s="65" t="n"/>
      <c r="O84" s="64" t="n"/>
      <c r="P84" s="65" t="n"/>
      <c r="Q84" s="65" t="n"/>
      <c r="R84" s="65" t="n"/>
      <c r="S84" s="64" t="n"/>
      <c r="T84" s="65" t="n"/>
      <c r="U84" s="64" t="n"/>
      <c r="V84" s="64" t="n"/>
      <c r="W84" s="65" t="n"/>
      <c r="X84" s="66" t="n"/>
      <c r="Y84" s="65" t="n"/>
      <c r="Z84" s="65" t="n"/>
      <c r="AA84" s="65" t="n"/>
      <c r="AB84" s="65" t="n"/>
      <c r="AC84" s="65" t="n"/>
      <c r="AD84" s="65" t="n"/>
      <c r="AE84" s="65" t="n"/>
      <c r="AF84" s="65" t="n"/>
      <c r="AG84" s="65" t="n"/>
      <c r="AH84" s="65" t="n"/>
      <c r="AI84" s="65" t="n"/>
      <c r="AJ84" s="65" t="n"/>
      <c r="AK84" s="65" t="n"/>
      <c r="AL84" s="65" t="n"/>
      <c r="AM84" s="65" t="n"/>
      <c r="AN84" s="65" t="n"/>
      <c r="AO84" s="65" t="n"/>
      <c r="AP84" s="65" t="n"/>
      <c r="AQ84" s="65" t="n"/>
      <c r="AR84" s="65" t="n"/>
      <c r="AS84" s="65" t="n"/>
      <c r="AT84" s="65" t="n"/>
      <c r="AU84" s="65" t="n"/>
      <c r="AV84" s="65" t="n"/>
      <c r="AW84" s="65" t="n"/>
      <c r="AX84" s="65" t="n"/>
      <c r="AY84" s="65" t="n"/>
      <c r="AZ84" s="65" t="n"/>
      <c r="BA84" s="65" t="n"/>
      <c r="BB84" s="65" t="n"/>
      <c r="BC84" s="65" t="n"/>
      <c r="BD84" s="65" t="n"/>
      <c r="BE84" s="65" t="n"/>
      <c r="BF84" s="65" t="n"/>
      <c r="BG84" s="65" t="n"/>
      <c r="BH84" s="65" t="n"/>
    </row>
    <row r="85">
      <c r="A85" s="0" t="inlineStr">
        <is>
          <t>R1.9月</t>
        </is>
      </c>
      <c r="B85" s="1" t="inlineStr">
        <is>
          <t>グレイスコートA</t>
        </is>
      </c>
      <c r="D85" s="1" t="inlineStr">
        <is>
          <t>屋根塗装</t>
        </is>
      </c>
      <c r="E85" s="2" t="inlineStr">
        <is>
          <t>7月</t>
        </is>
      </c>
      <c r="F85" s="62" t="n">
        <v>514000</v>
      </c>
      <c r="G85" s="62">
        <f>IF(B85="","",F85-I85 )</f>
        <v/>
      </c>
      <c r="H85" s="4">
        <f>IF(G85="","",G85/F85)</f>
        <v/>
      </c>
      <c r="I85" s="62">
        <f>SUM(テーブル9[[#This Row],[五大]:[工場材]])</f>
        <v/>
      </c>
      <c r="J85" s="65" t="n">
        <v>155000</v>
      </c>
      <c r="K85" s="65" t="n"/>
      <c r="L85" s="65" t="n"/>
      <c r="M85" s="65" t="n"/>
      <c r="N85" s="65" t="n"/>
      <c r="O85" s="65" t="n"/>
      <c r="P85" s="65" t="n"/>
      <c r="Q85" s="65" t="n"/>
      <c r="R85" s="65" t="n"/>
      <c r="S85" s="65" t="n"/>
      <c r="T85" s="65" t="n"/>
      <c r="U85" s="64" t="n"/>
      <c r="V85" s="64" t="n"/>
      <c r="W85" s="65" t="n"/>
      <c r="X85" s="66" t="n"/>
      <c r="Y85" s="65" t="n"/>
      <c r="Z85" s="65" t="n"/>
      <c r="AA85" s="65" t="n"/>
      <c r="AB85" s="65" t="n"/>
      <c r="AC85" s="65" t="n"/>
      <c r="AD85" s="65" t="n"/>
      <c r="AE85" s="65" t="n"/>
      <c r="AF85" s="65" t="n"/>
      <c r="AG85" s="65" t="n"/>
      <c r="AH85" s="65" t="n"/>
      <c r="AI85" s="65" t="n"/>
      <c r="AJ85" s="65" t="n"/>
      <c r="AK85" s="65" t="n"/>
      <c r="AL85" s="65" t="n"/>
      <c r="AM85" s="65" t="n"/>
      <c r="AN85" s="65" t="n"/>
      <c r="AO85" s="65" t="n"/>
      <c r="AP85" s="65" t="n"/>
      <c r="AQ85" s="65" t="n"/>
      <c r="AR85" s="65" t="n"/>
      <c r="AS85" s="65" t="n"/>
      <c r="AT85" s="65" t="n"/>
      <c r="AU85" s="65" t="n"/>
      <c r="AV85" s="65" t="n"/>
      <c r="AW85" s="65" t="n"/>
      <c r="AX85" s="65" t="n"/>
      <c r="AY85" s="65" t="n"/>
      <c r="AZ85" s="65" t="n"/>
      <c r="BA85" s="65" t="n"/>
      <c r="BB85" s="65" t="n"/>
      <c r="BC85" s="65" t="n"/>
      <c r="BD85" s="65" t="n"/>
      <c r="BE85" s="65" t="n"/>
      <c r="BF85" s="65" t="n"/>
      <c r="BG85" s="65" t="n"/>
      <c r="BH85" s="65" t="n"/>
    </row>
    <row r="86">
      <c r="B86" s="1" t="inlineStr">
        <is>
          <t>グレイスコートB</t>
        </is>
      </c>
      <c r="D86" s="1" t="inlineStr">
        <is>
          <t>屋根塗装</t>
        </is>
      </c>
      <c r="E86" s="2" t="inlineStr">
        <is>
          <t>7月</t>
        </is>
      </c>
      <c r="F86" s="62" t="n">
        <v>546000</v>
      </c>
      <c r="G86" s="62">
        <f>IF(B86="","",F86-I86 )</f>
        <v/>
      </c>
      <c r="H86" s="4">
        <f>IF(G86="","",G86/F86)</f>
        <v/>
      </c>
      <c r="I86" s="62">
        <f>SUM(テーブル9[[#This Row],[五大]:[工場材]])</f>
        <v/>
      </c>
      <c r="J86" s="65" t="n">
        <v>155000</v>
      </c>
      <c r="K86" s="65" t="n"/>
      <c r="L86" s="65" t="n"/>
      <c r="M86" s="65" t="n"/>
      <c r="N86" s="65" t="n"/>
      <c r="O86" s="65" t="n"/>
      <c r="P86" s="65" t="n"/>
      <c r="Q86" s="65" t="n"/>
      <c r="R86" s="65" t="n"/>
      <c r="S86" s="65" t="n"/>
      <c r="T86" s="65" t="n"/>
      <c r="U86" s="64" t="n"/>
      <c r="V86" s="64" t="n"/>
      <c r="W86" s="65" t="n"/>
      <c r="X86" s="66" t="n"/>
      <c r="Y86" s="65" t="n"/>
      <c r="Z86" s="65" t="n"/>
      <c r="AA86" s="65" t="n"/>
      <c r="AB86" s="65" t="n"/>
      <c r="AC86" s="65" t="n"/>
      <c r="AD86" s="65" t="n"/>
      <c r="AE86" s="65" t="n"/>
      <c r="AF86" s="65" t="n"/>
      <c r="AG86" s="65" t="n"/>
      <c r="AH86" s="65" t="n"/>
      <c r="AI86" s="65" t="n"/>
      <c r="AJ86" s="65" t="n"/>
      <c r="AK86" s="65" t="n"/>
      <c r="AL86" s="65" t="n"/>
      <c r="AM86" s="65" t="n"/>
      <c r="AN86" s="65" t="n"/>
      <c r="AO86" s="65" t="n"/>
      <c r="AP86" s="65" t="n"/>
      <c r="AQ86" s="65" t="n"/>
      <c r="AR86" s="65" t="n"/>
      <c r="AS86" s="65" t="n"/>
      <c r="AT86" s="65" t="n"/>
      <c r="AU86" s="65" t="n"/>
      <c r="AV86" s="65" t="n"/>
      <c r="AW86" s="65" t="n"/>
      <c r="AX86" s="65" t="n"/>
      <c r="AY86" s="65" t="n"/>
      <c r="AZ86" s="65" t="n"/>
      <c r="BA86" s="65" t="n"/>
      <c r="BB86" s="65" t="n"/>
      <c r="BC86" s="65" t="n"/>
      <c r="BD86" s="65" t="n"/>
      <c r="BE86" s="65" t="n"/>
      <c r="BF86" s="65" t="n"/>
      <c r="BG86" s="65" t="n"/>
      <c r="BH86" s="65" t="n"/>
    </row>
    <row r="87">
      <c r="B87" s="1" t="inlineStr">
        <is>
          <t>グレイスコートB</t>
        </is>
      </c>
      <c r="D87" s="1" t="inlineStr">
        <is>
          <t>外壁交換</t>
        </is>
      </c>
      <c r="E87" s="2" t="inlineStr">
        <is>
          <t>7月</t>
        </is>
      </c>
      <c r="F87" s="62" t="n">
        <v>315000</v>
      </c>
      <c r="G87" s="62">
        <f>IF(B87="","",F87-I87 )</f>
        <v/>
      </c>
      <c r="H87" s="4">
        <f>IF(G87="","",G87/F87)</f>
        <v/>
      </c>
      <c r="I87" s="62">
        <f>SUM(テーブル9[[#This Row],[五大]:[工場材]])</f>
        <v/>
      </c>
      <c r="J87" s="65" t="n"/>
      <c r="K87" s="64" t="n">
        <v>30000</v>
      </c>
      <c r="L87" s="64" t="n"/>
      <c r="M87" s="65" t="n"/>
      <c r="N87" s="65" t="n"/>
      <c r="O87" s="65" t="n"/>
      <c r="P87" s="65" t="n"/>
      <c r="Q87" s="65" t="n"/>
      <c r="R87" s="65" t="n"/>
      <c r="S87" s="65" t="n"/>
      <c r="T87" s="65" t="n"/>
      <c r="U87" s="64" t="n"/>
      <c r="V87" s="64" t="n"/>
      <c r="W87" s="65" t="n"/>
      <c r="X87" s="66" t="n"/>
      <c r="Y87" s="65" t="n"/>
      <c r="Z87" s="65" t="n"/>
      <c r="AA87" s="65" t="n"/>
      <c r="AB87" s="65" t="n"/>
      <c r="AC87" s="65" t="n"/>
      <c r="AD87" s="65" t="n"/>
      <c r="AE87" s="65" t="n"/>
      <c r="AF87" s="65" t="n"/>
      <c r="AG87" s="65" t="n"/>
      <c r="AH87" s="65" t="n"/>
      <c r="AI87" s="65" t="n"/>
      <c r="AJ87" s="65" t="n"/>
      <c r="AK87" s="65" t="n"/>
      <c r="AL87" s="65" t="n"/>
      <c r="AM87" s="65" t="n"/>
      <c r="AN87" s="65" t="n"/>
      <c r="AO87" s="65" t="n"/>
      <c r="AP87" s="65" t="n"/>
      <c r="AQ87" s="65" t="n"/>
      <c r="AR87" s="65" t="n"/>
      <c r="AS87" s="65" t="n"/>
      <c r="AT87" s="65" t="n"/>
      <c r="AU87" s="65" t="n"/>
      <c r="AV87" s="65" t="n"/>
      <c r="AW87" s="65" t="n"/>
      <c r="AX87" s="65" t="n"/>
      <c r="AY87" s="65" t="n"/>
      <c r="AZ87" s="65" t="n"/>
      <c r="BA87" s="65" t="n"/>
      <c r="BB87" s="65" t="n"/>
      <c r="BC87" s="65" t="n"/>
      <c r="BD87" s="65" t="n"/>
      <c r="BE87" s="65" t="n"/>
      <c r="BF87" s="65" t="n"/>
      <c r="BG87" s="65" t="n"/>
      <c r="BH87" s="65" t="n"/>
    </row>
    <row r="88">
      <c r="B88" s="1" t="inlineStr">
        <is>
          <t>ラフィーネ高玉A</t>
        </is>
      </c>
      <c r="D88" s="1" t="inlineStr">
        <is>
          <t>塗装</t>
        </is>
      </c>
      <c r="E88" s="2" t="inlineStr">
        <is>
          <t>7月</t>
        </is>
      </c>
      <c r="F88" s="62" t="n">
        <v>1757200</v>
      </c>
      <c r="G88" s="62">
        <f>IF(B88="","",F88-I88 )</f>
        <v/>
      </c>
      <c r="H88" s="4">
        <f>IF(G88="","",G88/F88)</f>
        <v/>
      </c>
      <c r="I88" s="62">
        <f>SUM(テーブル9[[#This Row],[五大]:[工場材]])</f>
        <v/>
      </c>
      <c r="J88" s="65" t="n"/>
      <c r="K88" s="64" t="n">
        <v>221000</v>
      </c>
      <c r="L88" s="64" t="n"/>
      <c r="M88" s="65" t="n"/>
      <c r="N88" s="65" t="n"/>
      <c r="O88" s="64" t="n">
        <v>700000</v>
      </c>
      <c r="P88" s="65" t="n"/>
      <c r="Q88" s="65" t="n"/>
      <c r="R88" s="64">
        <f>101*700</f>
        <v/>
      </c>
      <c r="S88" s="64" t="n">
        <v>35000</v>
      </c>
      <c r="T88" s="65" t="n"/>
      <c r="U88" s="64">
        <f>79800+70000+12700</f>
        <v/>
      </c>
      <c r="V88" s="64" t="n"/>
      <c r="W88" s="65" t="n"/>
      <c r="X88" s="66" t="n"/>
      <c r="Y88" s="65" t="n"/>
      <c r="Z88" s="65" t="n"/>
      <c r="AA88" s="65" t="n"/>
      <c r="AB88" s="65" t="n"/>
      <c r="AC88" s="65" t="n"/>
      <c r="AD88" s="65" t="n"/>
      <c r="AE88" s="65" t="n"/>
      <c r="AF88" s="65" t="n"/>
      <c r="AG88" s="65" t="n"/>
      <c r="AH88" s="65" t="n"/>
      <c r="AI88" s="65" t="n"/>
      <c r="AJ88" s="65" t="n"/>
      <c r="AK88" s="65" t="n"/>
      <c r="AL88" s="65" t="n"/>
      <c r="AM88" s="64" t="n">
        <v>15000</v>
      </c>
      <c r="AN88" s="65" t="n"/>
      <c r="AO88" s="65" t="n"/>
      <c r="AP88" s="65" t="n"/>
      <c r="AQ88" s="65" t="n"/>
      <c r="AR88" s="65" t="n"/>
      <c r="AS88" s="65" t="n"/>
      <c r="AT88" s="65" t="n"/>
      <c r="AU88" s="65" t="n"/>
      <c r="AV88" s="65" t="n"/>
      <c r="AW88" s="65" t="n"/>
      <c r="AX88" s="65" t="n"/>
      <c r="AY88" s="65" t="n"/>
      <c r="AZ88" s="64" t="n">
        <v>8000</v>
      </c>
      <c r="BA88" s="64" t="n"/>
      <c r="BB88" s="64" t="n"/>
      <c r="BC88" s="64" t="n"/>
      <c r="BD88" s="64" t="n"/>
      <c r="BE88" s="64" t="n"/>
      <c r="BF88" s="64" t="n"/>
      <c r="BG88" s="65" t="n"/>
      <c r="BH88" s="65" t="n"/>
    </row>
    <row r="89">
      <c r="B89" s="1" t="inlineStr">
        <is>
          <t>アーバンヒルズ</t>
        </is>
      </c>
      <c r="D89" s="1" t="inlineStr">
        <is>
          <t>塗装</t>
        </is>
      </c>
      <c r="E89" s="2" t="inlineStr">
        <is>
          <t>7月</t>
        </is>
      </c>
      <c r="F89" s="68" t="n">
        <v>1791349</v>
      </c>
      <c r="G89" s="68">
        <f>IF(B89="","",F89-I89 )</f>
        <v/>
      </c>
      <c r="H89" s="4">
        <f>IF(G89="","",G89/F89)</f>
        <v/>
      </c>
      <c r="I89" s="62">
        <f>SUM(テーブル9[[#This Row],[五大]:[工場材]])</f>
        <v/>
      </c>
      <c r="J89" s="65" t="n"/>
      <c r="K89" s="64" t="n">
        <v>230000</v>
      </c>
      <c r="L89" s="64" t="n"/>
      <c r="M89" s="65" t="n"/>
      <c r="N89" s="65" t="n"/>
      <c r="O89" s="64" t="n"/>
      <c r="P89" s="64" t="n">
        <v>800000</v>
      </c>
      <c r="Q89" s="65" t="n"/>
      <c r="R89" s="64" t="n">
        <v>60000</v>
      </c>
      <c r="S89" s="65" t="n"/>
      <c r="T89" s="65" t="n"/>
      <c r="U89" s="64" t="n">
        <v>31300</v>
      </c>
      <c r="V89" s="64" t="n"/>
      <c r="W89" s="65" t="n"/>
      <c r="X89" s="66" t="n"/>
      <c r="Y89" s="65" t="n"/>
      <c r="Z89" s="65" t="n"/>
      <c r="AA89" s="65" t="n"/>
      <c r="AB89" s="65" t="n"/>
      <c r="AC89" s="65" t="n"/>
      <c r="AD89" s="65" t="n"/>
      <c r="AE89" s="65" t="n"/>
      <c r="AF89" s="65" t="n"/>
      <c r="AG89" s="65" t="n"/>
      <c r="AH89" s="65" t="n"/>
      <c r="AI89" s="65" t="n"/>
      <c r="AJ89" s="65" t="n"/>
      <c r="AK89" s="65" t="n"/>
      <c r="AL89" s="65" t="n"/>
      <c r="AM89" s="65" t="n"/>
      <c r="AN89" s="65" t="n"/>
      <c r="AO89" s="65" t="n"/>
      <c r="AP89" s="65" t="n"/>
      <c r="AQ89" s="65" t="n"/>
      <c r="AR89" s="65" t="n"/>
      <c r="AS89" s="65" t="n"/>
      <c r="AT89" s="65" t="n"/>
      <c r="AU89" s="65" t="n"/>
      <c r="AV89" s="65" t="n"/>
      <c r="AW89" s="65" t="n"/>
      <c r="AX89" s="65" t="n"/>
      <c r="AY89" s="65" t="n"/>
      <c r="AZ89" s="65" t="n"/>
      <c r="BA89" s="65" t="n"/>
      <c r="BB89" s="65" t="n"/>
      <c r="BC89" s="65" t="n"/>
      <c r="BD89" s="65" t="n"/>
      <c r="BE89" s="65" t="n"/>
      <c r="BF89" s="65" t="n"/>
      <c r="BG89" s="65" t="n"/>
      <c r="BH89" s="65" t="n"/>
    </row>
    <row r="90">
      <c r="B90" s="1" t="inlineStr">
        <is>
          <t>フレグランス黒松</t>
        </is>
      </c>
      <c r="D90" s="1" t="inlineStr">
        <is>
          <t>アスロック交換</t>
        </is>
      </c>
      <c r="E90" s="2" t="inlineStr">
        <is>
          <t>7月</t>
        </is>
      </c>
      <c r="F90" s="68" t="n">
        <v>199000</v>
      </c>
      <c r="G90" s="68">
        <f>IF(B90="","",F90-I90 )</f>
        <v/>
      </c>
      <c r="H90" s="4">
        <f>IF(G90="","",G90/F90)</f>
        <v/>
      </c>
      <c r="J90" s="65" t="n"/>
      <c r="K90" s="65" t="n"/>
      <c r="L90" s="65" t="n"/>
      <c r="M90" s="65" t="n"/>
      <c r="N90" s="65" t="n"/>
      <c r="O90" s="65" t="n"/>
      <c r="P90" s="65" t="n"/>
      <c r="Q90" s="65" t="n"/>
      <c r="R90" s="65">
        <f>51.6*700</f>
        <v/>
      </c>
      <c r="S90" s="65" t="n"/>
      <c r="T90" s="65" t="n"/>
      <c r="U90" s="64" t="n"/>
      <c r="V90" s="64" t="n"/>
      <c r="W90" s="65" t="n"/>
      <c r="X90" s="66" t="n"/>
      <c r="Y90" s="65" t="n"/>
      <c r="Z90" s="65" t="n"/>
      <c r="AA90" s="65" t="n"/>
      <c r="AB90" s="65" t="n"/>
      <c r="AC90" s="65" t="n"/>
      <c r="AD90" s="65" t="n"/>
      <c r="AE90" s="65" t="n"/>
      <c r="AF90" s="65" t="n"/>
      <c r="AG90" s="65" t="n"/>
      <c r="AH90" s="65" t="n"/>
      <c r="AI90" s="65" t="n"/>
      <c r="AJ90" s="65" t="n"/>
      <c r="AK90" s="65" t="n"/>
      <c r="AL90" s="65" t="n"/>
      <c r="AM90" s="65" t="n"/>
      <c r="AN90" s="65" t="n"/>
      <c r="AO90" s="65" t="n"/>
      <c r="AP90" s="65" t="n"/>
      <c r="AQ90" s="65" t="n"/>
      <c r="AR90" s="65" t="n"/>
      <c r="AS90" s="65" t="n"/>
      <c r="AT90" s="65" t="n"/>
      <c r="AU90" s="65" t="n"/>
      <c r="AV90" s="65" t="n"/>
      <c r="AW90" s="65" t="n"/>
      <c r="AX90" s="65" t="n"/>
      <c r="AY90" s="65" t="n"/>
      <c r="AZ90" s="65" t="n"/>
      <c r="BA90" s="65" t="n"/>
      <c r="BB90" s="65" t="n"/>
      <c r="BC90" s="65" t="n"/>
      <c r="BD90" s="65" t="n"/>
      <c r="BE90" s="65" t="n"/>
      <c r="BF90" s="65" t="n"/>
      <c r="BG90" s="65" t="n"/>
      <c r="BH90" s="65" t="n"/>
    </row>
    <row r="91">
      <c r="B91" s="1" t="inlineStr">
        <is>
          <t>塩釜　名取邸</t>
        </is>
      </c>
      <c r="D91" s="1" t="inlineStr">
        <is>
          <t>浴室工事</t>
        </is>
      </c>
      <c r="E91" s="2" t="inlineStr">
        <is>
          <t>8月</t>
        </is>
      </c>
      <c r="F91" s="62" t="n">
        <v>540000</v>
      </c>
      <c r="G91" s="62">
        <f>IF(B91="","",F91-I91 )</f>
        <v/>
      </c>
      <c r="H91" s="4">
        <f>IF(G91="","",G91/F91)</f>
        <v/>
      </c>
      <c r="I91" s="62">
        <f>SUM(テーブル9[[#This Row],[五大]:[工場材]])</f>
        <v/>
      </c>
      <c r="J91" s="65" t="n"/>
      <c r="K91" s="65" t="n"/>
      <c r="L91" s="65" t="n"/>
      <c r="M91" s="65" t="n"/>
      <c r="N91" s="65" t="n"/>
      <c r="O91" s="65" t="n"/>
      <c r="P91" s="65" t="n"/>
      <c r="Q91" s="65" t="n"/>
      <c r="R91" s="65" t="n"/>
      <c r="S91" s="65" t="n"/>
      <c r="T91" s="65" t="n"/>
      <c r="U91" s="64" t="n"/>
      <c r="V91" s="64" t="n"/>
      <c r="W91" s="64" t="n">
        <v>200000</v>
      </c>
      <c r="X91" s="66" t="n"/>
      <c r="Y91" s="64" t="n"/>
      <c r="Z91" s="65" t="n"/>
      <c r="AA91" s="66" t="n">
        <v>40000</v>
      </c>
      <c r="AB91" s="65">
        <f>75000*0.8</f>
        <v/>
      </c>
      <c r="AC91" s="65" t="n"/>
      <c r="AD91" s="65" t="n"/>
      <c r="AE91" s="65" t="n"/>
      <c r="AF91" s="65" t="n"/>
      <c r="AG91" s="65" t="n"/>
      <c r="AH91" s="65" t="n"/>
      <c r="AI91" s="65" t="n">
        <v>60000</v>
      </c>
      <c r="AJ91" s="65" t="n"/>
      <c r="AK91" s="65" t="n">
        <v>55000</v>
      </c>
      <c r="AL91" s="65" t="n"/>
      <c r="AM91" s="65" t="n"/>
      <c r="AN91" s="65" t="n"/>
      <c r="AO91" s="65" t="n"/>
      <c r="AP91" s="65" t="n"/>
      <c r="AQ91" s="65" t="n"/>
      <c r="AR91" s="65" t="n"/>
      <c r="AS91" s="65" t="n"/>
      <c r="AT91" s="65" t="n"/>
      <c r="AU91" s="65" t="n"/>
      <c r="AV91" s="65" t="n"/>
      <c r="AW91" s="65" t="n"/>
      <c r="AX91" s="65" t="n"/>
      <c r="AY91" s="65" t="n"/>
      <c r="AZ91" s="65" t="n"/>
      <c r="BA91" s="65" t="n"/>
      <c r="BB91" s="65" t="n"/>
      <c r="BC91" s="65" t="n"/>
      <c r="BD91" s="65" t="n"/>
      <c r="BE91" s="65" t="n"/>
      <c r="BF91" s="65" t="n"/>
      <c r="BG91" s="65" t="n"/>
      <c r="BH91" s="65" t="n"/>
    </row>
    <row r="92">
      <c r="B92" s="1" t="inlineStr">
        <is>
          <t>荒井　小野邸</t>
        </is>
      </c>
      <c r="D92" s="1" t="inlineStr">
        <is>
          <t>内装・手すり・クロス</t>
        </is>
      </c>
      <c r="E92" s="2" t="inlineStr">
        <is>
          <t>8月</t>
        </is>
      </c>
      <c r="F92" s="62" t="n">
        <v>968000</v>
      </c>
      <c r="G92" s="62">
        <f>IF(B92="","",F92-I92 )</f>
        <v/>
      </c>
      <c r="H92" s="4">
        <f>IF(G92="","",G92/F92)</f>
        <v/>
      </c>
      <c r="I92" s="62">
        <f>SUM(テーブル9[[#This Row],[五大]:[工場材]])</f>
        <v/>
      </c>
      <c r="J92" s="65" t="n"/>
      <c r="K92" s="65" t="n"/>
      <c r="L92" s="65" t="n"/>
      <c r="M92" s="65" t="n"/>
      <c r="N92" s="65" t="n"/>
      <c r="O92" s="65" t="n"/>
      <c r="P92" s="65" t="n"/>
      <c r="Q92" s="65" t="n"/>
      <c r="R92" s="65" t="n"/>
      <c r="S92" s="65" t="n"/>
      <c r="T92" s="65" t="n"/>
      <c r="U92" s="64" t="n"/>
      <c r="V92" s="64" t="n"/>
      <c r="W92" s="64" t="n"/>
      <c r="X92" s="66" t="n"/>
      <c r="Y92" s="64" t="n"/>
      <c r="Z92" s="65" t="n"/>
      <c r="AA92" s="66" t="n">
        <v>60000</v>
      </c>
      <c r="AB92" s="65" t="n"/>
      <c r="AC92" s="65" t="n"/>
      <c r="AD92" s="65" t="n"/>
      <c r="AE92" s="66">
        <f>199200+222190+95540</f>
        <v/>
      </c>
      <c r="AF92" s="66" t="n"/>
      <c r="AG92" s="66" t="n"/>
      <c r="AH92" s="65" t="n"/>
      <c r="AI92" s="65">
        <f>100000</f>
        <v/>
      </c>
      <c r="AJ92" s="65" t="n"/>
      <c r="AK92" s="65" t="n"/>
      <c r="AL92" s="65" t="n"/>
      <c r="AM92" s="65" t="n"/>
      <c r="AN92" s="65" t="n"/>
      <c r="AO92" s="65" t="n"/>
      <c r="AP92" s="65" t="n"/>
      <c r="AQ92" s="65" t="n"/>
      <c r="AR92" s="65" t="n"/>
      <c r="AS92" s="65" t="n"/>
      <c r="AT92" s="65" t="n"/>
      <c r="AU92" s="65" t="n"/>
      <c r="AV92" s="65" t="n"/>
      <c r="AW92" s="65" t="n"/>
      <c r="AX92" s="65" t="n"/>
      <c r="AY92" s="65" t="n"/>
      <c r="AZ92" s="65" t="n"/>
      <c r="BA92" s="65" t="n"/>
      <c r="BB92" s="65" t="n"/>
      <c r="BC92" s="65" t="n"/>
      <c r="BD92" s="65" t="n"/>
      <c r="BE92" s="65" t="n"/>
      <c r="BF92" s="65" t="n"/>
      <c r="BG92" s="65" t="n"/>
      <c r="BH92" s="65" t="n"/>
    </row>
    <row r="93">
      <c r="B93" s="1" t="inlineStr">
        <is>
          <t>大倉　早坂邸</t>
        </is>
      </c>
      <c r="D93" s="1" t="inlineStr">
        <is>
          <t>キッチン交換</t>
        </is>
      </c>
      <c r="E93" s="2" t="inlineStr">
        <is>
          <t>8月</t>
        </is>
      </c>
      <c r="F93" s="62">
        <f>516000+35000</f>
        <v/>
      </c>
      <c r="G93" s="62">
        <f>IF(B93="","",F93-I93 )</f>
        <v/>
      </c>
      <c r="H93" s="4">
        <f>IF(G93="","",G93/F93)</f>
        <v/>
      </c>
      <c r="I93" s="62">
        <f>SUM(テーブル9[[#This Row],[五大]:[工場材]])</f>
        <v/>
      </c>
      <c r="J93" s="65" t="n"/>
      <c r="K93" s="65" t="n"/>
      <c r="L93" s="65" t="n"/>
      <c r="M93" s="65" t="n"/>
      <c r="N93" s="65" t="n"/>
      <c r="O93" s="65" t="n"/>
      <c r="P93" s="65" t="n"/>
      <c r="Q93" s="65" t="n"/>
      <c r="R93" s="65" t="n"/>
      <c r="S93" s="65" t="n"/>
      <c r="T93" s="65" t="n"/>
      <c r="U93" s="64" t="n"/>
      <c r="V93" s="64" t="n"/>
      <c r="W93" s="64">
        <f>120000+5960</f>
        <v/>
      </c>
      <c r="X93" s="66" t="n"/>
      <c r="Y93" s="64" t="n"/>
      <c r="Z93" s="65" t="n"/>
      <c r="AA93" s="66" t="n">
        <v>83000</v>
      </c>
      <c r="AB93" s="64" t="n">
        <v>65000</v>
      </c>
      <c r="AC93" s="64" t="n"/>
      <c r="AD93" s="64" t="n"/>
      <c r="AE93" s="65" t="n"/>
      <c r="AF93" s="65" t="n"/>
      <c r="AG93" s="65" t="n"/>
      <c r="AH93" s="65" t="n"/>
      <c r="AI93" s="65" t="n">
        <v>135000</v>
      </c>
      <c r="AJ93" s="65" t="n"/>
      <c r="AK93" s="65" t="n"/>
      <c r="AL93" s="65" t="n"/>
      <c r="AM93" s="65" t="n"/>
      <c r="AN93" s="65" t="n"/>
      <c r="AO93" s="65" t="n"/>
      <c r="AP93" s="65" t="n"/>
      <c r="AQ93" s="65" t="n"/>
      <c r="AR93" s="65" t="n"/>
      <c r="AS93" s="65" t="n"/>
      <c r="AT93" s="65" t="n"/>
      <c r="AU93" s="65" t="n"/>
      <c r="AV93" s="65" t="n"/>
      <c r="AW93" s="65" t="n"/>
      <c r="AX93" s="65" t="n"/>
      <c r="AY93" s="65" t="n"/>
      <c r="AZ93" s="65" t="n">
        <v>30000</v>
      </c>
      <c r="BA93" s="65" t="n"/>
      <c r="BB93" s="65" t="n"/>
      <c r="BC93" s="65" t="n"/>
      <c r="BD93" s="65" t="n"/>
      <c r="BE93" s="65" t="n"/>
      <c r="BF93" s="65" t="n"/>
      <c r="BG93" s="65" t="n"/>
      <c r="BH93" s="65" t="n"/>
    </row>
    <row r="94">
      <c r="B94" s="1" t="inlineStr">
        <is>
          <t>シャーメゾン下原Ⅱ</t>
        </is>
      </c>
      <c r="D94" s="1" t="inlineStr">
        <is>
          <t>塗装</t>
        </is>
      </c>
      <c r="E94" s="2" t="inlineStr">
        <is>
          <t>8月</t>
        </is>
      </c>
      <c r="F94" s="62" t="n">
        <v>1729000</v>
      </c>
      <c r="G94" s="62">
        <f>IF(B94="","",F94-I94 )</f>
        <v/>
      </c>
      <c r="H94" s="4">
        <f>IF(G94="","",G94/F94)</f>
        <v/>
      </c>
      <c r="I94" s="62">
        <f>SUM(テーブル9[[#This Row],[五大]:[工場材]])</f>
        <v/>
      </c>
      <c r="J94" s="65" t="n"/>
      <c r="K94" s="66" t="n">
        <v>260000</v>
      </c>
      <c r="L94" s="66" t="n"/>
      <c r="M94" s="65" t="n"/>
      <c r="N94" s="65" t="n"/>
      <c r="O94" s="64" t="n">
        <v>900000</v>
      </c>
      <c r="P94" s="65" t="n"/>
      <c r="Q94" s="65" t="n"/>
      <c r="R94" s="64" t="n">
        <v>42700</v>
      </c>
      <c r="S94" s="64" t="n">
        <v>35000</v>
      </c>
      <c r="T94" s="65" t="n"/>
      <c r="U94" s="64">
        <f>56200+43600+9200</f>
        <v/>
      </c>
      <c r="V94" s="64" t="n"/>
      <c r="W94" s="65" t="n"/>
      <c r="X94" s="66" t="n"/>
      <c r="Y94" s="65" t="n"/>
      <c r="Z94" s="65" t="n"/>
      <c r="AA94" s="65" t="n"/>
      <c r="AB94" s="65" t="n"/>
      <c r="AC94" s="65" t="n"/>
      <c r="AD94" s="65" t="n"/>
      <c r="AE94" s="65" t="n"/>
      <c r="AF94" s="65" t="n"/>
      <c r="AG94" s="65" t="n"/>
      <c r="AH94" s="65" t="n"/>
      <c r="AI94" s="65" t="n"/>
      <c r="AJ94" s="65" t="n"/>
      <c r="AK94" s="65" t="n"/>
      <c r="AL94" s="65" t="n"/>
      <c r="AM94" s="64" t="n">
        <v>15000</v>
      </c>
      <c r="AN94" s="65" t="n"/>
      <c r="AO94" s="65" t="n"/>
      <c r="AP94" s="65" t="n"/>
      <c r="AQ94" s="65" t="n"/>
      <c r="AR94" s="65" t="n"/>
      <c r="AS94" s="65" t="n"/>
      <c r="AT94" s="65" t="n"/>
      <c r="AU94" s="65" t="n"/>
      <c r="AV94" s="65" t="n"/>
      <c r="AW94" s="65" t="n"/>
      <c r="AX94" s="65" t="n"/>
      <c r="AY94" s="65" t="n"/>
      <c r="AZ94" s="65" t="n"/>
      <c r="BA94" s="65" t="n"/>
      <c r="BB94" s="65" t="n"/>
      <c r="BC94" s="65" t="n"/>
      <c r="BD94" s="65" t="n"/>
      <c r="BE94" s="65" t="n"/>
      <c r="BF94" s="65" t="n"/>
      <c r="BG94" s="65" t="n"/>
      <c r="BH94" s="65" t="n"/>
    </row>
    <row r="95">
      <c r="B95" s="1" t="inlineStr">
        <is>
          <t>ラフィーネ市名坂Ⅱ</t>
        </is>
      </c>
      <c r="D95" s="1" t="inlineStr">
        <is>
          <t>塗装</t>
        </is>
      </c>
      <c r="E95" s="2" t="inlineStr">
        <is>
          <t>8月</t>
        </is>
      </c>
      <c r="F95" s="62" t="n">
        <v>1591600</v>
      </c>
      <c r="G95" s="62">
        <f>IF(B95="","",F95-I95 )</f>
        <v/>
      </c>
      <c r="H95" s="4">
        <f>IF(G95="","",G95/F95)</f>
        <v/>
      </c>
      <c r="I95" s="62">
        <f>SUM(テーブル9[[#This Row],[五大]:[工場材]])</f>
        <v/>
      </c>
      <c r="J95" s="65" t="n"/>
      <c r="K95" s="66" t="n">
        <v>253500</v>
      </c>
      <c r="L95" s="66" t="n"/>
      <c r="M95" s="65" t="n"/>
      <c r="N95" s="65" t="n"/>
      <c r="O95" s="64" t="n">
        <v>700000</v>
      </c>
      <c r="P95" s="64" t="n"/>
      <c r="Q95" s="65" t="n"/>
      <c r="R95" s="64" t="n">
        <v>32200</v>
      </c>
      <c r="S95" s="64" t="n">
        <v>35000</v>
      </c>
      <c r="T95" s="65" t="n"/>
      <c r="U95" s="64">
        <f>140500+13500</f>
        <v/>
      </c>
      <c r="V95" s="64" t="n"/>
      <c r="W95" s="65" t="n"/>
      <c r="X95" s="66" t="n"/>
      <c r="Y95" s="65" t="n"/>
      <c r="Z95" s="65" t="n"/>
      <c r="AA95" s="65" t="n"/>
      <c r="AB95" s="65" t="n"/>
      <c r="AC95" s="65" t="n"/>
      <c r="AD95" s="65" t="n"/>
      <c r="AE95" s="65" t="n"/>
      <c r="AF95" s="65" t="n"/>
      <c r="AG95" s="65" t="n"/>
      <c r="AH95" s="65" t="n"/>
      <c r="AI95" s="65" t="n"/>
      <c r="AJ95" s="65" t="n"/>
      <c r="AK95" s="65" t="n"/>
      <c r="AL95" s="65" t="n"/>
      <c r="AM95" s="64" t="n">
        <v>15000</v>
      </c>
      <c r="AN95" s="65" t="n"/>
      <c r="AO95" s="65" t="n"/>
      <c r="AP95" s="65" t="n"/>
      <c r="AQ95" s="65" t="n"/>
      <c r="AR95" s="65" t="n"/>
      <c r="AS95" s="65" t="n"/>
      <c r="AT95" s="65" t="n"/>
      <c r="AU95" s="65" t="n"/>
      <c r="AV95" s="65" t="n"/>
      <c r="AW95" s="65" t="n"/>
      <c r="AX95" s="65" t="n"/>
      <c r="AY95" s="65" t="n"/>
      <c r="AZ95" s="65" t="n"/>
      <c r="BA95" s="65" t="n"/>
      <c r="BB95" s="65" t="n"/>
      <c r="BC95" s="65" t="n"/>
      <c r="BD95" s="65" t="n"/>
      <c r="BE95" s="65" t="n"/>
      <c r="BF95" s="65" t="n"/>
      <c r="BG95" s="65" t="n"/>
      <c r="BH95" s="65" t="n"/>
    </row>
    <row r="96">
      <c r="B96" s="1" t="inlineStr">
        <is>
          <t>グレイスコートB</t>
        </is>
      </c>
      <c r="D96" s="1" t="inlineStr">
        <is>
          <t>塗装</t>
        </is>
      </c>
      <c r="E96" s="2" t="inlineStr">
        <is>
          <t>8月</t>
        </is>
      </c>
      <c r="F96" s="62" t="n">
        <v>514000</v>
      </c>
      <c r="G96" s="62">
        <f>IF(B96="","",F96-I96 )</f>
        <v/>
      </c>
      <c r="H96" s="4">
        <f>IF(G96="","",G96/F96)</f>
        <v/>
      </c>
      <c r="I96" s="62">
        <f>SUM(テーブル9[[#This Row],[五大]:[工場材]])</f>
        <v/>
      </c>
      <c r="J96" s="64" t="n">
        <v>155000</v>
      </c>
      <c r="K96" s="65" t="n"/>
      <c r="L96" s="65" t="n"/>
      <c r="M96" s="65" t="n"/>
      <c r="N96" s="65" t="n"/>
      <c r="O96" s="65" t="n"/>
      <c r="P96" s="64" t="n">
        <v>120000</v>
      </c>
      <c r="Q96" s="65" t="n"/>
      <c r="R96" s="65" t="n"/>
      <c r="S96" s="65" t="n"/>
      <c r="T96" s="65" t="n"/>
      <c r="U96" s="64">
        <f>39300+14700</f>
        <v/>
      </c>
      <c r="V96" s="64" t="n"/>
      <c r="W96" s="65" t="n"/>
      <c r="X96" s="66" t="n"/>
      <c r="Y96" s="65" t="n"/>
      <c r="Z96" s="65" t="n"/>
      <c r="AA96" s="65" t="n"/>
      <c r="AB96" s="65" t="n"/>
      <c r="AC96" s="65" t="n"/>
      <c r="AD96" s="65" t="n"/>
      <c r="AE96" s="65" t="n"/>
      <c r="AF96" s="65" t="n"/>
      <c r="AG96" s="65" t="n"/>
      <c r="AH96" s="65" t="n"/>
      <c r="AI96" s="65" t="n"/>
      <c r="AJ96" s="65" t="n"/>
      <c r="AK96" s="65" t="n"/>
      <c r="AL96" s="65" t="n"/>
      <c r="AM96" s="65" t="n"/>
      <c r="AN96" s="65" t="n"/>
      <c r="AO96" s="65" t="n"/>
      <c r="AP96" s="65" t="n"/>
      <c r="AQ96" s="65" t="n"/>
      <c r="AR96" s="65" t="n"/>
      <c r="AS96" s="65" t="n"/>
      <c r="AT96" s="65" t="n"/>
      <c r="AU96" s="65" t="n"/>
      <c r="AV96" s="65" t="n"/>
      <c r="AW96" s="65" t="n"/>
      <c r="AX96" s="65" t="n"/>
      <c r="AY96" s="65" t="n"/>
      <c r="AZ96" s="65" t="n"/>
      <c r="BA96" s="65" t="n"/>
      <c r="BB96" s="65" t="n"/>
      <c r="BC96" s="65" t="n"/>
      <c r="BD96" s="65" t="n"/>
      <c r="BE96" s="65" t="n"/>
      <c r="BF96" s="65" t="n"/>
      <c r="BG96" s="65" t="n"/>
      <c r="BH96" s="65" t="n"/>
    </row>
    <row r="97">
      <c r="B97" s="22" t="inlineStr">
        <is>
          <t>合計</t>
        </is>
      </c>
      <c r="C97" s="22" t="n"/>
      <c r="F97" s="67">
        <f>SUBTOTAL(109,F85:F96)</f>
        <v/>
      </c>
      <c r="G97" s="67">
        <f>SUBTOTAL(109,G85:G96)</f>
        <v/>
      </c>
      <c r="H97" s="14">
        <f>IF(G97="","",G97/F97)</f>
        <v/>
      </c>
      <c r="I97" s="67">
        <f>SUBTOTAL(109,I85:I96)</f>
        <v/>
      </c>
      <c r="J97" s="64" t="n"/>
      <c r="K97" s="65" t="n"/>
      <c r="L97" s="65" t="n"/>
      <c r="M97" s="65" t="n"/>
      <c r="N97" s="65" t="n"/>
      <c r="O97" s="65" t="n"/>
      <c r="P97" s="65" t="n"/>
      <c r="Q97" s="65" t="n"/>
      <c r="R97" s="65" t="n"/>
      <c r="S97" s="65" t="n"/>
      <c r="T97" s="65" t="n"/>
      <c r="U97" s="64" t="n"/>
      <c r="V97" s="64" t="n"/>
      <c r="W97" s="65" t="n"/>
      <c r="X97" s="66" t="n"/>
      <c r="Y97" s="65" t="n"/>
      <c r="Z97" s="65" t="n"/>
      <c r="AA97" s="65" t="n"/>
      <c r="AB97" s="65" t="n"/>
      <c r="AC97" s="65" t="n"/>
      <c r="AD97" s="65" t="n"/>
      <c r="AE97" s="65" t="n"/>
      <c r="AF97" s="65" t="n"/>
      <c r="AG97" s="65" t="n"/>
      <c r="AH97" s="65" t="n"/>
      <c r="AI97" s="65" t="n"/>
      <c r="AJ97" s="65" t="n"/>
      <c r="AK97" s="65" t="n"/>
      <c r="AL97" s="65" t="n"/>
      <c r="AM97" s="65" t="n"/>
      <c r="AN97" s="65" t="n"/>
      <c r="AO97" s="65" t="n"/>
      <c r="AP97" s="65" t="n"/>
      <c r="AQ97" s="65" t="n"/>
      <c r="AR97" s="65" t="n"/>
      <c r="AS97" s="65" t="n"/>
      <c r="AT97" s="65" t="n"/>
      <c r="AU97" s="65" t="n"/>
      <c r="AV97" s="65" t="n"/>
      <c r="AW97" s="65" t="n"/>
      <c r="AX97" s="65" t="n"/>
      <c r="AY97" s="65" t="n"/>
      <c r="AZ97" s="65" t="n"/>
      <c r="BA97" s="65" t="n"/>
      <c r="BB97" s="65" t="n"/>
      <c r="BC97" s="65" t="n"/>
      <c r="BD97" s="65" t="n"/>
      <c r="BE97" s="65" t="n"/>
      <c r="BF97" s="65" t="n"/>
      <c r="BG97" s="64" t="n"/>
      <c r="BH97" s="65" t="n"/>
    </row>
    <row r="98">
      <c r="F98" s="68" t="n"/>
      <c r="G98" s="68">
        <f>IF(B98="","",F98-I98 )</f>
        <v/>
      </c>
      <c r="H98" s="5">
        <f>IF(G98="","",G98/F98)</f>
        <v/>
      </c>
      <c r="J98" s="65" t="n"/>
      <c r="K98" s="65" t="n"/>
      <c r="L98" s="65" t="n"/>
      <c r="M98" s="64" t="n"/>
      <c r="N98" s="64" t="n"/>
      <c r="O98" s="65" t="n"/>
      <c r="P98" s="64" t="n"/>
      <c r="Q98" s="65" t="n"/>
      <c r="R98" s="65" t="n"/>
      <c r="S98" s="65" t="n"/>
      <c r="T98" s="65" t="n"/>
      <c r="U98" s="64" t="n"/>
      <c r="V98" s="64" t="n"/>
      <c r="W98" s="65" t="n"/>
      <c r="X98" s="66" t="n"/>
      <c r="Y98" s="65" t="n"/>
      <c r="Z98" s="65" t="n"/>
      <c r="AA98" s="65" t="n"/>
      <c r="AB98" s="65" t="n"/>
      <c r="AC98" s="65" t="n"/>
      <c r="AD98" s="65" t="n"/>
      <c r="AE98" s="65" t="n"/>
      <c r="AF98" s="65" t="n"/>
      <c r="AG98" s="65" t="n"/>
      <c r="AH98" s="65" t="n"/>
      <c r="AI98" s="65" t="n"/>
      <c r="AJ98" s="65" t="n"/>
      <c r="AK98" s="65" t="n"/>
      <c r="AL98" s="65" t="n"/>
      <c r="AM98" s="65" t="n"/>
      <c r="AN98" s="65" t="n"/>
      <c r="AO98" s="65" t="n"/>
      <c r="AP98" s="65" t="n"/>
      <c r="AQ98" s="65" t="n"/>
      <c r="AR98" s="65" t="n"/>
      <c r="AS98" s="65" t="n"/>
      <c r="AT98" s="65" t="n"/>
      <c r="AU98" s="65" t="n"/>
      <c r="AV98" s="65" t="n"/>
      <c r="AW98" s="65" t="n"/>
      <c r="AX98" s="65" t="n"/>
      <c r="AY98" s="65" t="n"/>
      <c r="AZ98" s="65" t="n"/>
      <c r="BA98" s="65" t="n"/>
      <c r="BB98" s="65" t="n"/>
      <c r="BC98" s="65" t="n"/>
      <c r="BD98" s="65" t="n"/>
      <c r="BE98" s="65" t="n"/>
      <c r="BF98" s="65" t="n"/>
      <c r="BG98" s="65" t="n"/>
      <c r="BH98" s="65" t="n"/>
    </row>
    <row r="99">
      <c r="F99" s="68" t="n"/>
      <c r="G99" s="68">
        <f>IF(B99="","",F99-I99 )</f>
        <v/>
      </c>
      <c r="H99" s="5">
        <f>IF(G99="","",G99/F99)</f>
        <v/>
      </c>
      <c r="J99" s="65" t="n"/>
      <c r="K99" s="65" t="n"/>
      <c r="L99" s="65" t="n"/>
      <c r="M99" s="64" t="n"/>
      <c r="N99" s="64" t="n"/>
      <c r="O99" s="65" t="n"/>
      <c r="P99" s="64" t="n"/>
      <c r="Q99" s="65" t="n"/>
      <c r="R99" s="65" t="n"/>
      <c r="S99" s="65" t="n"/>
      <c r="T99" s="65" t="n"/>
      <c r="U99" s="64" t="n"/>
      <c r="V99" s="64" t="n"/>
      <c r="W99" s="65" t="n"/>
      <c r="X99" s="66" t="n"/>
      <c r="Y99" s="65" t="n"/>
      <c r="Z99" s="65" t="n"/>
      <c r="AA99" s="65" t="n"/>
      <c r="AB99" s="65" t="n"/>
      <c r="AC99" s="65" t="n"/>
      <c r="AD99" s="65" t="n"/>
      <c r="AE99" s="65" t="n"/>
      <c r="AF99" s="65" t="n"/>
      <c r="AG99" s="65" t="n"/>
      <c r="AH99" s="65" t="n"/>
      <c r="AI99" s="65" t="n"/>
      <c r="AJ99" s="65" t="n"/>
      <c r="AK99" s="65" t="n"/>
      <c r="AL99" s="65" t="n"/>
      <c r="AM99" s="65" t="n"/>
      <c r="AN99" s="65" t="n"/>
      <c r="AO99" s="65" t="n"/>
      <c r="AP99" s="65" t="n"/>
      <c r="AQ99" s="65" t="n"/>
      <c r="AR99" s="65" t="n"/>
      <c r="AS99" s="65" t="n"/>
      <c r="AT99" s="65" t="n"/>
      <c r="AU99" s="65" t="n"/>
      <c r="AV99" s="65" t="n"/>
      <c r="AW99" s="65" t="n"/>
      <c r="AX99" s="65" t="n"/>
      <c r="AY99" s="65" t="n"/>
      <c r="AZ99" s="65" t="n"/>
      <c r="BA99" s="65" t="n"/>
      <c r="BB99" s="65" t="n"/>
      <c r="BC99" s="65" t="n"/>
      <c r="BD99" s="65" t="n"/>
      <c r="BE99" s="65" t="n"/>
      <c r="BF99" s="65" t="n"/>
      <c r="BG99" s="65" t="n"/>
      <c r="BH99" s="65" t="n"/>
    </row>
    <row r="100">
      <c r="A100" s="0" t="inlineStr">
        <is>
          <t>R1.10月</t>
        </is>
      </c>
      <c r="B100" s="1" t="inlineStr">
        <is>
          <t>アミコトーA</t>
        </is>
      </c>
      <c r="D100" s="1" t="inlineStr">
        <is>
          <t>塗装</t>
        </is>
      </c>
      <c r="E100" s="2" t="inlineStr">
        <is>
          <t>9月</t>
        </is>
      </c>
      <c r="F100" s="62" t="n">
        <v>1980000</v>
      </c>
      <c r="G100" s="62">
        <f>IF(B100="","",F100-I100 )</f>
        <v/>
      </c>
      <c r="H100" s="4">
        <f>IF(G100="","",G100/F100)</f>
        <v/>
      </c>
      <c r="I100" s="62">
        <f>SUM(テーブル9[[#This Row],[五大]:[工場材]])</f>
        <v/>
      </c>
      <c r="J100" s="65" t="n"/>
      <c r="K100" s="65" t="n"/>
      <c r="L100" s="65" t="n"/>
      <c r="M100" s="64" t="n">
        <v>230000</v>
      </c>
      <c r="N100" s="64" t="n"/>
      <c r="O100" s="65" t="n"/>
      <c r="P100" s="64" t="n">
        <v>800000</v>
      </c>
      <c r="Q100" s="65" t="n"/>
      <c r="R100" s="64" t="n">
        <v>25000</v>
      </c>
      <c r="S100" s="64" t="n">
        <v>35000</v>
      </c>
      <c r="T100" s="65" t="n"/>
      <c r="U100" s="64">
        <f>37400+94800</f>
        <v/>
      </c>
      <c r="V100" s="64" t="n"/>
      <c r="W100" s="65" t="n"/>
      <c r="X100" s="66" t="n"/>
      <c r="Y100" s="65" t="n"/>
      <c r="Z100" s="65" t="n"/>
      <c r="AA100" s="65" t="n"/>
      <c r="AB100" s="65" t="n"/>
      <c r="AC100" s="65" t="n"/>
      <c r="AD100" s="65" t="n"/>
      <c r="AE100" s="65" t="n"/>
      <c r="AF100" s="65" t="n"/>
      <c r="AG100" s="65" t="n"/>
      <c r="AH100" s="65" t="n"/>
      <c r="AI100" s="65" t="n"/>
      <c r="AJ100" s="65" t="n"/>
      <c r="AK100" s="65" t="n"/>
      <c r="AL100" s="65" t="n"/>
      <c r="AM100" s="65" t="n"/>
      <c r="AN100" s="65" t="n"/>
      <c r="AO100" s="65" t="n"/>
      <c r="AP100" s="65" t="n"/>
      <c r="AQ100" s="65" t="n"/>
      <c r="AR100" s="65" t="n"/>
      <c r="AS100" s="65" t="n"/>
      <c r="AT100" s="65" t="n"/>
      <c r="AU100" s="65" t="n"/>
      <c r="AV100" s="65" t="n"/>
      <c r="AW100" s="65" t="n"/>
      <c r="AX100" s="65" t="n"/>
      <c r="AY100" s="65" t="n"/>
      <c r="AZ100" s="65" t="n"/>
      <c r="BA100" s="65" t="n"/>
      <c r="BB100" s="65" t="n"/>
      <c r="BC100" s="65" t="n"/>
      <c r="BD100" s="65" t="n"/>
      <c r="BE100" s="65" t="n"/>
      <c r="BF100" s="65" t="n"/>
      <c r="BG100" s="65" t="n"/>
      <c r="BH100" s="65" t="n"/>
    </row>
    <row r="101">
      <c r="B101" s="1" t="inlineStr">
        <is>
          <t>グリーンフィールド成出E</t>
        </is>
      </c>
      <c r="D101" s="1" t="inlineStr">
        <is>
          <t>塗装</t>
        </is>
      </c>
      <c r="E101" s="2" t="inlineStr">
        <is>
          <t>9月</t>
        </is>
      </c>
      <c r="F101" s="62" t="n">
        <v>1480000</v>
      </c>
      <c r="G101" s="62">
        <f>IF(B101="","",F101-I101 )</f>
        <v/>
      </c>
      <c r="H101" s="4">
        <f>IF(G101="","",G101/F101)</f>
        <v/>
      </c>
      <c r="I101" s="62">
        <f>SUM(テーブル9[[#This Row],[五大]:[工場材]])</f>
        <v/>
      </c>
      <c r="J101" s="65" t="n"/>
      <c r="K101" s="65" t="n"/>
      <c r="L101" s="65" t="n"/>
      <c r="M101" s="64" t="n">
        <v>230000</v>
      </c>
      <c r="N101" s="64" t="n"/>
      <c r="O101" s="65" t="n"/>
      <c r="P101" s="64" t="n">
        <v>750000</v>
      </c>
      <c r="Q101" s="65" t="n"/>
      <c r="R101" s="65" t="n"/>
      <c r="S101" s="64" t="n">
        <v>35000</v>
      </c>
      <c r="T101" s="65" t="n"/>
      <c r="U101" s="64">
        <f>120550+35450+101600</f>
        <v/>
      </c>
      <c r="V101" s="64" t="n"/>
      <c r="W101" s="65" t="n"/>
      <c r="X101" s="66" t="n"/>
      <c r="Y101" s="65" t="n"/>
      <c r="Z101" s="65" t="n"/>
      <c r="AA101" s="65" t="n"/>
      <c r="AB101" s="65" t="n"/>
      <c r="AC101" s="65" t="n"/>
      <c r="AD101" s="65" t="n"/>
      <c r="AE101" s="65" t="n"/>
      <c r="AF101" s="65" t="n"/>
      <c r="AG101" s="65" t="n"/>
      <c r="AH101" s="65" t="n"/>
      <c r="AI101" s="65" t="n"/>
      <c r="AJ101" s="65" t="n"/>
      <c r="AK101" s="65" t="n"/>
      <c r="AL101" s="65" t="n"/>
      <c r="AM101" s="65" t="n"/>
      <c r="AN101" s="65" t="n"/>
      <c r="AO101" s="65" t="n"/>
      <c r="AP101" s="65" t="n"/>
      <c r="AQ101" s="65" t="n"/>
      <c r="AR101" s="65" t="n"/>
      <c r="AS101" s="65" t="n"/>
      <c r="AT101" s="65" t="n"/>
      <c r="AU101" s="65" t="n"/>
      <c r="AV101" s="65" t="n"/>
      <c r="AW101" s="65" t="n"/>
      <c r="AX101" s="65" t="n"/>
      <c r="AY101" s="65" t="n"/>
      <c r="AZ101" s="65" t="n"/>
      <c r="BA101" s="65" t="n"/>
      <c r="BB101" s="65" t="n"/>
      <c r="BC101" s="65" t="n"/>
      <c r="BD101" s="65" t="n"/>
      <c r="BE101" s="65" t="n"/>
      <c r="BF101" s="65" t="n"/>
      <c r="BG101" s="65" t="n"/>
      <c r="BH101" s="65" t="n"/>
    </row>
    <row r="102">
      <c r="B102" s="1" t="inlineStr">
        <is>
          <t>グリーンフィールド成出F</t>
        </is>
      </c>
      <c r="D102" s="1" t="inlineStr">
        <is>
          <t>塗装</t>
        </is>
      </c>
      <c r="E102" s="2" t="inlineStr">
        <is>
          <t>9月</t>
        </is>
      </c>
      <c r="F102" s="62" t="n">
        <v>1686000</v>
      </c>
      <c r="G102" s="62">
        <f>IF(B102="","",F102-I102 )</f>
        <v/>
      </c>
      <c r="H102" s="4">
        <f>IF(G102="","",G102/F102)</f>
        <v/>
      </c>
      <c r="I102" s="62">
        <f>SUM(テーブル9[[#This Row],[五大]:[工場材]])</f>
        <v/>
      </c>
      <c r="J102" s="65" t="n"/>
      <c r="K102" s="65" t="n"/>
      <c r="L102" s="65" t="n"/>
      <c r="M102" s="64" t="n">
        <v>260000</v>
      </c>
      <c r="N102" s="64" t="n"/>
      <c r="O102" s="65" t="n"/>
      <c r="P102" s="64" t="n">
        <v>750000</v>
      </c>
      <c r="Q102" s="65" t="n"/>
      <c r="R102" s="65" t="n"/>
      <c r="S102" s="64" t="n">
        <v>35000</v>
      </c>
      <c r="T102" s="65" t="n"/>
      <c r="U102" s="64">
        <f>120550+35450+29600</f>
        <v/>
      </c>
      <c r="V102" s="64" t="n"/>
      <c r="W102" s="65" t="n"/>
      <c r="X102" s="66" t="n"/>
      <c r="Y102" s="65" t="n"/>
      <c r="Z102" s="65" t="n"/>
      <c r="AA102" s="65" t="n"/>
      <c r="AB102" s="65" t="n"/>
      <c r="AC102" s="65" t="n"/>
      <c r="AD102" s="65" t="n"/>
      <c r="AE102" s="65" t="n"/>
      <c r="AF102" s="65" t="n"/>
      <c r="AG102" s="65" t="n"/>
      <c r="AH102" s="65" t="n"/>
      <c r="AI102" s="65" t="n"/>
      <c r="AJ102" s="65" t="n"/>
      <c r="AK102" s="65" t="n"/>
      <c r="AL102" s="65" t="n"/>
      <c r="AM102" s="65" t="n"/>
      <c r="AN102" s="65" t="n"/>
      <c r="AO102" s="65" t="n"/>
      <c r="AP102" s="65" t="n"/>
      <c r="AQ102" s="65" t="n"/>
      <c r="AR102" s="65" t="n"/>
      <c r="AS102" s="65" t="n"/>
      <c r="AT102" s="65" t="n"/>
      <c r="AU102" s="65" t="n"/>
      <c r="AV102" s="65" t="n"/>
      <c r="AW102" s="65" t="n"/>
      <c r="AX102" s="65" t="n"/>
      <c r="AY102" s="65" t="n"/>
      <c r="AZ102" s="65" t="n"/>
      <c r="BA102" s="65" t="n"/>
      <c r="BB102" s="65" t="n"/>
      <c r="BC102" s="65" t="n"/>
      <c r="BD102" s="65" t="n"/>
      <c r="BE102" s="65" t="n"/>
      <c r="BF102" s="65" t="n"/>
      <c r="BG102" s="65" t="n"/>
      <c r="BH102" s="65" t="n"/>
    </row>
    <row r="103">
      <c r="B103" s="1" t="inlineStr">
        <is>
          <t>グレイスコートA</t>
        </is>
      </c>
      <c r="D103" s="1" t="inlineStr">
        <is>
          <t>塗装</t>
        </is>
      </c>
      <c r="E103" s="2" t="inlineStr">
        <is>
          <t>9月</t>
        </is>
      </c>
      <c r="F103" s="62" t="n">
        <v>514000</v>
      </c>
      <c r="G103" s="62">
        <f>IF(B103="","",F103-I103 )</f>
        <v/>
      </c>
      <c r="H103" s="4">
        <f>IF(G103="","",G103/F103)</f>
        <v/>
      </c>
      <c r="I103" s="62">
        <f>SUM(テーブル9[[#This Row],[五大]:[工場材]])</f>
        <v/>
      </c>
      <c r="J103" s="64" t="n">
        <v>375000</v>
      </c>
      <c r="K103" s="65" t="n"/>
      <c r="L103" s="65" t="n"/>
      <c r="M103" s="65" t="n"/>
      <c r="N103" s="65" t="n"/>
      <c r="O103" s="65" t="n"/>
      <c r="P103" s="64" t="n">
        <v>120000</v>
      </c>
      <c r="Q103" s="65" t="n"/>
      <c r="R103" s="65" t="n"/>
      <c r="S103" s="64" t="n"/>
      <c r="T103" s="65" t="n"/>
      <c r="U103" s="64" t="n"/>
      <c r="V103" s="64" t="n"/>
      <c r="W103" s="65" t="n"/>
      <c r="X103" s="66" t="n"/>
      <c r="Y103" s="65" t="n"/>
      <c r="Z103" s="65" t="n"/>
      <c r="AA103" s="65" t="n"/>
      <c r="AB103" s="65" t="n"/>
      <c r="AC103" s="65" t="n"/>
      <c r="AD103" s="65" t="n"/>
      <c r="AE103" s="65" t="n"/>
      <c r="AF103" s="65" t="n"/>
      <c r="AG103" s="65" t="n"/>
      <c r="AH103" s="65" t="n"/>
      <c r="AI103" s="65" t="n"/>
      <c r="AJ103" s="65" t="n"/>
      <c r="AK103" s="65" t="n"/>
      <c r="AL103" s="65" t="n"/>
      <c r="AM103" s="65" t="n"/>
      <c r="AN103" s="65" t="n"/>
      <c r="AO103" s="65" t="n"/>
      <c r="AP103" s="65" t="n"/>
      <c r="AQ103" s="65" t="n"/>
      <c r="AR103" s="65" t="n"/>
      <c r="AS103" s="65" t="n"/>
      <c r="AT103" s="65" t="n"/>
      <c r="AU103" s="65" t="n"/>
      <c r="AV103" s="65" t="n"/>
      <c r="AW103" s="65" t="n"/>
      <c r="AX103" s="65" t="n"/>
      <c r="AY103" s="65" t="n"/>
      <c r="AZ103" s="65" t="n"/>
      <c r="BA103" s="65" t="n"/>
      <c r="BB103" s="65" t="n"/>
      <c r="BC103" s="65" t="n"/>
      <c r="BD103" s="65" t="n"/>
      <c r="BE103" s="65" t="n"/>
      <c r="BF103" s="65" t="n"/>
      <c r="BG103" s="65" t="n"/>
      <c r="BH103" s="65" t="n"/>
    </row>
    <row r="104">
      <c r="B104" s="1" t="inlineStr">
        <is>
          <t>寺岡 千葉邸</t>
        </is>
      </c>
      <c r="D104" s="1" t="inlineStr">
        <is>
          <t>キッチン交換　他</t>
        </is>
      </c>
      <c r="E104" s="2" t="inlineStr">
        <is>
          <t>9月</t>
        </is>
      </c>
      <c r="F104" s="68">
        <f>250000+37000+85000</f>
        <v/>
      </c>
      <c r="G104" s="68">
        <f>IF(B104="","",F104-I104 )</f>
        <v/>
      </c>
      <c r="H104" s="4">
        <f>IF(G104="","",G104/F104)</f>
        <v/>
      </c>
      <c r="I104" s="62">
        <f>SUM(テーブル9[[#This Row],[五大]:[工場材]])</f>
        <v/>
      </c>
      <c r="J104" s="65" t="n"/>
      <c r="K104" s="65" t="n"/>
      <c r="L104" s="65" t="n"/>
      <c r="M104" s="65" t="n"/>
      <c r="N104" s="65" t="n"/>
      <c r="O104" s="64" t="n">
        <v>30000</v>
      </c>
      <c r="P104" s="64" t="n"/>
      <c r="Q104" s="65" t="n"/>
      <c r="R104" s="65" t="n"/>
      <c r="S104" s="65" t="n"/>
      <c r="T104" s="65" t="n"/>
      <c r="U104" s="64" t="n"/>
      <c r="V104" s="64" t="n"/>
      <c r="W104" s="65">
        <f>30000*5</f>
        <v/>
      </c>
      <c r="X104" s="66" t="n"/>
      <c r="Y104" s="65" t="n"/>
      <c r="Z104" s="65" t="n"/>
      <c r="AA104" s="65" t="n">
        <v>75000</v>
      </c>
      <c r="AB104" s="65" t="n"/>
      <c r="AC104" s="65" t="n">
        <v>51000</v>
      </c>
      <c r="AD104" s="65" t="n"/>
      <c r="AE104" s="65" t="n"/>
      <c r="AF104" s="65" t="n"/>
      <c r="AG104" s="65" t="n"/>
      <c r="AH104" s="65" t="n"/>
      <c r="AI104" s="65" t="n"/>
      <c r="AJ104" s="65" t="n"/>
      <c r="AK104" s="65" t="n"/>
      <c r="AL104" s="65" t="n"/>
      <c r="AM104" s="65" t="n"/>
      <c r="AN104" s="65" t="n"/>
      <c r="AO104" s="65" t="n"/>
      <c r="AP104" s="65" t="n"/>
      <c r="AQ104" s="65" t="n"/>
      <c r="AR104" s="65" t="n"/>
      <c r="AS104" s="65" t="n"/>
      <c r="AT104" s="65" t="n"/>
      <c r="AU104" s="65" t="n"/>
      <c r="AV104" s="65" t="n"/>
      <c r="AW104" s="65" t="n"/>
      <c r="AX104" s="65" t="n"/>
      <c r="AY104" s="65" t="n"/>
      <c r="AZ104" s="65" t="n"/>
      <c r="BA104" s="65" t="n"/>
      <c r="BB104" s="65" t="n"/>
      <c r="BC104" s="65" t="n"/>
      <c r="BD104" s="65" t="n"/>
      <c r="BE104" s="65" t="n"/>
      <c r="BF104" s="65" t="n"/>
      <c r="BG104" s="65" t="n"/>
      <c r="BH104" s="65" t="n"/>
    </row>
    <row r="105">
      <c r="B105" s="1" t="inlineStr">
        <is>
          <t>六木小学校</t>
        </is>
      </c>
      <c r="D105" s="1" t="inlineStr">
        <is>
          <t>トイレユニット工事</t>
        </is>
      </c>
      <c r="E105" s="2" t="inlineStr">
        <is>
          <t>9月</t>
        </is>
      </c>
      <c r="F105" s="68" t="n">
        <v>1140066</v>
      </c>
      <c r="G105" s="68">
        <f>IF(B105="","",F105-I105 )</f>
        <v/>
      </c>
      <c r="H105" s="4">
        <f>IF(G105="","",G105/F105)</f>
        <v/>
      </c>
      <c r="I105" s="62">
        <f>SUM(テーブル9[[#This Row],[五大]:[工場材]])</f>
        <v/>
      </c>
      <c r="J105" s="65" t="n"/>
      <c r="K105" s="65" t="n"/>
      <c r="L105" s="65" t="n"/>
      <c r="M105" s="65" t="n"/>
      <c r="N105" s="65" t="n"/>
      <c r="O105" s="65" t="n"/>
      <c r="P105" s="64" t="n"/>
      <c r="Q105" s="65" t="n"/>
      <c r="R105" s="65" t="n"/>
      <c r="S105" s="65" t="n"/>
      <c r="T105" s="65" t="n"/>
      <c r="U105" s="64" t="n"/>
      <c r="V105" s="64" t="n"/>
      <c r="W105" s="65" t="n"/>
      <c r="X105" s="66" t="n"/>
      <c r="Y105" s="65" t="n"/>
      <c r="Z105" s="65" t="n"/>
      <c r="AA105" s="65" t="n"/>
      <c r="AB105" s="65" t="n">
        <v>580887</v>
      </c>
      <c r="AC105" s="65" t="n"/>
      <c r="AD105" s="65" t="n"/>
      <c r="AE105" s="65" t="n"/>
      <c r="AF105" s="65" t="n"/>
      <c r="AG105" s="65" t="n"/>
      <c r="AH105" s="65" t="n"/>
      <c r="AI105" s="65" t="n"/>
      <c r="AJ105" s="65" t="n"/>
      <c r="AK105" s="65" t="n"/>
      <c r="AL105" s="65" t="n"/>
      <c r="AM105" s="65" t="n"/>
      <c r="AN105" s="65" t="n"/>
      <c r="AO105" s="65" t="n"/>
      <c r="AP105" s="65" t="n"/>
      <c r="AQ105" s="65" t="n"/>
      <c r="AR105" s="65" t="n"/>
      <c r="AS105" s="65" t="n"/>
      <c r="AT105" s="65" t="n"/>
      <c r="AU105" s="65" t="n"/>
      <c r="AV105" s="65" t="n"/>
      <c r="AW105" s="65" t="n"/>
      <c r="AX105" s="65" t="n"/>
      <c r="AY105" s="65" t="n"/>
      <c r="AZ105" s="65" t="n">
        <v>300000</v>
      </c>
      <c r="BA105" s="65" t="n"/>
      <c r="BB105" s="65" t="n"/>
      <c r="BC105" s="65" t="n"/>
      <c r="BD105" s="65" t="n"/>
      <c r="BE105" s="65" t="n"/>
      <c r="BF105" s="65" t="n"/>
      <c r="BG105" s="65" t="n">
        <v>140000</v>
      </c>
      <c r="BH105" s="65" t="inlineStr">
        <is>
          <t>←広手間</t>
        </is>
      </c>
    </row>
    <row r="106">
      <c r="B106" s="1" t="inlineStr">
        <is>
          <t>セフィラ淡雪</t>
        </is>
      </c>
      <c r="D106" s="1" t="inlineStr">
        <is>
          <t>塗装</t>
        </is>
      </c>
      <c r="E106" s="2" t="inlineStr">
        <is>
          <t>9月</t>
        </is>
      </c>
      <c r="F106" s="68" t="n">
        <v>2050000</v>
      </c>
      <c r="G106" s="68">
        <f>IF(B106="","",F106-I106 )</f>
        <v/>
      </c>
      <c r="H106" s="4">
        <f>IF(G106="","",G106/F106)</f>
        <v/>
      </c>
      <c r="I106" s="62">
        <f>SUM(テーブル9[[#This Row],[五大]:[工場材]])</f>
        <v/>
      </c>
      <c r="J106" s="64" t="n">
        <v>220000</v>
      </c>
      <c r="K106" s="65" t="n"/>
      <c r="L106" s="65" t="n"/>
      <c r="M106" s="65" t="n"/>
      <c r="N106" s="65" t="n"/>
      <c r="O106" s="64" t="n">
        <v>700000</v>
      </c>
      <c r="P106" s="64" t="n"/>
      <c r="Q106" s="65" t="n"/>
      <c r="R106" s="64" t="n">
        <v>43260</v>
      </c>
      <c r="S106" s="64" t="n">
        <v>35000</v>
      </c>
      <c r="T106" s="65" t="n"/>
      <c r="U106" s="64">
        <f>79400</f>
        <v/>
      </c>
      <c r="V106" s="64" t="n"/>
      <c r="W106" s="65" t="n"/>
      <c r="X106" s="66" t="n"/>
      <c r="Y106" s="65" t="n"/>
      <c r="Z106" s="65" t="n"/>
      <c r="AA106" s="65" t="n"/>
      <c r="AB106" s="65" t="n"/>
      <c r="AC106" s="65" t="n"/>
      <c r="AD106" s="65" t="n"/>
      <c r="AE106" s="65" t="n"/>
      <c r="AF106" s="65" t="n"/>
      <c r="AG106" s="65" t="n"/>
      <c r="AH106" s="65" t="n"/>
      <c r="AI106" s="65" t="n"/>
      <c r="AJ106" s="65" t="n"/>
      <c r="AK106" s="65" t="n"/>
      <c r="AL106" s="65" t="n"/>
      <c r="AM106" s="64" t="n">
        <v>15000</v>
      </c>
      <c r="AN106" s="65" t="n"/>
      <c r="AO106" s="65" t="n"/>
      <c r="AP106" s="65" t="n"/>
      <c r="AQ106" s="65" t="n"/>
      <c r="AR106" s="65" t="n"/>
      <c r="AS106" s="65" t="n"/>
      <c r="AT106" s="65" t="n"/>
      <c r="AU106" s="65" t="n">
        <v>220000</v>
      </c>
      <c r="AV106" s="65" t="n"/>
      <c r="AW106" s="65" t="n"/>
      <c r="AX106" s="65" t="n"/>
      <c r="AY106" s="65" t="n"/>
      <c r="AZ106" s="65" t="n"/>
      <c r="BA106" s="65" t="n"/>
      <c r="BB106" s="65" t="n"/>
      <c r="BC106" s="65" t="n"/>
      <c r="BD106" s="65" t="n"/>
      <c r="BE106" s="65" t="n"/>
      <c r="BF106" s="65" t="n"/>
      <c r="BG106" s="65" t="n">
        <v>88000</v>
      </c>
      <c r="BH106" s="65" t="n"/>
    </row>
    <row r="107">
      <c r="B107" s="1" t="inlineStr">
        <is>
          <t>ボヌール</t>
        </is>
      </c>
      <c r="D107" s="1" t="inlineStr">
        <is>
          <t>塗装</t>
        </is>
      </c>
      <c r="E107" s="2" t="inlineStr">
        <is>
          <t>9月</t>
        </is>
      </c>
      <c r="F107" s="68" t="n">
        <v>1686000</v>
      </c>
      <c r="G107" s="68">
        <f>IF(B107="","",F107-I107 )</f>
        <v/>
      </c>
      <c r="H107" s="4">
        <f>IF(G107="","",G107/F107)</f>
        <v/>
      </c>
      <c r="I107" s="62">
        <f>SUM(テーブル9[[#This Row],[五大]:[工場材]])</f>
        <v/>
      </c>
      <c r="J107" s="64" t="n">
        <v>255000</v>
      </c>
      <c r="K107" s="65" t="n"/>
      <c r="L107" s="65" t="n"/>
      <c r="M107" s="65" t="n"/>
      <c r="N107" s="65" t="n"/>
      <c r="O107" s="64" t="n">
        <v>750000</v>
      </c>
      <c r="P107" s="65" t="n"/>
      <c r="Q107" s="65" t="n"/>
      <c r="R107" s="64" t="n">
        <v>47600</v>
      </c>
      <c r="S107" s="64" t="n">
        <v>35000</v>
      </c>
      <c r="T107" s="65" t="n"/>
      <c r="U107" s="64">
        <f>141600+42000</f>
        <v/>
      </c>
      <c r="V107" s="64" t="n"/>
      <c r="W107" s="65" t="n"/>
      <c r="X107" s="66" t="n"/>
      <c r="Y107" s="65" t="n"/>
      <c r="Z107" s="65" t="n"/>
      <c r="AA107" s="65" t="n"/>
      <c r="AB107" s="65" t="n"/>
      <c r="AC107" s="65" t="n"/>
      <c r="AD107" s="65" t="n"/>
      <c r="AE107" s="65" t="n"/>
      <c r="AF107" s="65" t="n"/>
      <c r="AG107" s="65" t="n"/>
      <c r="AH107" s="65" t="n"/>
      <c r="AI107" s="65" t="n"/>
      <c r="AJ107" s="65" t="n"/>
      <c r="AK107" s="65" t="n"/>
      <c r="AL107" s="65" t="n"/>
      <c r="AM107" s="64" t="n">
        <v>15000</v>
      </c>
      <c r="AN107" s="65" t="n"/>
      <c r="AO107" s="65" t="n"/>
      <c r="AP107" s="65" t="n"/>
      <c r="AQ107" s="65" t="n"/>
      <c r="AR107" s="65" t="n"/>
      <c r="AS107" s="65" t="n"/>
      <c r="AT107" s="65" t="n"/>
      <c r="AU107" s="65" t="n"/>
      <c r="AV107" s="65" t="n"/>
      <c r="AW107" s="65" t="n"/>
      <c r="AX107" s="65" t="n"/>
      <c r="AY107" s="65" t="n"/>
      <c r="AZ107" s="65" t="n"/>
      <c r="BA107" s="65" t="n"/>
      <c r="BB107" s="65" t="n"/>
      <c r="BC107" s="65" t="n"/>
      <c r="BD107" s="65" t="n"/>
      <c r="BE107" s="65" t="n"/>
      <c r="BF107" s="65" t="n"/>
      <c r="BG107" s="65" t="n">
        <v>3000</v>
      </c>
      <c r="BH107" s="65" t="n"/>
    </row>
    <row r="108">
      <c r="B108" s="1" t="inlineStr">
        <is>
          <t>シャーメゾン下原Ⅲ</t>
        </is>
      </c>
      <c r="D108" s="1" t="inlineStr">
        <is>
          <t>塗装</t>
        </is>
      </c>
      <c r="E108" s="2" t="inlineStr">
        <is>
          <t>9月</t>
        </is>
      </c>
      <c r="F108" s="68" t="n">
        <v>1644000</v>
      </c>
      <c r="G108" s="68">
        <f>IF(B108="","",F108-I108 )</f>
        <v/>
      </c>
      <c r="H108" s="4">
        <f>IF(G108="","",G108/F108)</f>
        <v/>
      </c>
      <c r="I108" s="62">
        <f>SUM(テーブル9[[#This Row],[五大]:[工場材]])</f>
        <v/>
      </c>
      <c r="J108" s="64" t="n"/>
      <c r="K108" s="64" t="n">
        <v>253500</v>
      </c>
      <c r="L108" s="64" t="n"/>
      <c r="M108" s="64" t="n"/>
      <c r="N108" s="64" t="n"/>
      <c r="O108" s="64" t="n">
        <v>850000</v>
      </c>
      <c r="P108" s="65" t="n"/>
      <c r="Q108" s="65" t="n"/>
      <c r="R108" s="65" t="n"/>
      <c r="S108" s="65" t="n"/>
      <c r="T108" s="65" t="n"/>
      <c r="U108" s="64">
        <f>53300</f>
        <v/>
      </c>
      <c r="V108" s="64" t="n"/>
      <c r="W108" s="65" t="n"/>
      <c r="X108" s="66" t="n"/>
      <c r="Y108" s="65" t="n"/>
      <c r="Z108" s="65" t="n"/>
      <c r="AA108" s="65" t="n"/>
      <c r="AB108" s="65" t="n"/>
      <c r="AC108" s="65" t="n"/>
      <c r="AD108" s="65" t="n"/>
      <c r="AE108" s="65" t="n"/>
      <c r="AF108" s="65" t="n"/>
      <c r="AG108" s="65" t="n"/>
      <c r="AH108" s="65" t="n"/>
      <c r="AI108" s="65" t="n"/>
      <c r="AJ108" s="65" t="n"/>
      <c r="AK108" s="65" t="n"/>
      <c r="AL108" s="65" t="n"/>
      <c r="AM108" s="65" t="n"/>
      <c r="AN108" s="65" t="n"/>
      <c r="AO108" s="65" t="n"/>
      <c r="AP108" s="65" t="n"/>
      <c r="AQ108" s="65" t="n"/>
      <c r="AR108" s="65" t="n"/>
      <c r="AS108" s="65" t="n"/>
      <c r="AT108" s="65" t="n"/>
      <c r="AU108" s="65" t="n"/>
      <c r="AV108" s="65" t="n"/>
      <c r="AW108" s="65" t="n"/>
      <c r="AX108" s="65" t="n"/>
      <c r="AY108" s="65" t="n"/>
      <c r="AZ108" s="65" t="n"/>
      <c r="BA108" s="65" t="n"/>
      <c r="BB108" s="65" t="n"/>
      <c r="BC108" s="65" t="n"/>
      <c r="BD108" s="65" t="n"/>
      <c r="BE108" s="65" t="n"/>
      <c r="BF108" s="65" t="n"/>
      <c r="BG108" s="65" t="n"/>
      <c r="BH108" s="65" t="n"/>
    </row>
    <row r="109">
      <c r="B109" s="1" t="inlineStr">
        <is>
          <t>ラフィーネ高玉B</t>
        </is>
      </c>
      <c r="D109" s="1" t="inlineStr">
        <is>
          <t>塗装</t>
        </is>
      </c>
      <c r="E109" s="2" t="inlineStr">
        <is>
          <t>9月</t>
        </is>
      </c>
      <c r="F109" s="68" t="n">
        <v>1665200</v>
      </c>
      <c r="G109" s="68">
        <f>IF(B109="","",F109-I109 )</f>
        <v/>
      </c>
      <c r="H109" s="4">
        <f>IF(G109="","",G109/F109)</f>
        <v/>
      </c>
      <c r="I109" s="62">
        <f>SUM(テーブル9[[#This Row],[五大]:[工場材]])</f>
        <v/>
      </c>
      <c r="J109" s="64" t="n"/>
      <c r="K109" s="64" t="n"/>
      <c r="L109" s="64" t="n"/>
      <c r="M109" s="64" t="n">
        <v>221000</v>
      </c>
      <c r="N109" s="64" t="n"/>
      <c r="O109" s="64" t="n">
        <v>850000</v>
      </c>
      <c r="P109" s="65" t="n"/>
      <c r="Q109" s="65" t="n"/>
      <c r="R109" s="64" t="n">
        <v>42700</v>
      </c>
      <c r="S109" s="65" t="n"/>
      <c r="T109" s="65" t="n"/>
      <c r="U109" s="64">
        <f>54000+14800</f>
        <v/>
      </c>
      <c r="V109" s="64" t="n"/>
      <c r="W109" s="65" t="n"/>
      <c r="X109" s="66" t="n"/>
      <c r="Y109" s="65" t="n"/>
      <c r="Z109" s="65" t="n"/>
      <c r="AA109" s="65" t="n"/>
      <c r="AB109" s="65" t="n"/>
      <c r="AC109" s="65" t="n"/>
      <c r="AD109" s="65" t="n"/>
      <c r="AE109" s="65" t="n"/>
      <c r="AF109" s="65" t="n"/>
      <c r="AG109" s="65" t="n"/>
      <c r="AH109" s="65" t="n"/>
      <c r="AI109" s="65" t="n"/>
      <c r="AJ109" s="65" t="n"/>
      <c r="AK109" s="65" t="n"/>
      <c r="AL109" s="65" t="n"/>
      <c r="AM109" s="65" t="n"/>
      <c r="AN109" s="65" t="n"/>
      <c r="AO109" s="65" t="n"/>
      <c r="AP109" s="65" t="n"/>
      <c r="AQ109" s="65" t="n"/>
      <c r="AR109" s="65" t="n"/>
      <c r="AS109" s="65" t="n"/>
      <c r="AT109" s="65" t="n"/>
      <c r="AU109" s="65" t="n"/>
      <c r="AV109" s="65" t="n"/>
      <c r="AW109" s="65" t="n"/>
      <c r="AX109" s="65" t="n"/>
      <c r="AY109" s="65" t="n"/>
      <c r="AZ109" s="65" t="n"/>
      <c r="BA109" s="65" t="n"/>
      <c r="BB109" s="65" t="n"/>
      <c r="BC109" s="65" t="n"/>
      <c r="BD109" s="65" t="n"/>
      <c r="BE109" s="65" t="n"/>
      <c r="BF109" s="65" t="n"/>
      <c r="BG109" s="65" t="n"/>
    </row>
    <row r="110">
      <c r="B110" s="1" t="inlineStr">
        <is>
          <t>アスティオンⅡ</t>
        </is>
      </c>
      <c r="D110" s="1" t="inlineStr">
        <is>
          <t>塗装</t>
        </is>
      </c>
      <c r="E110" s="2" t="inlineStr">
        <is>
          <t>9月</t>
        </is>
      </c>
      <c r="F110" s="68" t="n">
        <v>57000</v>
      </c>
      <c r="G110" s="68">
        <f>IF(B110="","",F110-I110 )</f>
        <v/>
      </c>
      <c r="H110" s="4">
        <f>IF(G110="","",G110/F110)</f>
        <v/>
      </c>
      <c r="I110" s="62">
        <f>SUM(テーブル9[[#This Row],[五大]:[工場材]])</f>
        <v/>
      </c>
      <c r="J110" s="64" t="n"/>
      <c r="K110" s="64" t="n">
        <v>30000</v>
      </c>
      <c r="L110" s="64" t="n"/>
      <c r="M110" s="64" t="n"/>
      <c r="N110" s="64" t="n"/>
      <c r="O110" s="65" t="n"/>
      <c r="P110" s="65" t="n"/>
      <c r="Q110" s="65" t="n"/>
      <c r="R110" s="65" t="n"/>
      <c r="S110" s="65" t="n"/>
      <c r="T110" s="65" t="n"/>
      <c r="U110" s="64" t="n"/>
      <c r="V110" s="64" t="n"/>
      <c r="W110" s="65" t="n"/>
      <c r="X110" s="66" t="n"/>
      <c r="Y110" s="65" t="n"/>
      <c r="Z110" s="65" t="n"/>
      <c r="AA110" s="65" t="n"/>
      <c r="AB110" s="65" t="n"/>
      <c r="AC110" s="65" t="n"/>
      <c r="AD110" s="65" t="n"/>
      <c r="AE110" s="65" t="n"/>
      <c r="AF110" s="65" t="n"/>
      <c r="AG110" s="65" t="n"/>
      <c r="AH110" s="65" t="n"/>
      <c r="AI110" s="65" t="n"/>
      <c r="AJ110" s="65" t="n"/>
      <c r="AK110" s="65" t="n"/>
      <c r="AL110" s="65" t="n"/>
      <c r="AM110" s="65" t="n"/>
      <c r="AN110" s="65" t="n"/>
      <c r="AO110" s="65" t="n"/>
      <c r="AP110" s="65" t="n"/>
      <c r="AQ110" s="65" t="n"/>
      <c r="AR110" s="65" t="n"/>
      <c r="AS110" s="65" t="n"/>
      <c r="AT110" s="65" t="n"/>
      <c r="AU110" s="65" t="n"/>
      <c r="AV110" s="65" t="n"/>
      <c r="AW110" s="65" t="n"/>
      <c r="AX110" s="65" t="n"/>
      <c r="AY110" s="65" t="n"/>
      <c r="AZ110" s="65" t="n"/>
      <c r="BA110" s="65" t="n"/>
      <c r="BB110" s="65" t="n"/>
      <c r="BC110" s="65" t="n"/>
      <c r="BD110" s="65" t="n"/>
      <c r="BE110" s="65" t="n"/>
      <c r="BF110" s="65" t="n"/>
      <c r="BG110" s="65" t="n"/>
    </row>
    <row r="111">
      <c r="B111" s="22" t="inlineStr">
        <is>
          <t>合計</t>
        </is>
      </c>
      <c r="C111" s="22" t="n"/>
      <c r="F111" s="67">
        <f>SUBTOTAL(109,F100:F110)</f>
        <v/>
      </c>
      <c r="G111" s="67">
        <f>SUBTOTAL(109,G100:G110)</f>
        <v/>
      </c>
      <c r="H111" s="14">
        <f>IF(G111="","",G111/F111)</f>
        <v/>
      </c>
      <c r="I111" s="67">
        <f>SUBTOTAL(109,I100:I110)</f>
        <v/>
      </c>
      <c r="J111" s="64" t="n"/>
      <c r="K111" s="65" t="n"/>
      <c r="L111" s="65" t="n"/>
      <c r="M111" s="65" t="n"/>
      <c r="N111" s="65" t="n"/>
      <c r="O111" s="65" t="n"/>
      <c r="P111" s="65" t="n"/>
      <c r="Q111" s="65" t="n"/>
      <c r="R111" s="65" t="n"/>
      <c r="S111" s="65" t="n"/>
      <c r="T111" s="65" t="n"/>
      <c r="U111" s="64" t="n"/>
      <c r="V111" s="64" t="n"/>
      <c r="W111" s="65" t="n"/>
      <c r="X111" s="66" t="n"/>
      <c r="Y111" s="65" t="n"/>
      <c r="Z111" s="65" t="n"/>
      <c r="AA111" s="65" t="n"/>
      <c r="AB111" s="65" t="n"/>
      <c r="AC111" s="65" t="n"/>
      <c r="AD111" s="65" t="n"/>
      <c r="AE111" s="65" t="n"/>
      <c r="AF111" s="65" t="n"/>
      <c r="AG111" s="65" t="n"/>
      <c r="AH111" s="65" t="n"/>
      <c r="AI111" s="65" t="n"/>
      <c r="AJ111" s="65" t="n"/>
      <c r="AK111" s="65" t="n"/>
      <c r="AL111" s="65" t="n"/>
      <c r="AM111" s="65" t="n"/>
      <c r="AN111" s="65" t="n"/>
      <c r="AO111" s="65" t="n"/>
      <c r="AP111" s="65" t="n"/>
      <c r="AQ111" s="65" t="n"/>
      <c r="AR111" s="65" t="n"/>
      <c r="AS111" s="65" t="n"/>
      <c r="AT111" s="65" t="n"/>
      <c r="AU111" s="65" t="n"/>
      <c r="AV111" s="65" t="n"/>
      <c r="AW111" s="65" t="n"/>
      <c r="AX111" s="65" t="n"/>
      <c r="AY111" s="65" t="n"/>
      <c r="AZ111" s="65" t="n"/>
      <c r="BA111" s="65" t="n"/>
      <c r="BB111" s="65" t="n"/>
      <c r="BC111" s="65" t="n"/>
      <c r="BD111" s="65" t="n"/>
      <c r="BE111" s="65" t="n"/>
      <c r="BF111" s="65" t="n"/>
      <c r="BG111" s="64" t="n"/>
      <c r="BH111" s="65" t="n"/>
    </row>
    <row r="112">
      <c r="F112" s="68" t="n"/>
      <c r="G112" s="68">
        <f>IF(B112="","",F112-I112 )</f>
        <v/>
      </c>
      <c r="H112" s="5">
        <f>IF(G112="","",G112/F112)</f>
        <v/>
      </c>
      <c r="I112" s="62">
        <f>SUM(テーブル9[[#This Row],[五大]:[工場材]])</f>
        <v/>
      </c>
      <c r="J112" s="64" t="n"/>
      <c r="K112" s="65" t="n"/>
      <c r="L112" s="65" t="n"/>
      <c r="M112" s="65" t="n"/>
      <c r="N112" s="65" t="n"/>
      <c r="O112" s="65" t="n"/>
      <c r="P112" s="65" t="n"/>
      <c r="Q112" s="65" t="n"/>
      <c r="R112" s="65" t="n"/>
      <c r="S112" s="65" t="n"/>
      <c r="T112" s="65" t="n"/>
      <c r="U112" s="64" t="n"/>
      <c r="V112" s="64" t="n"/>
      <c r="W112" s="65" t="n"/>
      <c r="X112" s="66" t="n"/>
      <c r="Y112" s="65" t="n"/>
      <c r="Z112" s="65" t="n"/>
      <c r="AA112" s="65" t="n"/>
      <c r="AB112" s="65" t="n"/>
      <c r="AC112" s="65" t="n"/>
      <c r="AD112" s="65" t="n"/>
      <c r="AE112" s="65" t="n"/>
      <c r="AF112" s="65" t="n"/>
      <c r="AG112" s="65" t="n"/>
      <c r="AH112" s="65" t="n"/>
      <c r="AI112" s="65" t="n"/>
      <c r="AJ112" s="65" t="n"/>
      <c r="AK112" s="65" t="n"/>
      <c r="AL112" s="65" t="n"/>
      <c r="AM112" s="65" t="n"/>
      <c r="AN112" s="65" t="n"/>
      <c r="AO112" s="65" t="n"/>
      <c r="AP112" s="65" t="n"/>
      <c r="AQ112" s="65" t="n"/>
      <c r="AR112" s="65" t="n"/>
      <c r="AS112" s="65" t="n"/>
      <c r="AT112" s="65" t="n"/>
      <c r="AU112" s="65" t="n"/>
      <c r="AV112" s="65" t="n"/>
      <c r="AW112" s="65" t="n"/>
      <c r="AX112" s="65" t="n"/>
      <c r="AY112" s="65" t="n"/>
      <c r="AZ112" s="65" t="n"/>
      <c r="BA112" s="65" t="n"/>
      <c r="BB112" s="65" t="n"/>
      <c r="BC112" s="65" t="n"/>
      <c r="BD112" s="65" t="n"/>
      <c r="BE112" s="65" t="n"/>
      <c r="BF112" s="65" t="n"/>
      <c r="BG112" s="65" t="n"/>
    </row>
    <row r="113">
      <c r="F113" s="68" t="n"/>
      <c r="G113" s="68">
        <f>IF(B113="","",F113-I113 )</f>
        <v/>
      </c>
      <c r="H113" s="5">
        <f>IF(G113="","",G113/F113)</f>
        <v/>
      </c>
      <c r="I113" s="62">
        <f>SUM(テーブル9[[#This Row],[五大]:[工場材]])</f>
        <v/>
      </c>
      <c r="J113" s="64" t="n"/>
      <c r="K113" s="65" t="n"/>
      <c r="L113" s="65" t="n"/>
      <c r="M113" s="65" t="n"/>
      <c r="N113" s="65" t="n"/>
      <c r="O113" s="65" t="n"/>
      <c r="P113" s="65" t="n"/>
      <c r="Q113" s="65" t="n"/>
      <c r="R113" s="65" t="n"/>
      <c r="S113" s="65" t="n"/>
      <c r="T113" s="65" t="n"/>
      <c r="U113" s="64" t="n"/>
      <c r="V113" s="64" t="n"/>
      <c r="W113" s="65" t="n"/>
      <c r="X113" s="66" t="n"/>
      <c r="Y113" s="65" t="n"/>
      <c r="Z113" s="65" t="n"/>
      <c r="AA113" s="65" t="n"/>
      <c r="AB113" s="65" t="n"/>
      <c r="AC113" s="65" t="n"/>
      <c r="AD113" s="65" t="n"/>
      <c r="AE113" s="65" t="n"/>
      <c r="AF113" s="65" t="n"/>
      <c r="AG113" s="65" t="n"/>
      <c r="AH113" s="65" t="n"/>
      <c r="AI113" s="65" t="n"/>
      <c r="AJ113" s="65" t="n"/>
      <c r="AK113" s="65" t="n"/>
      <c r="AL113" s="65" t="n"/>
      <c r="AM113" s="65" t="n"/>
      <c r="AN113" s="65" t="n"/>
      <c r="AO113" s="65" t="n"/>
      <c r="AP113" s="65" t="n"/>
      <c r="AQ113" s="65" t="n"/>
      <c r="AR113" s="65" t="n"/>
      <c r="AS113" s="65" t="n"/>
      <c r="AT113" s="65" t="n"/>
      <c r="AU113" s="65" t="n"/>
      <c r="AV113" s="65" t="n"/>
      <c r="AW113" s="65" t="n"/>
      <c r="AX113" s="65" t="n"/>
      <c r="AY113" s="65" t="n"/>
      <c r="AZ113" s="65" t="n"/>
      <c r="BA113" s="65" t="n"/>
      <c r="BB113" s="65" t="n"/>
      <c r="BC113" s="65" t="n"/>
      <c r="BD113" s="65" t="n"/>
      <c r="BE113" s="65" t="n"/>
      <c r="BF113" s="65" t="n"/>
      <c r="BG113" s="65" t="n"/>
    </row>
    <row r="114">
      <c r="A114" s="0" t="inlineStr">
        <is>
          <t>R1.11月</t>
        </is>
      </c>
      <c r="B114" s="1" t="inlineStr">
        <is>
          <t>サンシャインFOUR</t>
        </is>
      </c>
      <c r="D114" s="1" t="inlineStr">
        <is>
          <t>塗装</t>
        </is>
      </c>
      <c r="E114" s="2" t="inlineStr">
        <is>
          <t>10月</t>
        </is>
      </c>
      <c r="F114" s="68" t="n">
        <v>1750000</v>
      </c>
      <c r="G114" s="68">
        <f>IF(B114="","",F114-I114 )</f>
        <v/>
      </c>
      <c r="H114" s="4">
        <f>IF(G114="","",G114/F114)</f>
        <v/>
      </c>
      <c r="I114" s="62">
        <f>SUM(テーブル9[[#This Row],[五大]:[工場材]])</f>
        <v/>
      </c>
      <c r="J114" s="64" t="n">
        <v>230000</v>
      </c>
      <c r="K114" s="64" t="n"/>
      <c r="L114" s="64" t="n"/>
      <c r="M114" s="64" t="n"/>
      <c r="N114" s="64" t="n"/>
      <c r="O114" s="64" t="n">
        <v>750000</v>
      </c>
      <c r="P114" s="65" t="n"/>
      <c r="Q114" s="65" t="n"/>
      <c r="R114" s="64">
        <f>59*700</f>
        <v/>
      </c>
      <c r="S114" s="65" t="n"/>
      <c r="T114" s="65" t="n"/>
      <c r="U114" s="64">
        <f>102900+12700+11300</f>
        <v/>
      </c>
      <c r="V114" s="64" t="n"/>
      <c r="W114" s="65" t="n"/>
      <c r="X114" s="66" t="n"/>
      <c r="Y114" s="65" t="n"/>
      <c r="Z114" s="65" t="n"/>
      <c r="AA114" s="64" t="n">
        <v>34000</v>
      </c>
      <c r="AB114" s="65" t="n"/>
      <c r="AC114" s="65" t="n"/>
      <c r="AD114" s="65" t="n"/>
      <c r="AE114" s="65" t="n"/>
      <c r="AF114" s="65" t="n"/>
      <c r="AG114" s="65" t="n"/>
      <c r="AH114" s="65" t="n"/>
      <c r="AI114" s="65" t="n"/>
      <c r="AJ114" s="65" t="n"/>
      <c r="AK114" s="65" t="n"/>
      <c r="AL114" s="65" t="n"/>
      <c r="AM114" s="65" t="n"/>
      <c r="AN114" s="64" t="n">
        <v>64000</v>
      </c>
      <c r="AO114" s="65" t="n"/>
      <c r="AP114" s="65" t="n"/>
      <c r="AQ114" s="65" t="n"/>
      <c r="AR114" s="65" t="n"/>
      <c r="AS114" s="65" t="n"/>
      <c r="AT114" s="65" t="n"/>
      <c r="AU114" s="65" t="n"/>
      <c r="AV114" s="65" t="n"/>
      <c r="AW114" s="65" t="n"/>
      <c r="AX114" s="65" t="n"/>
      <c r="AY114" s="65" t="n"/>
      <c r="AZ114" s="65" t="n">
        <v>10000</v>
      </c>
      <c r="BA114" s="65" t="n"/>
      <c r="BB114" s="65" t="n"/>
      <c r="BC114" s="65" t="n"/>
      <c r="BD114" s="65" t="n"/>
      <c r="BE114" s="65" t="n"/>
      <c r="BF114" s="65" t="n"/>
      <c r="BG114" s="65" t="n">
        <v>28000</v>
      </c>
    </row>
    <row r="115">
      <c r="B115" s="1" t="inlineStr">
        <is>
          <t>アミコトーC</t>
        </is>
      </c>
      <c r="D115" s="1" t="inlineStr">
        <is>
          <t>塗装</t>
        </is>
      </c>
      <c r="E115" s="2" t="inlineStr">
        <is>
          <t>10月</t>
        </is>
      </c>
      <c r="F115" s="68" t="n">
        <v>1915050</v>
      </c>
      <c r="G115" s="68">
        <f>IF(B115="","",F115-I115 )</f>
        <v/>
      </c>
      <c r="H115" s="4">
        <f>IF(G115="","",G115/F115)</f>
        <v/>
      </c>
      <c r="I115" s="62">
        <f>SUM(テーブル9[[#This Row],[五大]:[工場材]])</f>
        <v/>
      </c>
      <c r="J115" s="64" t="n"/>
      <c r="K115" s="65" t="n"/>
      <c r="L115" s="65" t="n"/>
      <c r="M115" s="64" t="n">
        <v>230000</v>
      </c>
      <c r="N115" s="64" t="n"/>
      <c r="O115" s="65" t="n"/>
      <c r="P115" s="64" t="n">
        <v>800000</v>
      </c>
      <c r="Q115" s="65" t="n"/>
      <c r="R115" s="64" t="n">
        <v>25000</v>
      </c>
      <c r="S115" s="64" t="n"/>
      <c r="T115" s="65" t="n"/>
      <c r="U115" s="64" t="n">
        <v>49400</v>
      </c>
      <c r="V115" s="64" t="n"/>
      <c r="W115" s="65" t="n"/>
      <c r="X115" s="66" t="n"/>
      <c r="Y115" s="65" t="n"/>
      <c r="Z115" s="65" t="n"/>
      <c r="AA115" s="65" t="n"/>
      <c r="AB115" s="65" t="n"/>
      <c r="AC115" s="65" t="n"/>
      <c r="AD115" s="65" t="n"/>
      <c r="AE115" s="65" t="n"/>
      <c r="AF115" s="65" t="n"/>
      <c r="AG115" s="65" t="n"/>
      <c r="AH115" s="65" t="n"/>
      <c r="AI115" s="65" t="n"/>
      <c r="AJ115" s="65" t="n"/>
      <c r="AK115" s="65" t="n"/>
      <c r="AL115" s="65" t="n"/>
      <c r="AM115" s="65" t="n"/>
      <c r="AN115" s="65" t="n"/>
      <c r="AO115" s="65" t="n"/>
      <c r="AP115" s="65" t="n"/>
      <c r="AQ115" s="65" t="n"/>
      <c r="AR115" s="65" t="n"/>
      <c r="AS115" s="65" t="n"/>
      <c r="AT115" s="65" t="n"/>
      <c r="AU115" s="65" t="n"/>
      <c r="AV115" s="65" t="n"/>
      <c r="AW115" s="65" t="n"/>
      <c r="AX115" s="65" t="n"/>
      <c r="AY115" s="65" t="n"/>
      <c r="AZ115" s="65" t="n"/>
      <c r="BA115" s="65" t="n"/>
      <c r="BB115" s="65" t="n"/>
      <c r="BC115" s="65" t="n"/>
      <c r="BD115" s="65" t="n"/>
      <c r="BE115" s="65" t="n"/>
      <c r="BF115" s="65" t="n"/>
      <c r="BG115" s="65" t="n"/>
      <c r="BH115" s="65" t="n"/>
    </row>
    <row r="116">
      <c r="B116" s="1" t="inlineStr">
        <is>
          <t>ウイングハイツA</t>
        </is>
      </c>
      <c r="D116" s="1" t="inlineStr">
        <is>
          <t>屋根塗装</t>
        </is>
      </c>
      <c r="E116" s="2" t="inlineStr">
        <is>
          <t>10月</t>
        </is>
      </c>
      <c r="F116" s="68" t="n">
        <v>733000</v>
      </c>
      <c r="G116" s="68">
        <f>IF(B116="","",F116-I116 )</f>
        <v/>
      </c>
      <c r="H116" s="4">
        <f>IF(G116="","",G116/F116)</f>
        <v/>
      </c>
      <c r="I116" s="62">
        <f>SUM(テーブル9[[#This Row],[五大]:[工場材]])</f>
        <v/>
      </c>
      <c r="J116" s="65" t="n">
        <v>200000</v>
      </c>
      <c r="K116" s="65" t="n"/>
      <c r="L116" s="65" t="n"/>
      <c r="M116" s="65" t="n"/>
      <c r="N116" s="65" t="n"/>
      <c r="O116" s="65" t="n"/>
      <c r="P116" s="64" t="n">
        <v>200000</v>
      </c>
      <c r="Q116" s="65" t="n"/>
      <c r="R116" s="65" t="n"/>
      <c r="S116" s="65" t="n"/>
      <c r="T116" s="65" t="n"/>
      <c r="U116" s="64">
        <f>65150</f>
        <v/>
      </c>
      <c r="V116" s="64" t="n"/>
      <c r="W116" s="65" t="n"/>
      <c r="X116" s="66" t="n"/>
      <c r="Y116" s="65" t="n"/>
      <c r="Z116" s="65" t="n"/>
      <c r="AA116" s="65" t="n"/>
      <c r="AB116" s="65" t="n"/>
      <c r="AC116" s="65" t="n"/>
      <c r="AD116" s="65" t="n"/>
      <c r="AE116" s="65" t="n"/>
      <c r="AF116" s="65" t="n"/>
      <c r="AG116" s="65" t="n"/>
      <c r="AH116" s="65" t="n"/>
      <c r="AI116" s="65" t="n"/>
      <c r="AJ116" s="65" t="n"/>
      <c r="AK116" s="65" t="n"/>
      <c r="AL116" s="65" t="n"/>
      <c r="AM116" s="64" t="n">
        <v>15000</v>
      </c>
      <c r="AN116" s="65" t="n"/>
      <c r="AO116" s="65" t="n"/>
      <c r="AP116" s="65" t="n"/>
      <c r="AQ116" s="65" t="n"/>
      <c r="AR116" s="65" t="n"/>
      <c r="AS116" s="65" t="n"/>
      <c r="AT116" s="65" t="n"/>
      <c r="AU116" s="65" t="n"/>
      <c r="AV116" s="65" t="n"/>
      <c r="AW116" s="65" t="n"/>
      <c r="AX116" s="65" t="n"/>
      <c r="AY116" s="65" t="n"/>
      <c r="AZ116" s="65" t="n"/>
      <c r="BA116" s="65" t="n"/>
      <c r="BB116" s="65" t="n"/>
      <c r="BC116" s="65" t="n"/>
      <c r="BD116" s="65" t="n"/>
      <c r="BE116" s="65" t="n"/>
      <c r="BF116" s="65" t="n"/>
      <c r="BG116" s="65" t="n"/>
    </row>
    <row r="117">
      <c r="B117" s="1" t="inlineStr">
        <is>
          <t>ウイングハイツB</t>
        </is>
      </c>
      <c r="D117" s="1" t="inlineStr">
        <is>
          <t>屋根塗装</t>
        </is>
      </c>
      <c r="E117" s="2" t="inlineStr">
        <is>
          <t>10月</t>
        </is>
      </c>
      <c r="F117" s="68" t="n">
        <v>676000</v>
      </c>
      <c r="G117" s="68">
        <f>IF(B117="","",F117-I117 )</f>
        <v/>
      </c>
      <c r="H117" s="4">
        <f>IF(G117="","",G117/F117)</f>
        <v/>
      </c>
      <c r="I117" s="62">
        <f>SUM(テーブル9[[#This Row],[五大]:[工場材]])</f>
        <v/>
      </c>
      <c r="J117" s="65" t="n">
        <v>200000</v>
      </c>
      <c r="K117" s="65" t="n"/>
      <c r="L117" s="65" t="n"/>
      <c r="M117" s="65" t="n"/>
      <c r="N117" s="65" t="n"/>
      <c r="O117" s="65" t="n"/>
      <c r="P117" s="65">
        <f>121*2300</f>
        <v/>
      </c>
      <c r="Q117" s="65" t="n"/>
      <c r="R117" s="65" t="n"/>
      <c r="S117" s="65" t="n"/>
      <c r="T117" s="65" t="n"/>
      <c r="U117" s="64" t="n">
        <v>65150</v>
      </c>
      <c r="V117" s="64" t="n"/>
      <c r="W117" s="65" t="n"/>
      <c r="X117" s="66" t="n"/>
      <c r="Y117" s="65" t="n"/>
      <c r="Z117" s="65" t="n"/>
      <c r="AA117" s="65" t="n"/>
      <c r="AB117" s="65" t="n"/>
      <c r="AC117" s="65" t="n"/>
      <c r="AD117" s="65" t="n"/>
      <c r="AE117" s="65" t="n"/>
      <c r="AF117" s="65" t="n"/>
      <c r="AG117" s="65" t="n"/>
      <c r="AH117" s="65" t="n"/>
      <c r="AI117" s="65" t="n"/>
      <c r="AJ117" s="65" t="n"/>
      <c r="AK117" s="65" t="n"/>
      <c r="AL117" s="65" t="n"/>
      <c r="AM117" s="65" t="n"/>
      <c r="AN117" s="65" t="n"/>
      <c r="AO117" s="65" t="n"/>
      <c r="AP117" s="65" t="n"/>
      <c r="AQ117" s="65" t="n"/>
      <c r="AR117" s="65" t="n"/>
      <c r="AS117" s="65" t="n"/>
      <c r="AT117" s="65" t="n"/>
      <c r="AU117" s="65" t="n"/>
      <c r="AV117" s="65" t="n"/>
      <c r="AW117" s="65" t="n"/>
      <c r="AX117" s="65" t="n"/>
      <c r="AY117" s="65" t="n"/>
      <c r="AZ117" s="65" t="n"/>
      <c r="BA117" s="65" t="n"/>
      <c r="BB117" s="65" t="n"/>
      <c r="BC117" s="65" t="n"/>
      <c r="BD117" s="65" t="n"/>
      <c r="BE117" s="65" t="n"/>
      <c r="BF117" s="65" t="n"/>
      <c r="BG117" s="65" t="n"/>
    </row>
    <row r="118">
      <c r="B118" s="22" t="inlineStr">
        <is>
          <t>合計</t>
        </is>
      </c>
      <c r="C118" s="22" t="n"/>
      <c r="F118" s="67">
        <f>SUBTOTAL(109,F114:F117)</f>
        <v/>
      </c>
      <c r="G118" s="67">
        <f>SUBTOTAL(109,G114:G117)</f>
        <v/>
      </c>
      <c r="H118" s="14">
        <f>IF(G118="","",G118/F118)</f>
        <v/>
      </c>
      <c r="I118" s="67">
        <f>SUBTOTAL(109,I114:I117)</f>
        <v/>
      </c>
      <c r="J118" s="65" t="n"/>
      <c r="K118" s="65" t="n"/>
      <c r="L118" s="65" t="n"/>
      <c r="M118" s="65" t="n"/>
      <c r="N118" s="65" t="n"/>
      <c r="O118" s="65" t="n"/>
      <c r="P118" s="65" t="n"/>
      <c r="Q118" s="65" t="n"/>
      <c r="R118" s="65" t="n"/>
      <c r="S118" s="65" t="n"/>
      <c r="T118" s="65" t="n"/>
      <c r="U118" s="64" t="n"/>
      <c r="V118" s="64" t="n"/>
      <c r="W118" s="65" t="n"/>
      <c r="X118" s="66" t="n"/>
      <c r="Y118" s="65" t="n"/>
      <c r="Z118" s="65" t="n"/>
      <c r="AA118" s="65" t="n"/>
      <c r="AB118" s="65" t="n"/>
      <c r="AC118" s="65" t="n"/>
      <c r="AD118" s="65" t="n"/>
      <c r="AE118" s="65" t="n"/>
      <c r="AF118" s="65" t="n"/>
      <c r="AG118" s="65" t="n"/>
      <c r="AH118" s="65" t="n"/>
      <c r="AI118" s="65" t="n"/>
      <c r="AJ118" s="65" t="n"/>
      <c r="AK118" s="65" t="n"/>
      <c r="AL118" s="65" t="n"/>
      <c r="AM118" s="65" t="n"/>
      <c r="AN118" s="65" t="n"/>
      <c r="AO118" s="65" t="n"/>
      <c r="AP118" s="65" t="n"/>
      <c r="AQ118" s="65" t="n"/>
      <c r="AR118" s="65" t="n"/>
      <c r="AS118" s="65" t="n"/>
      <c r="AT118" s="65" t="n"/>
      <c r="AU118" s="65" t="n"/>
      <c r="AV118" s="65" t="n"/>
      <c r="AW118" s="65" t="n"/>
      <c r="AX118" s="65" t="n"/>
      <c r="AY118" s="65" t="n"/>
      <c r="AZ118" s="65" t="n"/>
      <c r="BA118" s="65" t="n"/>
      <c r="BB118" s="65" t="n"/>
      <c r="BC118" s="65" t="n"/>
      <c r="BD118" s="65" t="n"/>
      <c r="BE118" s="65" t="n"/>
      <c r="BF118" s="65" t="n"/>
      <c r="BG118" s="65" t="n"/>
    </row>
    <row r="119">
      <c r="F119" s="68" t="n"/>
      <c r="G119" s="68">
        <f>IF(B119="","",F119-I119 )</f>
        <v/>
      </c>
      <c r="H119" s="5">
        <f>IF(G119="","",G119/F119)</f>
        <v/>
      </c>
      <c r="I119" s="62">
        <f>SUM(テーブル9[[#This Row],[五大]:[工場材]])</f>
        <v/>
      </c>
      <c r="J119" s="65" t="n"/>
      <c r="K119" s="65" t="n"/>
      <c r="L119" s="65" t="n"/>
      <c r="M119" s="65" t="n"/>
      <c r="N119" s="65" t="n"/>
      <c r="O119" s="65" t="n"/>
      <c r="P119" s="65" t="n"/>
      <c r="Q119" s="65" t="n"/>
      <c r="R119" s="65" t="n"/>
      <c r="S119" s="65" t="n"/>
      <c r="T119" s="65" t="n"/>
      <c r="U119" s="65" t="n"/>
      <c r="V119" s="65" t="n"/>
      <c r="W119" s="65" t="n"/>
      <c r="X119" s="66" t="n"/>
      <c r="Y119" s="65" t="n"/>
      <c r="Z119" s="65" t="n"/>
      <c r="AA119" s="65" t="n"/>
      <c r="AB119" s="65" t="n"/>
      <c r="AC119" s="65" t="n"/>
      <c r="AD119" s="65" t="n"/>
      <c r="AE119" s="65" t="n"/>
      <c r="AF119" s="65" t="n"/>
      <c r="AG119" s="65" t="n"/>
      <c r="AH119" s="65" t="n"/>
      <c r="AI119" s="65" t="n"/>
      <c r="AJ119" s="65" t="n"/>
      <c r="AK119" s="65" t="n"/>
      <c r="AL119" s="65" t="n"/>
      <c r="AM119" s="65" t="n"/>
      <c r="AN119" s="65" t="n"/>
      <c r="AO119" s="65" t="n"/>
      <c r="AP119" s="65" t="n"/>
      <c r="AQ119" s="65" t="n"/>
      <c r="AR119" s="65" t="n"/>
      <c r="AS119" s="65" t="n"/>
      <c r="AT119" s="65" t="n"/>
      <c r="AU119" s="65" t="n"/>
      <c r="AV119" s="65" t="n"/>
      <c r="AW119" s="65" t="n"/>
      <c r="AX119" s="65" t="n"/>
      <c r="AY119" s="65" t="n"/>
      <c r="AZ119" s="65" t="n"/>
      <c r="BA119" s="65" t="n"/>
      <c r="BB119" s="65" t="n"/>
      <c r="BC119" s="65" t="n"/>
      <c r="BD119" s="65" t="n"/>
      <c r="BE119" s="65" t="n"/>
      <c r="BF119" s="65" t="n"/>
      <c r="BG119" s="65" t="n"/>
    </row>
    <row r="120">
      <c r="F120" s="68" t="n"/>
      <c r="G120" s="68">
        <f>IF(B120="","",F120-I120 )</f>
        <v/>
      </c>
      <c r="H120" s="5">
        <f>IF(G120="","",G120/F120)</f>
        <v/>
      </c>
      <c r="I120" s="62">
        <f>SUM(テーブル9[[#This Row],[五大]:[工場材]])</f>
        <v/>
      </c>
      <c r="J120" s="65" t="n"/>
      <c r="K120" s="65" t="n"/>
      <c r="L120" s="65" t="n"/>
      <c r="M120" s="65" t="n"/>
      <c r="N120" s="65" t="n"/>
      <c r="O120" s="65" t="n"/>
      <c r="P120" s="65" t="n"/>
      <c r="Q120" s="65" t="n"/>
      <c r="R120" s="65" t="n"/>
      <c r="S120" s="65" t="n"/>
      <c r="T120" s="65" t="n"/>
      <c r="U120" s="65" t="n"/>
      <c r="V120" s="65" t="n"/>
      <c r="W120" s="65" t="n"/>
      <c r="X120" s="66" t="n"/>
      <c r="Y120" s="65" t="n"/>
      <c r="Z120" s="65" t="n"/>
      <c r="AA120" s="65" t="n"/>
      <c r="AB120" s="65" t="n"/>
      <c r="AC120" s="65" t="n"/>
      <c r="AD120" s="65" t="n"/>
      <c r="AE120" s="65" t="n"/>
      <c r="AF120" s="65" t="n"/>
      <c r="AG120" s="65" t="n"/>
      <c r="AH120" s="65" t="n"/>
      <c r="AI120" s="65" t="n"/>
      <c r="AJ120" s="65" t="n"/>
      <c r="AK120" s="65" t="n"/>
      <c r="AL120" s="65" t="n"/>
      <c r="AM120" s="65" t="n"/>
      <c r="AN120" s="65" t="n"/>
      <c r="AO120" s="65" t="n"/>
      <c r="AP120" s="65" t="n"/>
      <c r="AQ120" s="65" t="n"/>
      <c r="AR120" s="65" t="n"/>
      <c r="AS120" s="65" t="n"/>
      <c r="AT120" s="65" t="n"/>
      <c r="AU120" s="65" t="n"/>
      <c r="AV120" s="65" t="n"/>
      <c r="AW120" s="65" t="n"/>
      <c r="AX120" s="65" t="n"/>
      <c r="AY120" s="65" t="n"/>
      <c r="AZ120" s="65" t="n"/>
      <c r="BA120" s="65" t="n"/>
      <c r="BB120" s="65" t="n"/>
      <c r="BC120" s="65" t="n"/>
      <c r="BD120" s="65" t="n"/>
      <c r="BE120" s="65" t="n"/>
      <c r="BF120" s="65" t="n"/>
      <c r="BG120" s="65" t="n"/>
    </row>
    <row r="121">
      <c r="A121" s="0" t="inlineStr">
        <is>
          <t>R1.12月</t>
        </is>
      </c>
      <c r="B121" s="1" t="inlineStr">
        <is>
          <t>ファミールコマツ</t>
        </is>
      </c>
      <c r="D121" s="1" t="inlineStr">
        <is>
          <t>塗装</t>
        </is>
      </c>
      <c r="E121" s="2" t="inlineStr">
        <is>
          <t>11月</t>
        </is>
      </c>
      <c r="F121" s="68" t="n">
        <v>1930000</v>
      </c>
      <c r="G121" s="68">
        <f>IF(B121="","",F121-I121 )</f>
        <v/>
      </c>
      <c r="H121" s="5">
        <f>IF(G121="","",G121/F121)</f>
        <v/>
      </c>
      <c r="I121" s="62">
        <f>SUM(テーブル9[[#This Row],[五大]:[工場材]])</f>
        <v/>
      </c>
      <c r="J121" s="65" t="n"/>
      <c r="K121" s="65" t="n">
        <v>227500</v>
      </c>
      <c r="L121" s="65" t="n"/>
      <c r="M121" s="65" t="n"/>
      <c r="N121" s="65" t="n"/>
      <c r="O121" s="65" t="n"/>
      <c r="P121" s="65" t="n">
        <v>800000</v>
      </c>
      <c r="Q121" s="65" t="n"/>
      <c r="R121" s="64">
        <f>84*700</f>
        <v/>
      </c>
      <c r="S121" s="65" t="n"/>
      <c r="T121" s="65" t="n"/>
      <c r="U121" s="65" t="n"/>
      <c r="V121" s="65" t="n"/>
      <c r="W121" s="65" t="n"/>
      <c r="X121" s="66" t="n"/>
      <c r="Y121" s="65" t="n"/>
      <c r="Z121" s="65" t="n"/>
      <c r="AA121" s="65" t="n"/>
      <c r="AB121" s="65" t="n"/>
      <c r="AC121" s="65" t="n"/>
      <c r="AD121" s="65" t="n"/>
      <c r="AE121" s="65" t="n"/>
      <c r="AF121" s="65" t="n"/>
      <c r="AG121" s="65" t="n"/>
      <c r="AH121" s="65" t="n"/>
      <c r="AI121" s="65" t="n"/>
      <c r="AJ121" s="65" t="n"/>
      <c r="AK121" s="65" t="n"/>
      <c r="AL121" s="65" t="n"/>
      <c r="AM121" s="65" t="n"/>
      <c r="AN121" s="65" t="n"/>
      <c r="AO121" s="65" t="n"/>
      <c r="AP121" s="65" t="n"/>
      <c r="AQ121" s="65" t="n"/>
      <c r="AR121" s="65" t="n"/>
      <c r="AS121" s="65" t="n"/>
      <c r="AT121" s="65" t="n"/>
      <c r="AU121" s="65" t="n"/>
      <c r="AV121" s="65" t="n"/>
      <c r="AW121" s="65" t="n"/>
      <c r="AX121" s="65" t="n"/>
      <c r="AY121" s="65" t="n"/>
      <c r="AZ121" s="65" t="n"/>
      <c r="BA121" s="65" t="n"/>
      <c r="BB121" s="65" t="n"/>
      <c r="BC121" s="65" t="n"/>
      <c r="BD121" s="65" t="n"/>
      <c r="BE121" s="65" t="n"/>
      <c r="BF121" s="65" t="n"/>
      <c r="BG121" s="65" t="n"/>
    </row>
    <row r="122">
      <c r="B122" s="1" t="inlineStr">
        <is>
          <t>KSフラットA</t>
        </is>
      </c>
      <c r="D122" s="1" t="inlineStr">
        <is>
          <t>塗装</t>
        </is>
      </c>
      <c r="E122" s="2" t="inlineStr">
        <is>
          <t>11月</t>
        </is>
      </c>
      <c r="F122" s="68" t="n">
        <v>2402000</v>
      </c>
      <c r="G122" s="68">
        <f>IF(B122="","",F122-I122 )</f>
        <v/>
      </c>
      <c r="H122" s="5">
        <f>IF(G122="","",G122/F122)</f>
        <v/>
      </c>
      <c r="I122" s="62">
        <f>SUM(テーブル9[[#This Row],[五大]:[工場材]])</f>
        <v/>
      </c>
      <c r="J122" s="65" t="n"/>
      <c r="K122" s="65" t="n"/>
      <c r="L122" s="65" t="n"/>
      <c r="M122" s="65" t="n"/>
      <c r="N122" s="65" t="n"/>
      <c r="O122" s="64" t="n">
        <v>750000</v>
      </c>
      <c r="P122" s="65" t="n"/>
      <c r="Q122" s="65" t="n"/>
      <c r="R122" s="64" t="n">
        <v>62650</v>
      </c>
      <c r="S122" s="65" t="n"/>
      <c r="T122" s="65" t="n"/>
      <c r="U122" s="65" t="n"/>
      <c r="V122" s="65" t="n"/>
      <c r="W122" s="65" t="n"/>
      <c r="X122" s="66" t="n"/>
      <c r="Y122" s="65" t="n"/>
      <c r="Z122" s="65" t="n"/>
      <c r="AA122" s="65" t="n"/>
      <c r="AB122" s="65" t="n"/>
      <c r="AC122" s="65" t="n"/>
      <c r="AD122" s="65" t="n"/>
      <c r="AE122" s="65" t="n"/>
      <c r="AF122" s="65" t="n"/>
      <c r="AG122" s="65" t="n"/>
      <c r="AH122" s="65" t="n"/>
      <c r="AI122" s="65" t="n"/>
      <c r="AJ122" s="65" t="n"/>
      <c r="AK122" s="65" t="n"/>
      <c r="AL122" s="65" t="n"/>
      <c r="AM122" s="65" t="n"/>
      <c r="AN122" s="65" t="n"/>
      <c r="AO122" s="65" t="n"/>
      <c r="AP122" s="65" t="n"/>
      <c r="AQ122" s="65" t="n"/>
      <c r="AR122" s="65" t="n"/>
      <c r="AS122" s="65" t="n"/>
      <c r="AT122" s="65" t="n"/>
      <c r="AU122" s="65" t="n"/>
      <c r="AV122" s="65" t="n"/>
      <c r="AW122" s="65" t="n"/>
      <c r="AX122" s="65" t="n"/>
      <c r="AY122" s="65" t="n"/>
      <c r="AZ122" s="65" t="n"/>
      <c r="BA122" s="65" t="n"/>
      <c r="BB122" s="65" t="n"/>
      <c r="BC122" s="65" t="n"/>
      <c r="BD122" s="65" t="n"/>
      <c r="BE122" s="65" t="n"/>
      <c r="BF122" s="65" t="n"/>
      <c r="BG122" s="65" t="n"/>
    </row>
    <row r="123">
      <c r="B123" s="1" t="inlineStr">
        <is>
          <t>平塚邸</t>
        </is>
      </c>
      <c r="D123" s="1" t="inlineStr">
        <is>
          <t>浸水復旧</t>
        </is>
      </c>
      <c r="E123" s="2" t="inlineStr">
        <is>
          <t>11月</t>
        </is>
      </c>
      <c r="F123" s="68" t="n">
        <v>2180000</v>
      </c>
      <c r="G123" s="68">
        <f>IF(B123="","",F123-I123 )</f>
        <v/>
      </c>
      <c r="H123" s="5">
        <f>IF(G123="","",G123/F123)</f>
        <v/>
      </c>
      <c r="I123" s="62">
        <f>SUM(テーブル9[[#This Row],[五大]:[工場材]])</f>
        <v/>
      </c>
      <c r="J123" s="65" t="n"/>
      <c r="K123" s="65" t="n"/>
      <c r="L123" s="65" t="n"/>
      <c r="M123" s="65" t="n"/>
      <c r="N123" s="65" t="n"/>
      <c r="O123" s="65" t="n">
        <v>20000</v>
      </c>
      <c r="P123" s="65" t="n"/>
      <c r="Q123" s="65" t="n"/>
      <c r="R123" s="65" t="n"/>
      <c r="S123" s="65" t="n"/>
      <c r="T123" s="65" t="n"/>
      <c r="U123" s="64" t="n"/>
      <c r="V123" s="64" t="n"/>
      <c r="W123" s="65" t="n">
        <v>600000</v>
      </c>
      <c r="X123" s="66" t="n">
        <v>180408</v>
      </c>
      <c r="Y123" s="65" t="n"/>
      <c r="Z123" s="65" t="n"/>
      <c r="AA123" s="65" t="n"/>
      <c r="AB123" s="65" t="n">
        <v>70000</v>
      </c>
      <c r="AC123" s="65" t="n"/>
      <c r="AD123" s="65" t="n"/>
      <c r="AE123" s="65" t="n">
        <v>50000</v>
      </c>
      <c r="AF123" s="65" t="n"/>
      <c r="AG123" s="65" t="n"/>
      <c r="AH123" s="65" t="n"/>
      <c r="AI123" s="65">
        <f>90000+120000</f>
        <v/>
      </c>
      <c r="AJ123" s="65" t="n"/>
      <c r="AK123" s="65" t="n">
        <v>192000</v>
      </c>
      <c r="AL123" s="65" t="n"/>
      <c r="AM123" s="65" t="n"/>
      <c r="AN123" s="65" t="n"/>
      <c r="AO123" s="65" t="n">
        <v>255038</v>
      </c>
      <c r="AP123" s="65" t="n"/>
      <c r="AQ123" s="65" t="n"/>
      <c r="AR123" s="65" t="n"/>
      <c r="AS123" s="65" t="n"/>
      <c r="AT123" s="65" t="n"/>
      <c r="AU123" s="65" t="n"/>
      <c r="AV123" s="65" t="n"/>
      <c r="AW123" s="65" t="n"/>
      <c r="AX123" s="65" t="n"/>
      <c r="AY123" s="65" t="n"/>
      <c r="AZ123" s="65" t="n"/>
      <c r="BA123" s="65" t="n"/>
      <c r="BB123" s="65" t="n"/>
      <c r="BC123" s="65" t="n"/>
      <c r="BD123" s="65" t="n"/>
      <c r="BE123" s="65" t="n"/>
      <c r="BF123" s="65" t="n"/>
      <c r="BG123" s="65" t="n"/>
    </row>
    <row r="124">
      <c r="B124" s="1" t="inlineStr">
        <is>
          <t>向井邸</t>
        </is>
      </c>
      <c r="D124" s="1" t="inlineStr">
        <is>
          <t>リフォーム</t>
        </is>
      </c>
      <c r="E124" s="2" t="inlineStr">
        <is>
          <t>11月</t>
        </is>
      </c>
      <c r="F124" s="68" t="n">
        <v>1907500</v>
      </c>
      <c r="G124" s="68">
        <f>IF(B124="","",F124-I124 )</f>
        <v/>
      </c>
      <c r="H124" s="5">
        <f>IF(G124="","",G124/F124)</f>
        <v/>
      </c>
      <c r="I124" s="62">
        <f>SUM(テーブル9[[#This Row],[五大]:[工場材]])</f>
        <v/>
      </c>
      <c r="J124" s="65" t="n"/>
      <c r="K124" s="65" t="n"/>
      <c r="L124" s="65" t="n"/>
      <c r="M124" s="65" t="n"/>
      <c r="N124" s="65" t="n"/>
      <c r="O124" s="65" t="n">
        <v>40000</v>
      </c>
      <c r="P124" s="65" t="n"/>
      <c r="Q124" s="65" t="n"/>
      <c r="R124" s="65" t="n"/>
      <c r="S124" s="65" t="n"/>
      <c r="T124" s="65" t="n"/>
      <c r="U124" s="65" t="n"/>
      <c r="V124" s="65" t="n"/>
      <c r="W124" s="65" t="n">
        <v>450000</v>
      </c>
      <c r="X124" s="66" t="n">
        <v>77206</v>
      </c>
      <c r="Y124" s="65" t="n"/>
      <c r="Z124" s="65" t="n"/>
      <c r="AA124" s="65" t="n">
        <v>200000</v>
      </c>
      <c r="AB124" s="65" t="n">
        <v>360000</v>
      </c>
      <c r="AC124" s="65" t="n"/>
      <c r="AD124" s="65" t="n"/>
      <c r="AE124" s="65" t="n"/>
      <c r="AF124" s="65" t="n"/>
      <c r="AG124" s="65" t="n"/>
      <c r="AH124" s="65" t="n"/>
      <c r="AI124" s="65" t="n">
        <v>150000</v>
      </c>
      <c r="AJ124" s="65" t="n"/>
      <c r="AK124" s="65" t="n"/>
      <c r="AL124" s="65" t="n"/>
      <c r="AM124" s="65" t="n"/>
      <c r="AN124" s="65" t="n"/>
      <c r="AO124" s="65" t="n"/>
      <c r="AP124" s="65" t="n"/>
      <c r="AQ124" s="65" t="n"/>
      <c r="AR124" s="65" t="n"/>
      <c r="AS124" s="65" t="n"/>
      <c r="AT124" s="65" t="n"/>
      <c r="AU124" s="65" t="n"/>
      <c r="AV124" s="65" t="n"/>
      <c r="AW124" s="65" t="n"/>
      <c r="AX124" s="65" t="n"/>
      <c r="AY124" s="65" t="n"/>
      <c r="AZ124" s="65" t="n"/>
      <c r="BA124" s="65" t="n"/>
      <c r="BB124" s="65" t="n"/>
      <c r="BC124" s="65" t="n"/>
      <c r="BD124" s="65" t="n"/>
      <c r="BE124" s="65" t="n"/>
      <c r="BF124" s="65" t="n"/>
      <c r="BG124" s="65" t="n">
        <v>272000</v>
      </c>
      <c r="BH124" s="65" t="inlineStr">
        <is>
          <t>←広手間+社員人工</t>
        </is>
      </c>
    </row>
    <row r="125">
      <c r="B125" s="22" t="inlineStr">
        <is>
          <t>合計</t>
        </is>
      </c>
      <c r="C125" s="22" t="n"/>
      <c r="F125" s="67">
        <f>SUBTOTAL(109,F121:F124)</f>
        <v/>
      </c>
      <c r="G125" s="67">
        <f>SUBTOTAL(109,G121:G124)</f>
        <v/>
      </c>
      <c r="H125" s="14">
        <f>IF(G125="","",G125/F125)</f>
        <v/>
      </c>
      <c r="I125" s="67">
        <f>SUBTOTAL(109,I121:I124)</f>
        <v/>
      </c>
      <c r="J125" s="65" t="n"/>
      <c r="K125" s="65" t="n"/>
      <c r="L125" s="65" t="n"/>
      <c r="M125" s="65" t="n"/>
      <c r="N125" s="65" t="n"/>
      <c r="O125" s="65" t="n"/>
      <c r="P125" s="65" t="n"/>
      <c r="Q125" s="65" t="n"/>
      <c r="R125" s="65" t="n"/>
      <c r="S125" s="65" t="n"/>
      <c r="T125" s="65" t="n"/>
      <c r="U125" s="65" t="n"/>
      <c r="V125" s="65" t="n"/>
      <c r="W125" s="65" t="n"/>
      <c r="X125" s="66" t="n"/>
      <c r="Y125" s="65" t="n"/>
      <c r="Z125" s="65" t="n"/>
      <c r="AA125" s="65" t="n"/>
      <c r="AB125" s="65" t="n"/>
      <c r="AC125" s="65" t="n"/>
      <c r="AD125" s="65" t="n"/>
      <c r="AE125" s="65" t="n"/>
      <c r="AF125" s="65" t="n"/>
      <c r="AG125" s="65" t="n"/>
      <c r="AH125" s="65" t="n"/>
      <c r="AI125" s="65" t="n"/>
      <c r="AJ125" s="65" t="n"/>
      <c r="AK125" s="65" t="n"/>
      <c r="AL125" s="65" t="n"/>
      <c r="AM125" s="65" t="n"/>
      <c r="AN125" s="65" t="n"/>
      <c r="AO125" s="65" t="n"/>
      <c r="AP125" s="65" t="n"/>
      <c r="AQ125" s="65" t="n"/>
      <c r="AR125" s="65" t="n"/>
      <c r="AS125" s="65" t="n"/>
      <c r="AT125" s="65" t="n"/>
      <c r="AU125" s="65" t="n"/>
      <c r="AV125" s="65" t="n"/>
      <c r="AW125" s="65" t="n"/>
      <c r="AX125" s="65" t="n"/>
      <c r="AY125" s="65" t="n"/>
      <c r="AZ125" s="65" t="n"/>
      <c r="BA125" s="65" t="n"/>
      <c r="BB125" s="65" t="n"/>
      <c r="BC125" s="65" t="n"/>
      <c r="BD125" s="65" t="n"/>
      <c r="BE125" s="65" t="n"/>
      <c r="BF125" s="65" t="n"/>
      <c r="BG125" s="65" t="n"/>
    </row>
    <row r="126">
      <c r="F126" s="68" t="n"/>
      <c r="G126" s="68" t="n"/>
      <c r="H126" s="5" t="n"/>
      <c r="J126" s="65" t="n"/>
      <c r="K126" s="65" t="n"/>
      <c r="L126" s="65" t="n"/>
      <c r="M126" s="65" t="n"/>
      <c r="N126" s="65" t="n"/>
      <c r="O126" s="65" t="n"/>
      <c r="P126" s="65" t="n"/>
      <c r="Q126" s="65" t="n"/>
      <c r="R126" s="65" t="n"/>
      <c r="S126" s="65" t="n"/>
      <c r="T126" s="65" t="n"/>
      <c r="U126" s="65" t="n"/>
      <c r="V126" s="65" t="n"/>
      <c r="W126" s="65" t="n"/>
      <c r="X126" s="66" t="n"/>
      <c r="Y126" s="65" t="n"/>
      <c r="Z126" s="65" t="n"/>
      <c r="AA126" s="65" t="n"/>
      <c r="AB126" s="65" t="n"/>
      <c r="AC126" s="65" t="n"/>
      <c r="AD126" s="65" t="n"/>
      <c r="AE126" s="65" t="n"/>
      <c r="AF126" s="65" t="n"/>
      <c r="AG126" s="65" t="n"/>
      <c r="AH126" s="65" t="n"/>
      <c r="AI126" s="65" t="n"/>
      <c r="AJ126" s="65" t="n"/>
      <c r="AK126" s="65" t="n"/>
      <c r="AL126" s="65" t="n"/>
      <c r="AM126" s="65" t="n"/>
      <c r="AN126" s="65" t="n"/>
      <c r="AO126" s="65" t="n"/>
      <c r="AP126" s="65" t="n"/>
      <c r="AQ126" s="65" t="n"/>
      <c r="AR126" s="65" t="n"/>
      <c r="AS126" s="65" t="n"/>
      <c r="AT126" s="65" t="n"/>
      <c r="AU126" s="65" t="n"/>
      <c r="AV126" s="65" t="n"/>
      <c r="AW126" s="65" t="n"/>
      <c r="AX126" s="65" t="n"/>
      <c r="AY126" s="65" t="n"/>
      <c r="AZ126" s="65" t="n"/>
      <c r="BA126" s="65" t="n"/>
      <c r="BB126" s="65" t="n"/>
      <c r="BC126" s="65" t="n"/>
      <c r="BD126" s="65" t="n"/>
      <c r="BE126" s="65" t="n"/>
      <c r="BF126" s="65" t="n"/>
      <c r="BG126" s="65" t="n"/>
    </row>
    <row r="127">
      <c r="F127" s="68" t="n"/>
      <c r="G127" s="68">
        <f>IF(B127="","",F127-I127 )</f>
        <v/>
      </c>
      <c r="H127" s="5">
        <f>IF(G127="","",G127/F127)</f>
        <v/>
      </c>
      <c r="I127" s="62">
        <f>SUM(テーブル9[[#This Row],[五大]:[工場材]])</f>
        <v/>
      </c>
      <c r="J127" s="65" t="n"/>
      <c r="K127" s="65" t="n"/>
      <c r="L127" s="65" t="n"/>
      <c r="M127" s="65" t="n"/>
      <c r="N127" s="65" t="n"/>
      <c r="O127" s="65" t="n"/>
      <c r="P127" s="65" t="n"/>
      <c r="Q127" s="65" t="n"/>
      <c r="R127" s="65" t="n"/>
      <c r="S127" s="65" t="n"/>
      <c r="T127" s="65" t="n"/>
      <c r="U127" s="65" t="n"/>
      <c r="V127" s="65" t="n"/>
      <c r="W127" s="65" t="n"/>
      <c r="X127" s="66" t="n"/>
      <c r="Y127" s="65" t="n"/>
      <c r="Z127" s="65" t="n"/>
      <c r="AA127" s="65" t="n"/>
      <c r="AB127" s="65" t="n"/>
      <c r="AC127" s="65" t="n"/>
      <c r="AD127" s="65" t="n"/>
      <c r="AE127" s="65" t="n"/>
      <c r="AF127" s="65" t="n"/>
      <c r="AG127" s="65" t="n"/>
      <c r="AH127" s="65" t="n"/>
      <c r="AI127" s="65" t="n"/>
      <c r="AJ127" s="65" t="n"/>
      <c r="AK127" s="65" t="n"/>
      <c r="AL127" s="65" t="n"/>
      <c r="AM127" s="65" t="n"/>
      <c r="AN127" s="65" t="n"/>
      <c r="AO127" s="65" t="n"/>
      <c r="AP127" s="65" t="n"/>
      <c r="AQ127" s="65" t="n"/>
      <c r="AR127" s="65" t="n"/>
      <c r="AS127" s="65" t="n"/>
      <c r="AT127" s="65" t="n"/>
      <c r="AU127" s="65" t="n"/>
      <c r="AV127" s="65" t="n"/>
      <c r="AW127" s="65" t="n"/>
      <c r="AX127" s="65" t="n"/>
      <c r="AY127" s="65" t="n"/>
      <c r="AZ127" s="65" t="n"/>
      <c r="BA127" s="65" t="n"/>
      <c r="BB127" s="65" t="n"/>
      <c r="BC127" s="65" t="n"/>
      <c r="BD127" s="65" t="n"/>
      <c r="BE127" s="65" t="n"/>
      <c r="BF127" s="65" t="n"/>
      <c r="BG127" s="65" t="n"/>
    </row>
    <row r="128">
      <c r="F128" s="68" t="n"/>
      <c r="G128" s="68">
        <f>IF(B128="","",F128-I128 )</f>
        <v/>
      </c>
      <c r="H128" s="5">
        <f>IF(G128="","",G128/F128)</f>
        <v/>
      </c>
      <c r="I128" s="62">
        <f>SUM(テーブル9[[#This Row],[五大]:[工場材]])</f>
        <v/>
      </c>
      <c r="J128" s="65" t="n"/>
      <c r="K128" s="65" t="n"/>
      <c r="L128" s="65" t="n"/>
      <c r="M128" s="65" t="n"/>
      <c r="N128" s="65" t="n"/>
      <c r="O128" s="65" t="n"/>
      <c r="P128" s="65" t="n"/>
      <c r="Q128" s="65" t="n"/>
      <c r="R128" s="65" t="n"/>
      <c r="S128" s="65" t="n"/>
      <c r="T128" s="65" t="n"/>
      <c r="U128" s="65" t="n"/>
      <c r="V128" s="65" t="n"/>
      <c r="W128" s="65" t="n"/>
      <c r="X128" s="66" t="n"/>
      <c r="Y128" s="65" t="n"/>
      <c r="Z128" s="65" t="n"/>
      <c r="AA128" s="65" t="n"/>
      <c r="AB128" s="65" t="n"/>
      <c r="AC128" s="65" t="n"/>
      <c r="AD128" s="65" t="n"/>
      <c r="AE128" s="65" t="n"/>
      <c r="AF128" s="65" t="n"/>
      <c r="AG128" s="65" t="n"/>
      <c r="AH128" s="65" t="n"/>
      <c r="AI128" s="65" t="n"/>
      <c r="AJ128" s="65" t="n"/>
      <c r="AK128" s="65" t="n"/>
      <c r="AL128" s="65" t="n"/>
      <c r="AM128" s="65" t="n"/>
      <c r="AN128" s="65" t="n"/>
      <c r="AO128" s="65" t="n"/>
      <c r="AP128" s="65" t="n"/>
      <c r="AQ128" s="65" t="n"/>
      <c r="AR128" s="65" t="n"/>
      <c r="AS128" s="65" t="n"/>
      <c r="AT128" s="65" t="n"/>
      <c r="AU128" s="65" t="n"/>
      <c r="AV128" s="65" t="n"/>
      <c r="AW128" s="65" t="n"/>
      <c r="AX128" s="65" t="n"/>
      <c r="AY128" s="65" t="n"/>
      <c r="AZ128" s="65" t="n"/>
      <c r="BA128" s="65" t="n"/>
      <c r="BB128" s="65" t="n"/>
      <c r="BC128" s="65" t="n"/>
      <c r="BD128" s="65" t="n"/>
      <c r="BE128" s="65" t="n"/>
      <c r="BF128" s="65" t="n"/>
      <c r="BG128" s="65" t="n"/>
    </row>
    <row r="129">
      <c r="A129" s="0" t="inlineStr">
        <is>
          <t>R2.1月</t>
        </is>
      </c>
      <c r="B129" s="1" t="inlineStr">
        <is>
          <t>茂木邸</t>
        </is>
      </c>
      <c r="D129" s="1" t="inlineStr">
        <is>
          <t>浸水復旧</t>
        </is>
      </c>
      <c r="E129" s="2" t="inlineStr">
        <is>
          <t>12月</t>
        </is>
      </c>
      <c r="F129" s="68" t="n">
        <v>1039000</v>
      </c>
      <c r="G129" s="68">
        <f>IF(B129="","",F129-I129 )</f>
        <v/>
      </c>
      <c r="H129" s="5">
        <f>IF(G129="","",G129/F129)</f>
        <v/>
      </c>
      <c r="I129" s="62">
        <f>SUM(テーブル9[[#This Row],[五大]:[工場材]])</f>
        <v/>
      </c>
      <c r="J129" s="65" t="n"/>
      <c r="K129" s="65" t="n"/>
      <c r="L129" s="65" t="n"/>
      <c r="M129" s="65" t="n"/>
      <c r="N129" s="65" t="n"/>
      <c r="O129" s="65" t="n"/>
      <c r="P129" s="65" t="n"/>
      <c r="Q129" s="65" t="n"/>
      <c r="R129" s="65" t="n"/>
      <c r="S129" s="65" t="n"/>
      <c r="T129" s="65" t="n"/>
      <c r="U129" s="65" t="n"/>
      <c r="V129" s="65" t="n"/>
      <c r="W129" s="65" t="n">
        <v>200000</v>
      </c>
      <c r="X129" s="66" t="n">
        <v>21168</v>
      </c>
      <c r="Y129" s="65" t="n">
        <v>70000</v>
      </c>
      <c r="Z129" s="65" t="n"/>
      <c r="AA129" s="65" t="n">
        <v>30000</v>
      </c>
      <c r="AB129" s="65" t="n"/>
      <c r="AC129" s="65" t="n"/>
      <c r="AD129" s="65" t="n"/>
      <c r="AE129" s="65" t="n"/>
      <c r="AF129" s="65" t="n"/>
      <c r="AG129" s="65" t="n"/>
      <c r="AH129" s="65" t="n"/>
      <c r="AI129" s="65" t="n">
        <v>70000</v>
      </c>
      <c r="AJ129" s="65" t="n"/>
      <c r="AK129" s="65" t="n">
        <v>128000</v>
      </c>
      <c r="AL129" s="65" t="n"/>
      <c r="AM129" s="65" t="n"/>
      <c r="AN129" s="65" t="n"/>
      <c r="AO129" s="65" t="n">
        <v>140000</v>
      </c>
      <c r="AP129" s="65" t="n"/>
      <c r="AQ129" s="65" t="n"/>
      <c r="AR129" s="65" t="n"/>
      <c r="AS129" s="65" t="n"/>
      <c r="AT129" s="65" t="n"/>
      <c r="AU129" s="65" t="n"/>
      <c r="AV129" s="65" t="n"/>
      <c r="AW129" s="65" t="n"/>
      <c r="AX129" s="65" t="n"/>
      <c r="AY129" s="65" t="n"/>
      <c r="AZ129" s="65" t="n"/>
      <c r="BA129" s="65" t="n"/>
      <c r="BB129" s="65" t="n"/>
      <c r="BC129" s="65" t="n"/>
      <c r="BD129" s="65" t="n"/>
      <c r="BE129" s="65" t="n"/>
      <c r="BF129" s="65" t="n"/>
      <c r="BG129" s="65" t="n"/>
    </row>
    <row r="130">
      <c r="B130" s="1" t="inlineStr">
        <is>
          <t>飯村邸</t>
        </is>
      </c>
      <c r="D130" s="1" t="inlineStr">
        <is>
          <t>浸水復旧　解体</t>
        </is>
      </c>
      <c r="E130" s="2" t="inlineStr">
        <is>
          <t>12月</t>
        </is>
      </c>
      <c r="F130" s="68" t="n">
        <v>590000</v>
      </c>
      <c r="G130" s="68">
        <f>IF(B130="","",F130-I130 )</f>
        <v/>
      </c>
      <c r="H130" s="5">
        <f>IF(G130="","",G130/F130)</f>
        <v/>
      </c>
      <c r="I130" s="62">
        <f>SUM(テーブル9[[#This Row],[五大]:[工場材]])</f>
        <v/>
      </c>
      <c r="J130" s="65" t="n"/>
      <c r="K130" s="65" t="n"/>
      <c r="L130" s="65" t="n"/>
      <c r="M130" s="65" t="n"/>
      <c r="N130" s="65" t="n"/>
      <c r="O130" s="65" t="n"/>
      <c r="P130" s="65" t="n"/>
      <c r="Q130" s="65" t="n"/>
      <c r="R130" s="65" t="n"/>
      <c r="S130" s="65" t="n"/>
      <c r="T130" s="65" t="n"/>
      <c r="U130" s="65" t="n"/>
      <c r="V130" s="65" t="n"/>
      <c r="W130" s="65" t="n">
        <v>320000</v>
      </c>
      <c r="X130" s="66" t="n">
        <v>5592</v>
      </c>
      <c r="Y130" s="65" t="n"/>
      <c r="Z130" s="65" t="n"/>
      <c r="AA130" s="65" t="n">
        <v>30000</v>
      </c>
      <c r="AB130" s="65" t="n"/>
      <c r="AC130" s="65" t="n"/>
      <c r="AD130" s="65" t="n"/>
      <c r="AE130" s="65" t="n"/>
      <c r="AF130" s="65" t="n"/>
      <c r="AG130" s="65" t="n"/>
      <c r="AH130" s="65" t="n"/>
      <c r="AI130" s="65" t="n"/>
      <c r="AJ130" s="65" t="n"/>
      <c r="AK130" s="65" t="n"/>
      <c r="AL130" s="65" t="n"/>
      <c r="AM130" s="65" t="n"/>
      <c r="AN130" s="65" t="n"/>
      <c r="AO130" s="65" t="n"/>
      <c r="AP130" s="65" t="n"/>
      <c r="AQ130" s="65" t="n"/>
      <c r="AR130" s="65" t="n"/>
      <c r="AS130" s="65" t="n"/>
      <c r="AT130" s="65" t="n"/>
      <c r="AU130" s="65" t="n"/>
      <c r="AV130" s="65" t="n"/>
      <c r="AW130" s="65" t="n"/>
      <c r="AX130" s="65" t="n"/>
      <c r="AY130" s="65" t="n"/>
      <c r="AZ130" s="65" t="n"/>
      <c r="BA130" s="65" t="n"/>
      <c r="BB130" s="65" t="n"/>
      <c r="BC130" s="65" t="n"/>
      <c r="BD130" s="65" t="n"/>
      <c r="BE130" s="65" t="n"/>
      <c r="BF130" s="65" t="n"/>
      <c r="BG130" s="65" t="n"/>
    </row>
    <row r="131">
      <c r="B131" s="22" t="inlineStr">
        <is>
          <t>合計</t>
        </is>
      </c>
      <c r="C131" s="22" t="n"/>
      <c r="F131" s="67">
        <f>SUBTOTAL(109,F129:F130)</f>
        <v/>
      </c>
      <c r="G131" s="67">
        <f>SUBTOTAL(109,G129:G130)</f>
        <v/>
      </c>
      <c r="H131" s="14">
        <f>IF(G131="","",G131/F131)</f>
        <v/>
      </c>
      <c r="I131" s="67">
        <f>SUBTOTAL(109,I129:I130)</f>
        <v/>
      </c>
      <c r="J131" s="65" t="n"/>
      <c r="K131" s="65" t="n"/>
      <c r="L131" s="65" t="n"/>
      <c r="M131" s="65" t="n"/>
      <c r="N131" s="65" t="n"/>
      <c r="O131" s="65" t="n"/>
      <c r="P131" s="65" t="n"/>
      <c r="Q131" s="65" t="n"/>
      <c r="R131" s="65" t="n"/>
      <c r="S131" s="65" t="n"/>
      <c r="T131" s="65" t="n"/>
      <c r="U131" s="65" t="n"/>
      <c r="V131" s="65" t="n"/>
      <c r="W131" s="65" t="n"/>
      <c r="X131" s="66" t="n"/>
      <c r="Y131" s="65" t="n"/>
      <c r="Z131" s="65" t="n"/>
      <c r="AA131" s="65" t="n"/>
      <c r="AB131" s="65" t="n"/>
      <c r="AC131" s="65" t="n"/>
      <c r="AD131" s="65" t="n"/>
      <c r="AE131" s="65" t="n"/>
      <c r="AF131" s="65" t="n"/>
      <c r="AG131" s="65" t="n"/>
      <c r="AH131" s="65" t="n"/>
      <c r="AI131" s="65" t="n"/>
      <c r="AJ131" s="65" t="n"/>
      <c r="AK131" s="65" t="n"/>
      <c r="AL131" s="65" t="n"/>
      <c r="AM131" s="65" t="n"/>
      <c r="AN131" s="65" t="n"/>
      <c r="AO131" s="65" t="n"/>
      <c r="AP131" s="65" t="n"/>
      <c r="AQ131" s="65" t="n"/>
      <c r="AR131" s="65" t="n"/>
      <c r="AS131" s="65" t="n"/>
      <c r="AT131" s="65" t="n"/>
      <c r="AU131" s="65" t="n"/>
      <c r="AV131" s="65" t="n"/>
      <c r="AW131" s="65" t="n"/>
      <c r="AX131" s="65" t="n"/>
      <c r="AY131" s="65" t="n"/>
      <c r="AZ131" s="65" t="n"/>
      <c r="BA131" s="65" t="n"/>
      <c r="BB131" s="65" t="n"/>
      <c r="BC131" s="65" t="n"/>
      <c r="BD131" s="65" t="n"/>
      <c r="BE131" s="65" t="n"/>
      <c r="BF131" s="65" t="n"/>
      <c r="BG131" s="65" t="n"/>
    </row>
    <row r="132">
      <c r="F132" s="68" t="n"/>
      <c r="G132" s="68">
        <f>IF(B132="","",F132-I132 )</f>
        <v/>
      </c>
      <c r="H132" s="5">
        <f>IF(G132="","",G132/F132)</f>
        <v/>
      </c>
      <c r="J132" s="65" t="n"/>
      <c r="K132" s="65" t="n"/>
      <c r="L132" s="65" t="n"/>
      <c r="M132" s="65" t="n"/>
      <c r="N132" s="65" t="n"/>
      <c r="O132" s="65" t="n"/>
      <c r="P132" s="65" t="n"/>
      <c r="Q132" s="65" t="n"/>
      <c r="R132" s="65" t="n"/>
      <c r="S132" s="65" t="n"/>
      <c r="T132" s="65" t="n"/>
      <c r="U132" s="65" t="n"/>
      <c r="V132" s="65" t="n"/>
      <c r="W132" s="65" t="n"/>
      <c r="X132" s="66" t="n"/>
      <c r="Y132" s="65" t="n"/>
      <c r="Z132" s="65" t="n"/>
      <c r="AA132" s="65" t="n"/>
      <c r="AB132" s="65" t="n"/>
      <c r="AC132" s="65" t="n"/>
      <c r="AD132" s="65" t="n"/>
      <c r="AE132" s="65" t="n"/>
      <c r="AF132" s="65" t="n"/>
      <c r="AG132" s="65" t="n"/>
      <c r="AH132" s="65" t="n"/>
      <c r="AI132" s="65" t="n"/>
      <c r="AJ132" s="65" t="n"/>
      <c r="AK132" s="65" t="n"/>
      <c r="AL132" s="65" t="n"/>
      <c r="AM132" s="65" t="n"/>
      <c r="AN132" s="65" t="n"/>
      <c r="AO132" s="65" t="n"/>
      <c r="AP132" s="65" t="n"/>
      <c r="AQ132" s="65" t="n"/>
      <c r="AR132" s="65" t="n"/>
      <c r="AS132" s="65" t="n"/>
      <c r="AT132" s="65" t="n"/>
      <c r="AU132" s="65" t="n"/>
      <c r="AV132" s="65" t="n"/>
      <c r="AW132" s="65" t="n"/>
      <c r="AX132" s="65" t="n"/>
      <c r="AY132" s="65" t="n"/>
      <c r="AZ132" s="65" t="n"/>
      <c r="BA132" s="65" t="n"/>
      <c r="BB132" s="65" t="n"/>
      <c r="BC132" s="65" t="n"/>
      <c r="BD132" s="65" t="n"/>
      <c r="BE132" s="65" t="n"/>
      <c r="BF132" s="65" t="n"/>
      <c r="BG132" s="65" t="n"/>
    </row>
    <row r="133">
      <c r="F133" s="68" t="n"/>
      <c r="G133" s="68">
        <f>IF(B133="","",F133-I133 )</f>
        <v/>
      </c>
      <c r="H133" s="5">
        <f>IF(G133="","",G133/F133)</f>
        <v/>
      </c>
      <c r="J133" s="65" t="n"/>
      <c r="K133" s="65" t="n"/>
      <c r="L133" s="65" t="n"/>
      <c r="M133" s="65" t="n"/>
      <c r="N133" s="65" t="n"/>
      <c r="O133" s="65" t="n"/>
      <c r="P133" s="65" t="n"/>
      <c r="Q133" s="65" t="n"/>
      <c r="R133" s="65" t="n"/>
      <c r="S133" s="65" t="n"/>
      <c r="T133" s="65" t="n"/>
      <c r="U133" s="65" t="n"/>
      <c r="V133" s="65" t="n"/>
      <c r="W133" s="65" t="n"/>
      <c r="X133" s="66" t="n"/>
      <c r="Y133" s="65" t="n"/>
      <c r="Z133" s="65" t="n"/>
      <c r="AA133" s="65" t="n"/>
      <c r="AB133" s="65" t="n"/>
      <c r="AC133" s="65" t="n"/>
      <c r="AD133" s="65" t="n"/>
      <c r="AE133" s="65" t="n"/>
      <c r="AF133" s="65" t="n"/>
      <c r="AG133" s="65" t="n"/>
      <c r="AH133" s="65" t="n"/>
      <c r="AI133" s="65" t="n"/>
      <c r="AJ133" s="65" t="n"/>
      <c r="AK133" s="65" t="n"/>
      <c r="AL133" s="65" t="n"/>
      <c r="AM133" s="65" t="n"/>
      <c r="AN133" s="65" t="n"/>
      <c r="AO133" s="65" t="n"/>
      <c r="AP133" s="65" t="n"/>
      <c r="AQ133" s="65" t="n"/>
      <c r="AR133" s="65" t="n"/>
      <c r="AS133" s="65" t="n"/>
      <c r="AT133" s="65" t="n"/>
      <c r="AU133" s="65" t="n"/>
      <c r="AV133" s="65" t="n"/>
      <c r="AW133" s="65" t="n"/>
      <c r="AX133" s="65" t="n"/>
      <c r="AY133" s="65" t="n"/>
      <c r="AZ133" s="65" t="n"/>
      <c r="BA133" s="65" t="n"/>
      <c r="BB133" s="65" t="n"/>
      <c r="BC133" s="65" t="n"/>
      <c r="BD133" s="65" t="n"/>
      <c r="BE133" s="65" t="n"/>
      <c r="BF133" s="65" t="n"/>
      <c r="BG133" s="65" t="n"/>
    </row>
    <row r="134">
      <c r="A134" s="0" t="inlineStr">
        <is>
          <t>R2.2月</t>
        </is>
      </c>
      <c r="B134" s="1" t="inlineStr">
        <is>
          <t>北船岡 武田邸</t>
        </is>
      </c>
      <c r="D134" s="1" t="inlineStr">
        <is>
          <t>浴室改修</t>
        </is>
      </c>
      <c r="E134" s="2" t="inlineStr">
        <is>
          <t>1月</t>
        </is>
      </c>
      <c r="F134" s="68" t="n">
        <v>450000</v>
      </c>
      <c r="G134" s="68">
        <f>IF(B134="","",F134-I134 )</f>
        <v/>
      </c>
      <c r="H134" s="5">
        <f>IF(G134="","",G134/F134)</f>
        <v/>
      </c>
      <c r="I134" s="62">
        <f>SUM(テーブル9[[#This Row],[五大]:[工場材]])</f>
        <v/>
      </c>
      <c r="J134" s="65" t="n"/>
      <c r="K134" s="65" t="n"/>
      <c r="L134" s="65" t="n"/>
      <c r="M134" s="65" t="n"/>
      <c r="N134" s="65" t="n"/>
      <c r="O134" s="64" t="n">
        <v>50000</v>
      </c>
      <c r="P134" s="65" t="n"/>
      <c r="Q134" s="65" t="n"/>
      <c r="R134" s="65" t="n"/>
      <c r="S134" s="65" t="n"/>
      <c r="T134" s="65" t="n"/>
      <c r="U134" s="65" t="n"/>
      <c r="V134" s="65" t="n"/>
      <c r="W134" s="65" t="n">
        <v>150000</v>
      </c>
      <c r="X134" s="66" t="n"/>
      <c r="Y134" s="65" t="n"/>
      <c r="Z134" s="65" t="n"/>
      <c r="AA134" s="65" t="n">
        <v>52000</v>
      </c>
      <c r="AB134" s="65" t="n">
        <v>78000</v>
      </c>
      <c r="AC134" s="65" t="n"/>
      <c r="AD134" s="65" t="n"/>
      <c r="AE134" s="65" t="n"/>
      <c r="AF134" s="65" t="n"/>
      <c r="AG134" s="65" t="n"/>
      <c r="AH134" s="65" t="n"/>
      <c r="AI134" s="65" t="n">
        <v>30000</v>
      </c>
      <c r="AJ134" s="65" t="n"/>
      <c r="AK134" s="65" t="n"/>
      <c r="AL134" s="65" t="n"/>
      <c r="AM134" s="65" t="n"/>
      <c r="AN134" s="65" t="n"/>
      <c r="AO134" s="65" t="n"/>
      <c r="AP134" s="65" t="n"/>
      <c r="AQ134" s="65" t="n"/>
      <c r="AR134" s="65" t="n"/>
      <c r="AS134" s="65" t="n"/>
      <c r="AT134" s="65" t="n"/>
      <c r="AU134" s="65" t="n"/>
      <c r="AV134" s="65" t="n"/>
      <c r="AW134" s="65" t="n"/>
      <c r="AX134" s="65" t="n"/>
      <c r="AY134" s="65" t="n"/>
      <c r="AZ134" s="65" t="n"/>
      <c r="BA134" s="65" t="n"/>
      <c r="BB134" s="65" t="n"/>
      <c r="BC134" s="65" t="n"/>
      <c r="BD134" s="65" t="n"/>
      <c r="BE134" s="65" t="n"/>
      <c r="BF134" s="65" t="n"/>
      <c r="BG134" s="65" t="n"/>
    </row>
    <row r="135">
      <c r="B135" s="1" t="inlineStr">
        <is>
          <t>シティ上杉</t>
        </is>
      </c>
      <c r="D135" s="1" t="inlineStr">
        <is>
          <t>塗装</t>
        </is>
      </c>
      <c r="E135" s="2" t="inlineStr">
        <is>
          <t>1月</t>
        </is>
      </c>
      <c r="F135" s="68" t="n">
        <v>1700000</v>
      </c>
      <c r="G135" s="68">
        <f>IF(B135="","",F135-I135 )</f>
        <v/>
      </c>
      <c r="H135" s="5">
        <f>IF(G135="","",G135/F135)</f>
        <v/>
      </c>
      <c r="I135" s="62">
        <f>SUM(テーブル9[[#This Row],[五大]:[工場材]])</f>
        <v/>
      </c>
      <c r="J135" s="65" t="n"/>
      <c r="K135" s="64" t="n">
        <v>182000</v>
      </c>
      <c r="L135" s="64" t="n"/>
      <c r="M135" s="65" t="n"/>
      <c r="N135" s="65" t="n"/>
      <c r="O135" s="64" t="n">
        <v>800000</v>
      </c>
      <c r="P135" s="65" t="n"/>
      <c r="Q135" s="65" t="n"/>
      <c r="R135" s="64">
        <f>31*700</f>
        <v/>
      </c>
      <c r="S135" s="64" t="n">
        <v>35000</v>
      </c>
      <c r="T135" s="65" t="n"/>
      <c r="U135" s="64">
        <f>27200+40100+13500</f>
        <v/>
      </c>
      <c r="V135" s="64" t="n"/>
      <c r="W135" s="65" t="n"/>
      <c r="X135" s="66" t="n"/>
      <c r="Y135" s="65" t="n"/>
      <c r="Z135" s="65" t="n"/>
      <c r="AA135" s="64" t="n">
        <v>47000</v>
      </c>
      <c r="AB135" s="65" t="n"/>
      <c r="AC135" s="65" t="n"/>
      <c r="AD135" s="65" t="n"/>
      <c r="AE135" s="65" t="n"/>
      <c r="AF135" s="65" t="n"/>
      <c r="AG135" s="65" t="n"/>
      <c r="AH135" s="65" t="n"/>
      <c r="AI135" s="65" t="n"/>
      <c r="AJ135" s="65" t="n"/>
      <c r="AK135" s="65" t="n"/>
      <c r="AL135" s="65" t="n"/>
      <c r="AM135" s="65" t="n"/>
      <c r="AN135" s="65" t="n"/>
      <c r="AO135" s="65" t="n"/>
      <c r="AP135" s="65" t="n"/>
      <c r="AQ135" s="65" t="n"/>
      <c r="AR135" s="65" t="n"/>
      <c r="AS135" s="65" t="n"/>
      <c r="AT135" s="65" t="n"/>
      <c r="AU135" s="65" t="n"/>
      <c r="AV135" s="65" t="n"/>
      <c r="AW135" s="65" t="n"/>
      <c r="AX135" s="65" t="n"/>
      <c r="AY135" s="65" t="n"/>
      <c r="AZ135" s="65" t="n"/>
      <c r="BA135" s="65" t="n"/>
      <c r="BB135" s="65" t="n"/>
      <c r="BC135" s="65" t="n"/>
      <c r="BD135" s="65" t="n"/>
      <c r="BE135" s="65" t="n"/>
      <c r="BF135" s="65" t="n"/>
      <c r="BG135" s="65" t="n">
        <v>25000</v>
      </c>
    </row>
    <row r="136">
      <c r="B136" s="1" t="inlineStr">
        <is>
          <t>ブルーハイツ</t>
        </is>
      </c>
      <c r="D136" s="1" t="inlineStr">
        <is>
          <t>樋交換</t>
        </is>
      </c>
      <c r="E136" s="2" t="inlineStr">
        <is>
          <t>1月</t>
        </is>
      </c>
      <c r="F136" s="68" t="n">
        <v>628000</v>
      </c>
      <c r="G136" s="68">
        <f>IF(B136="","",F136-I136 )</f>
        <v/>
      </c>
      <c r="H136" s="5">
        <f>IF(G136="","",G136/F136)</f>
        <v/>
      </c>
      <c r="I136" s="62">
        <f>SUM(テーブル9[[#This Row],[五大]:[工場材]])</f>
        <v/>
      </c>
      <c r="J136" s="64" t="n">
        <v>130000</v>
      </c>
      <c r="K136" s="65" t="n"/>
      <c r="L136" s="65" t="n"/>
      <c r="M136" s="65" t="n"/>
      <c r="N136" s="65" t="n"/>
      <c r="O136" s="65" t="n"/>
      <c r="P136" s="65" t="n"/>
      <c r="Q136" s="65" t="n"/>
      <c r="R136" s="65" t="n"/>
      <c r="S136" s="65" t="n"/>
      <c r="T136" s="65" t="n"/>
      <c r="U136" s="65" t="n"/>
      <c r="V136" s="65" t="n"/>
      <c r="W136" s="64" t="n">
        <v>40000</v>
      </c>
      <c r="X136" s="66" t="n"/>
      <c r="Y136" s="65" t="n"/>
      <c r="Z136" s="65" t="n"/>
      <c r="AA136" s="65" t="n"/>
      <c r="AB136" s="65" t="n"/>
      <c r="AC136" s="65" t="n"/>
      <c r="AD136" s="65" t="n"/>
      <c r="AE136" s="65" t="n"/>
      <c r="AF136" s="65" t="n"/>
      <c r="AG136" s="65" t="n"/>
      <c r="AH136" s="65" t="n"/>
      <c r="AI136" s="65" t="n"/>
      <c r="AJ136" s="65" t="n"/>
      <c r="AK136" s="65" t="n"/>
      <c r="AL136" s="65" t="n"/>
      <c r="AM136" s="65" t="n"/>
      <c r="AN136" s="65" t="n"/>
      <c r="AO136" s="65" t="n"/>
      <c r="AP136" s="65" t="n"/>
      <c r="AQ136" s="65" t="n"/>
      <c r="AR136" s="65" t="n"/>
      <c r="AS136" s="65" t="n"/>
      <c r="AT136" s="65" t="n"/>
      <c r="AU136" s="65" t="n"/>
      <c r="AV136" s="65" t="n"/>
      <c r="AW136" s="65" t="n"/>
      <c r="AX136" s="65" t="n"/>
      <c r="AY136" s="65" t="n"/>
      <c r="AZ136" s="65" t="n"/>
      <c r="BA136" s="65" t="n"/>
      <c r="BB136" s="65" t="n"/>
      <c r="BC136" s="65" t="n"/>
      <c r="BD136" s="65" t="n"/>
      <c r="BE136" s="65" t="n"/>
      <c r="BF136" s="65" t="n"/>
      <c r="BG136" s="64" t="n">
        <v>50000</v>
      </c>
    </row>
    <row r="137">
      <c r="B137" s="1" t="inlineStr">
        <is>
          <t>グランドール小松島</t>
        </is>
      </c>
      <c r="D137" s="1" t="inlineStr">
        <is>
          <t>出窓漏水</t>
        </is>
      </c>
      <c r="E137" s="2" t="inlineStr">
        <is>
          <t>1月</t>
        </is>
      </c>
      <c r="F137" s="68" t="n">
        <v>440000</v>
      </c>
      <c r="G137" s="68">
        <f>IF(B137="","",F137-I137 )</f>
        <v/>
      </c>
      <c r="H137" s="5">
        <f>IF(G137="","",G137/F137)</f>
        <v/>
      </c>
      <c r="I137" s="62">
        <f>SUM(テーブル9[[#This Row],[五大]:[工場材]])</f>
        <v/>
      </c>
      <c r="J137" s="65" t="n">
        <v>205000</v>
      </c>
      <c r="K137" s="65" t="n"/>
      <c r="L137" s="65" t="n"/>
      <c r="M137" s="65" t="n"/>
      <c r="N137" s="65" t="n"/>
      <c r="O137" s="65" t="n"/>
      <c r="P137" s="65" t="n"/>
      <c r="Q137" s="65" t="n"/>
      <c r="R137" s="64">
        <f>28.8*700</f>
        <v/>
      </c>
      <c r="S137" s="65" t="n"/>
      <c r="T137" s="65" t="n"/>
      <c r="U137" s="65" t="n"/>
      <c r="V137" s="65" t="n"/>
      <c r="W137" s="65" t="n"/>
      <c r="X137" s="66" t="n"/>
      <c r="Y137" s="65" t="n"/>
      <c r="Z137" s="65" t="n"/>
      <c r="AA137" s="65" t="n"/>
      <c r="AB137" s="65" t="n"/>
      <c r="AC137" s="65" t="n"/>
      <c r="AD137" s="65" t="n"/>
      <c r="AE137" s="65" t="n"/>
      <c r="AF137" s="65" t="n"/>
      <c r="AG137" s="65" t="n"/>
      <c r="AH137" s="65" t="n"/>
      <c r="AI137" s="65" t="n"/>
      <c r="AJ137" s="65" t="n"/>
      <c r="AK137" s="65" t="n"/>
      <c r="AL137" s="65" t="n"/>
      <c r="AM137" s="65" t="n"/>
      <c r="AN137" s="65" t="n"/>
      <c r="AO137" s="65" t="n"/>
      <c r="AP137" s="65" t="n"/>
      <c r="AQ137" s="65" t="n"/>
      <c r="AR137" s="65" t="n"/>
      <c r="AS137" s="65" t="n"/>
      <c r="AT137" s="65" t="n"/>
      <c r="AU137" s="65" t="n"/>
      <c r="AV137" s="65" t="n"/>
      <c r="AW137" s="65" t="n"/>
      <c r="AX137" s="65" t="n"/>
      <c r="AY137" s="65" t="n"/>
      <c r="AZ137" s="65" t="n"/>
      <c r="BA137" s="65" t="n"/>
      <c r="BB137" s="65" t="n"/>
      <c r="BC137" s="65" t="n"/>
      <c r="BD137" s="65" t="n"/>
      <c r="BE137" s="65" t="n"/>
      <c r="BF137" s="65" t="n"/>
      <c r="BG137" s="65" t="n"/>
    </row>
    <row r="138">
      <c r="B138" s="22" t="inlineStr">
        <is>
          <t>合計</t>
        </is>
      </c>
      <c r="C138" s="22" t="n"/>
      <c r="F138" s="67">
        <f>SUBTOTAL(109,F134:F137)</f>
        <v/>
      </c>
      <c r="G138" s="67">
        <f>SUBTOTAL(109,G134:G137)</f>
        <v/>
      </c>
      <c r="H138" s="14">
        <f>IF(G138="","",G138/F138)</f>
        <v/>
      </c>
      <c r="I138" s="67">
        <f>SUBTOTAL(109,I134:I137)</f>
        <v/>
      </c>
      <c r="J138" s="65" t="n"/>
      <c r="K138" s="65" t="n"/>
      <c r="L138" s="65" t="n"/>
      <c r="M138" s="65" t="n"/>
      <c r="N138" s="65" t="n"/>
      <c r="O138" s="65" t="n"/>
      <c r="P138" s="65" t="n"/>
      <c r="Q138" s="65" t="n"/>
      <c r="R138" s="65" t="n"/>
      <c r="S138" s="65" t="n"/>
      <c r="T138" s="65" t="n"/>
      <c r="U138" s="65" t="n"/>
      <c r="V138" s="65" t="n"/>
      <c r="W138" s="65" t="n"/>
      <c r="X138" s="66" t="n"/>
      <c r="Y138" s="65" t="n"/>
      <c r="Z138" s="65" t="n"/>
      <c r="AA138" s="65" t="n"/>
      <c r="AB138" s="65" t="n"/>
      <c r="AC138" s="65" t="n"/>
      <c r="AD138" s="65" t="n"/>
      <c r="AE138" s="65" t="n"/>
      <c r="AF138" s="65" t="n"/>
      <c r="AG138" s="65" t="n"/>
      <c r="AH138" s="65" t="n"/>
      <c r="AI138" s="65" t="n"/>
      <c r="AJ138" s="65" t="n"/>
      <c r="AK138" s="65" t="n"/>
      <c r="AL138" s="65" t="n"/>
      <c r="AM138" s="65" t="n"/>
      <c r="AN138" s="65" t="n"/>
      <c r="AO138" s="65" t="n"/>
      <c r="AP138" s="65" t="n"/>
      <c r="AQ138" s="65" t="n"/>
      <c r="AR138" s="65" t="n"/>
      <c r="AS138" s="65" t="n"/>
      <c r="AT138" s="65" t="n"/>
      <c r="AU138" s="65" t="n"/>
      <c r="AV138" s="65" t="n"/>
      <c r="AW138" s="65" t="n"/>
      <c r="AX138" s="65" t="n"/>
      <c r="AY138" s="65" t="n"/>
      <c r="AZ138" s="65" t="n"/>
      <c r="BA138" s="65" t="n"/>
      <c r="BB138" s="65" t="n"/>
      <c r="BC138" s="65" t="n"/>
      <c r="BD138" s="65" t="n"/>
      <c r="BE138" s="65" t="n"/>
      <c r="BF138" s="65" t="n"/>
      <c r="BG138" s="65" t="n"/>
    </row>
    <row r="139">
      <c r="F139" s="68" t="n"/>
      <c r="G139" s="68">
        <f>IF(B139="","",F139-I139 )</f>
        <v/>
      </c>
      <c r="H139" s="5">
        <f>IF(G139="","",G139/F139)</f>
        <v/>
      </c>
      <c r="J139" s="65" t="n"/>
      <c r="K139" s="65" t="n"/>
      <c r="L139" s="65" t="n"/>
      <c r="M139" s="65" t="n"/>
      <c r="N139" s="65" t="n"/>
      <c r="O139" s="65" t="n"/>
      <c r="P139" s="65" t="n"/>
      <c r="Q139" s="65" t="n"/>
      <c r="R139" s="65" t="n"/>
      <c r="S139" s="65" t="n"/>
      <c r="T139" s="65" t="n"/>
      <c r="U139" s="65" t="n"/>
      <c r="V139" s="65" t="n"/>
      <c r="W139" s="65" t="n"/>
      <c r="X139" s="66" t="n"/>
      <c r="Y139" s="65" t="n"/>
      <c r="Z139" s="65" t="n"/>
      <c r="AA139" s="65" t="n"/>
      <c r="AB139" s="65" t="n"/>
      <c r="AC139" s="65" t="n"/>
      <c r="AD139" s="65" t="n"/>
      <c r="AE139" s="65" t="n"/>
      <c r="AF139" s="65" t="n"/>
      <c r="AG139" s="65" t="n"/>
      <c r="AH139" s="65" t="n"/>
      <c r="AI139" s="65" t="n"/>
      <c r="AJ139" s="65" t="n"/>
      <c r="AK139" s="65" t="n"/>
      <c r="AL139" s="65" t="n"/>
      <c r="AM139" s="65" t="n"/>
      <c r="AN139" s="65" t="n"/>
      <c r="AO139" s="65" t="n"/>
      <c r="AP139" s="65" t="n"/>
      <c r="AQ139" s="65" t="n"/>
      <c r="AR139" s="65" t="n"/>
      <c r="AS139" s="65" t="n"/>
      <c r="AT139" s="65" t="n"/>
      <c r="AU139" s="65" t="n"/>
      <c r="AV139" s="65" t="n"/>
      <c r="AW139" s="65" t="n"/>
      <c r="AX139" s="65" t="n"/>
      <c r="AY139" s="65" t="n"/>
      <c r="AZ139" s="65" t="n"/>
      <c r="BA139" s="65" t="n"/>
      <c r="BB139" s="65" t="n"/>
      <c r="BC139" s="65" t="n"/>
      <c r="BD139" s="65" t="n"/>
      <c r="BE139" s="65" t="n"/>
      <c r="BF139" s="65" t="n"/>
      <c r="BG139" s="65" t="n"/>
    </row>
    <row r="140">
      <c r="F140" s="68" t="n"/>
      <c r="G140" s="68">
        <f>IF(B140="","",F140-I140 )</f>
        <v/>
      </c>
      <c r="H140" s="5">
        <f>IF(G140="","",G140/F140)</f>
        <v/>
      </c>
      <c r="J140" s="65" t="n"/>
      <c r="K140" s="65" t="n"/>
      <c r="L140" s="65" t="n"/>
      <c r="M140" s="65" t="n"/>
      <c r="N140" s="65" t="n"/>
      <c r="O140" s="65" t="n"/>
      <c r="P140" s="65" t="n"/>
      <c r="Q140" s="65" t="n"/>
      <c r="R140" s="65" t="n"/>
      <c r="S140" s="65" t="n"/>
      <c r="T140" s="65" t="n"/>
      <c r="U140" s="65" t="n"/>
      <c r="V140" s="65" t="n"/>
      <c r="W140" s="65" t="n"/>
      <c r="X140" s="66" t="n"/>
      <c r="Y140" s="65" t="n"/>
      <c r="Z140" s="65" t="n"/>
      <c r="AA140" s="65" t="n"/>
      <c r="AB140" s="65" t="n"/>
      <c r="AC140" s="65" t="n"/>
      <c r="AD140" s="65" t="n"/>
      <c r="AE140" s="65" t="n"/>
      <c r="AF140" s="65" t="n"/>
      <c r="AG140" s="65" t="n"/>
      <c r="AH140" s="65" t="n"/>
      <c r="AI140" s="65" t="n"/>
      <c r="AJ140" s="65" t="n"/>
      <c r="AK140" s="65" t="n"/>
      <c r="AL140" s="65" t="n"/>
      <c r="AM140" s="65" t="n"/>
      <c r="AN140" s="65" t="n"/>
      <c r="AO140" s="65" t="n"/>
      <c r="AP140" s="65" t="n"/>
      <c r="AQ140" s="65" t="n"/>
      <c r="AR140" s="65" t="n"/>
      <c r="AS140" s="65" t="n"/>
      <c r="AT140" s="65" t="n"/>
      <c r="AU140" s="65" t="n"/>
      <c r="AV140" s="65" t="n"/>
      <c r="AW140" s="65" t="n"/>
      <c r="AX140" s="65" t="n"/>
      <c r="AY140" s="65" t="n"/>
      <c r="AZ140" s="65" t="n"/>
      <c r="BA140" s="65" t="n"/>
      <c r="BB140" s="65" t="n"/>
      <c r="BC140" s="65" t="n"/>
      <c r="BD140" s="65" t="n"/>
      <c r="BE140" s="65" t="n"/>
      <c r="BF140" s="65" t="n"/>
      <c r="BG140" s="65" t="n"/>
    </row>
    <row r="141">
      <c r="A141" s="0" t="inlineStr">
        <is>
          <t>R2.3</t>
        </is>
      </c>
      <c r="B141" s="1" t="inlineStr">
        <is>
          <t>福島 ディアスA</t>
        </is>
      </c>
      <c r="D141" s="1" t="inlineStr">
        <is>
          <t>内装リフォーム</t>
        </is>
      </c>
      <c r="E141" s="2" t="inlineStr">
        <is>
          <t>2月</t>
        </is>
      </c>
      <c r="F141" s="68" t="n">
        <v>1830000</v>
      </c>
      <c r="G141" s="68">
        <f>IF(B141="","",F141-I141 )</f>
        <v/>
      </c>
      <c r="H141" s="5">
        <f>IF(G141="","",G141/F141)</f>
        <v/>
      </c>
      <c r="I141" s="62">
        <f>SUM(テーブル9[[#This Row],[五大]:[工場材]])</f>
        <v/>
      </c>
      <c r="J141" s="65" t="n"/>
      <c r="K141" s="65" t="n"/>
      <c r="L141" s="65" t="n"/>
      <c r="M141" s="65" t="n"/>
      <c r="N141" s="65" t="n"/>
      <c r="O141" s="65" t="n"/>
      <c r="P141" s="65" t="n"/>
      <c r="Q141" s="65" t="n"/>
      <c r="R141" s="65" t="n"/>
      <c r="S141" s="65" t="n"/>
      <c r="T141" s="65" t="n"/>
      <c r="U141" s="65" t="n"/>
      <c r="V141" s="65" t="n"/>
      <c r="W141" s="65">
        <f>520000+48832</f>
        <v/>
      </c>
      <c r="X141" s="66" t="n"/>
      <c r="Y141" s="65" t="n"/>
      <c r="Z141" s="65" t="n"/>
      <c r="AA141" s="65" t="n">
        <v>40720</v>
      </c>
      <c r="AB141" s="65" t="n"/>
      <c r="AC141" s="65" t="n">
        <v>90000</v>
      </c>
      <c r="AD141" s="65" t="n"/>
      <c r="AE141" s="65" t="n"/>
      <c r="AF141" s="65" t="n"/>
      <c r="AG141" s="65" t="n"/>
      <c r="AH141" s="65" t="n"/>
      <c r="AI141" s="65">
        <f>30000</f>
        <v/>
      </c>
      <c r="AJ141" s="65" t="n"/>
      <c r="AK141" s="65" t="n"/>
      <c r="AL141" s="65" t="n"/>
      <c r="AM141" s="65" t="n"/>
      <c r="AN141" s="65" t="n"/>
      <c r="AO141" s="65">
        <f>198026+50624+16200+828+61600+3885+14400+5600+22000+19152+18696+31080+1800+45600+18000+21120+2295+2430+9174+5805+3150+3150+3555+1500</f>
        <v/>
      </c>
      <c r="AP141" s="65" t="n"/>
      <c r="AQ141" s="65" t="n"/>
      <c r="AR141" s="65" t="n"/>
      <c r="AS141" s="65" t="n"/>
      <c r="AT141" s="65" t="n"/>
      <c r="AU141" s="65" t="n"/>
      <c r="AV141" s="65" t="n"/>
      <c r="AW141" s="65" t="n"/>
      <c r="AX141" s="65" t="n"/>
      <c r="AY141" s="65" t="n"/>
      <c r="AZ141" s="65" t="n"/>
      <c r="BA141" s="65" t="n"/>
      <c r="BB141" s="65" t="n"/>
      <c r="BC141" s="65" t="n"/>
      <c r="BD141" s="65" t="n"/>
      <c r="BE141" s="65" t="n"/>
      <c r="BF141" s="65" t="n"/>
      <c r="BG141" s="65">
        <f>25000*6+60000</f>
        <v/>
      </c>
    </row>
    <row r="142">
      <c r="B142" s="1" t="inlineStr">
        <is>
          <t>南光台 斎藤邸</t>
        </is>
      </c>
      <c r="D142" s="1" t="inlineStr">
        <is>
          <t>LIXIL　トイレ改修</t>
        </is>
      </c>
      <c r="E142" s="2" t="inlineStr">
        <is>
          <t>2月</t>
        </is>
      </c>
      <c r="F142" s="68" t="n">
        <v>155000</v>
      </c>
      <c r="G142" s="68">
        <f>IF(B142="","",F142-I142 )</f>
        <v/>
      </c>
      <c r="H142" s="5">
        <f>IF(G142="","",G142/F142)</f>
        <v/>
      </c>
      <c r="I142" s="62">
        <f>SUM(テーブル9[[#This Row],[五大]:[工場材]])</f>
        <v/>
      </c>
      <c r="J142" s="65" t="n"/>
      <c r="K142" s="65" t="n"/>
      <c r="L142" s="65" t="n"/>
      <c r="M142" s="65" t="n"/>
      <c r="N142" s="65" t="n"/>
      <c r="O142" s="65" t="n"/>
      <c r="P142" s="65" t="n"/>
      <c r="Q142" s="65" t="n"/>
      <c r="R142" s="65" t="n"/>
      <c r="S142" s="65" t="n"/>
      <c r="T142" s="65" t="n"/>
      <c r="U142" s="65" t="n"/>
      <c r="V142" s="65" t="n"/>
      <c r="W142" s="65" t="n">
        <v>45000</v>
      </c>
      <c r="X142" s="66" t="n"/>
      <c r="Y142" s="65" t="n"/>
      <c r="Z142" s="65" t="n"/>
      <c r="AA142" s="65" t="n">
        <v>8000</v>
      </c>
      <c r="AB142" s="65" t="n">
        <v>18000</v>
      </c>
      <c r="AC142" s="65" t="n"/>
      <c r="AD142" s="65" t="n"/>
      <c r="AE142" s="65" t="n"/>
      <c r="AF142" s="65" t="n"/>
      <c r="AG142" s="65" t="n"/>
      <c r="AH142" s="65" t="n"/>
      <c r="AI142" s="65" t="n">
        <v>25000</v>
      </c>
      <c r="AJ142" s="65" t="n"/>
      <c r="AK142" s="65" t="n"/>
      <c r="AL142" s="65" t="n"/>
      <c r="AM142" s="65" t="n"/>
      <c r="AN142" s="65" t="n"/>
      <c r="AO142" s="65" t="n"/>
      <c r="AP142" s="65" t="n"/>
      <c r="AQ142" s="65" t="n"/>
      <c r="AR142" s="65" t="n"/>
      <c r="AS142" s="65" t="n"/>
      <c r="AT142" s="65" t="n"/>
      <c r="AU142" s="65" t="n"/>
      <c r="AV142" s="65" t="n"/>
      <c r="AW142" s="65" t="n"/>
      <c r="AX142" s="65" t="n"/>
      <c r="AY142" s="65" t="n"/>
      <c r="AZ142" s="65" t="n"/>
      <c r="BA142" s="65" t="n"/>
      <c r="BB142" s="65" t="n"/>
      <c r="BC142" s="65" t="n"/>
      <c r="BD142" s="65" t="n"/>
      <c r="BE142" s="65" t="n"/>
      <c r="BF142" s="65" t="n"/>
      <c r="BG142" s="65" t="n"/>
    </row>
    <row r="143">
      <c r="B143" s="1" t="inlineStr">
        <is>
          <t>シティハイムブルースカイ</t>
        </is>
      </c>
      <c r="D143" s="1" t="inlineStr">
        <is>
          <t>フタバ 浴室漏水</t>
        </is>
      </c>
      <c r="E143" s="2" t="inlineStr">
        <is>
          <t>2月</t>
        </is>
      </c>
      <c r="F143" s="68" t="n">
        <v>188000</v>
      </c>
      <c r="G143" s="68">
        <f>IF(B143="","",F143-I143 )</f>
        <v/>
      </c>
      <c r="H143" s="5">
        <f>IF(G143="","",G143/F143)</f>
        <v/>
      </c>
      <c r="I143" s="62">
        <f>SUM(テーブル9[[#This Row],[五大]:[工場材]])</f>
        <v/>
      </c>
      <c r="J143" s="65" t="n"/>
      <c r="K143" s="65" t="n"/>
      <c r="L143" s="65" t="n"/>
      <c r="M143" s="65" t="n"/>
      <c r="N143" s="65" t="n"/>
      <c r="O143" s="65" t="n"/>
      <c r="P143" s="65" t="n"/>
      <c r="Q143" s="65" t="n"/>
      <c r="R143" s="65" t="n"/>
      <c r="S143" s="65" t="n"/>
      <c r="T143" s="65" t="n"/>
      <c r="U143" s="65" t="n"/>
      <c r="V143" s="65" t="n"/>
      <c r="W143" s="65">
        <f>45000+2996</f>
        <v/>
      </c>
      <c r="X143" s="66" t="n"/>
      <c r="Y143" s="65" t="n"/>
      <c r="Z143" s="65" t="n"/>
      <c r="AA143" s="65" t="n"/>
      <c r="AB143" s="65" t="n">
        <v>57000</v>
      </c>
      <c r="AC143" s="65" t="n"/>
      <c r="AD143" s="65" t="n"/>
      <c r="AE143" s="65" t="n"/>
      <c r="AF143" s="65" t="n"/>
      <c r="AG143" s="65" t="n"/>
      <c r="AH143" s="65" t="n"/>
      <c r="AI143" s="65" t="n"/>
      <c r="AJ143" s="65" t="n"/>
      <c r="AK143" s="65" t="n"/>
      <c r="AL143" s="65" t="n"/>
      <c r="AM143" s="65" t="n"/>
      <c r="AN143" s="65" t="n"/>
      <c r="AO143" s="65" t="n"/>
      <c r="AP143" s="65" t="n"/>
      <c r="AQ143" s="65" t="n"/>
      <c r="AR143" s="65" t="n"/>
      <c r="AS143" s="65" t="n"/>
      <c r="AT143" s="65" t="n"/>
      <c r="AU143" s="65" t="n"/>
      <c r="AV143" s="65" t="n"/>
      <c r="AW143" s="65" t="n"/>
      <c r="AX143" s="65" t="n"/>
      <c r="AY143" s="65" t="n"/>
      <c r="AZ143" s="65" t="n"/>
      <c r="BA143" s="65" t="n"/>
      <c r="BB143" s="65" t="n"/>
      <c r="BC143" s="65" t="n"/>
      <c r="BD143" s="65" t="n"/>
      <c r="BE143" s="65" t="n"/>
      <c r="BF143" s="65" t="n"/>
      <c r="BG143" s="65" t="n"/>
    </row>
    <row r="144">
      <c r="B144" s="22" t="inlineStr">
        <is>
          <t>合計</t>
        </is>
      </c>
      <c r="C144" s="22" t="n"/>
      <c r="F144" s="67">
        <f>SUBTOTAL(109,F141:F143)</f>
        <v/>
      </c>
      <c r="G144" s="67">
        <f>SUBTOTAL(109,G141:G143)</f>
        <v/>
      </c>
      <c r="H144" s="14">
        <f>IF(G144="","",G144/F144)</f>
        <v/>
      </c>
      <c r="I144" s="67">
        <f>SUBTOTAL(109,I141:I143)</f>
        <v/>
      </c>
      <c r="J144" s="65" t="n"/>
      <c r="K144" s="65" t="n"/>
      <c r="L144" s="65" t="n"/>
      <c r="M144" s="65" t="n"/>
      <c r="N144" s="65" t="n"/>
      <c r="O144" s="65" t="n"/>
      <c r="P144" s="65" t="n"/>
      <c r="Q144" s="65" t="n"/>
      <c r="R144" s="65" t="n"/>
      <c r="S144" s="65" t="n"/>
      <c r="T144" s="65" t="n"/>
      <c r="U144" s="65" t="n"/>
      <c r="V144" s="65" t="n"/>
      <c r="W144" s="65" t="n"/>
      <c r="X144" s="66" t="n"/>
      <c r="Y144" s="65" t="n"/>
      <c r="Z144" s="65" t="n"/>
      <c r="AA144" s="65" t="n"/>
      <c r="AB144" s="65" t="n"/>
      <c r="AC144" s="65" t="n"/>
      <c r="AD144" s="65" t="n"/>
      <c r="AE144" s="65" t="n"/>
      <c r="AF144" s="65" t="n"/>
      <c r="AG144" s="65" t="n"/>
      <c r="AH144" s="65" t="n"/>
      <c r="AI144" s="65" t="n"/>
      <c r="AJ144" s="65" t="n"/>
      <c r="AK144" s="65" t="n"/>
      <c r="AL144" s="65" t="n"/>
      <c r="AM144" s="65" t="n"/>
      <c r="AN144" s="65" t="n"/>
      <c r="AO144" s="65" t="n"/>
      <c r="AP144" s="65" t="n"/>
      <c r="AQ144" s="65" t="n"/>
      <c r="AR144" s="65" t="n"/>
      <c r="AS144" s="65" t="n"/>
      <c r="AT144" s="65" t="n"/>
      <c r="AU144" s="65" t="n"/>
      <c r="AV144" s="65" t="n"/>
      <c r="AW144" s="65" t="n"/>
      <c r="AX144" s="65" t="n"/>
      <c r="AY144" s="65" t="n"/>
      <c r="AZ144" s="65" t="n"/>
      <c r="BA144" s="65" t="n"/>
      <c r="BB144" s="65" t="n"/>
      <c r="BC144" s="65" t="n"/>
      <c r="BD144" s="65" t="n"/>
      <c r="BE144" s="65" t="n"/>
      <c r="BF144" s="65" t="n"/>
      <c r="BG144" s="65" t="n"/>
    </row>
    <row r="145">
      <c r="F145" s="68" t="n"/>
      <c r="G145" s="68">
        <f>IF(B145="","",F145-I145 )</f>
        <v/>
      </c>
      <c r="H145" s="5">
        <f>IF(G145="","",G145/F145)</f>
        <v/>
      </c>
      <c r="J145" s="65" t="n"/>
      <c r="K145" s="65" t="n"/>
      <c r="L145" s="65" t="n"/>
      <c r="M145" s="65" t="n"/>
      <c r="N145" s="65" t="n"/>
      <c r="O145" s="65" t="n"/>
      <c r="P145" s="65" t="n"/>
      <c r="Q145" s="65" t="n"/>
      <c r="R145" s="65" t="n"/>
      <c r="S145" s="65" t="n"/>
      <c r="T145" s="65" t="n"/>
      <c r="U145" s="65" t="n"/>
      <c r="V145" s="65" t="n"/>
      <c r="W145" s="65" t="n"/>
      <c r="X145" s="66" t="n"/>
      <c r="Y145" s="65" t="n"/>
      <c r="Z145" s="65" t="n"/>
      <c r="AA145" s="65" t="n"/>
      <c r="AB145" s="65" t="n"/>
      <c r="AC145" s="65" t="n"/>
      <c r="AD145" s="65" t="n"/>
      <c r="AE145" s="65" t="n"/>
      <c r="AF145" s="65" t="n"/>
      <c r="AG145" s="65" t="n"/>
      <c r="AH145" s="65" t="n"/>
      <c r="AI145" s="65" t="n"/>
      <c r="AJ145" s="65" t="n"/>
      <c r="AK145" s="65" t="n"/>
      <c r="AL145" s="65" t="n"/>
      <c r="AM145" s="65" t="n"/>
      <c r="AN145" s="65" t="n"/>
      <c r="AO145" s="65" t="n"/>
      <c r="AP145" s="65" t="n"/>
      <c r="AQ145" s="65" t="n"/>
      <c r="AR145" s="65" t="n"/>
      <c r="AS145" s="65" t="n"/>
      <c r="AT145" s="65" t="n"/>
      <c r="AU145" s="65" t="n"/>
      <c r="AV145" s="65" t="n"/>
      <c r="AW145" s="65" t="n"/>
      <c r="AX145" s="65" t="n"/>
      <c r="AY145" s="65" t="n"/>
      <c r="AZ145" s="65" t="n"/>
      <c r="BA145" s="65" t="n"/>
      <c r="BB145" s="65" t="n"/>
      <c r="BC145" s="65" t="n"/>
      <c r="BD145" s="65" t="n"/>
      <c r="BE145" s="65" t="n"/>
      <c r="BF145" s="65" t="n"/>
      <c r="BG145" s="65" t="n"/>
    </row>
    <row r="146">
      <c r="F146" s="68" t="n"/>
      <c r="G146" s="68">
        <f>IF(B146="","",F146-I146 )</f>
        <v/>
      </c>
      <c r="H146" s="5">
        <f>IF(G146="","",G146/F146)</f>
        <v/>
      </c>
      <c r="J146" s="65" t="n"/>
      <c r="K146" s="65" t="n"/>
      <c r="L146" s="65" t="n"/>
      <c r="M146" s="65" t="n"/>
      <c r="N146" s="65" t="n"/>
      <c r="O146" s="65" t="n"/>
      <c r="P146" s="65" t="n"/>
      <c r="Q146" s="65" t="n"/>
      <c r="R146" s="65" t="n"/>
      <c r="S146" s="65" t="n"/>
      <c r="T146" s="65" t="n"/>
      <c r="U146" s="65" t="n"/>
      <c r="V146" s="65" t="n"/>
      <c r="W146" s="65" t="n"/>
      <c r="X146" s="66" t="n"/>
      <c r="Y146" s="65" t="n"/>
      <c r="Z146" s="65" t="n"/>
      <c r="AA146" s="65" t="n"/>
      <c r="AB146" s="65" t="n"/>
      <c r="AC146" s="65" t="n"/>
      <c r="AD146" s="65" t="n"/>
      <c r="AE146" s="65" t="n"/>
      <c r="AF146" s="65" t="n"/>
      <c r="AG146" s="65" t="n"/>
      <c r="AH146" s="65" t="n"/>
      <c r="AI146" s="65" t="n"/>
      <c r="AJ146" s="65" t="n"/>
      <c r="AK146" s="65" t="n"/>
      <c r="AL146" s="65" t="n"/>
      <c r="AM146" s="65" t="n"/>
      <c r="AN146" s="65" t="n"/>
      <c r="AO146" s="65" t="n"/>
      <c r="AP146" s="65" t="n"/>
      <c r="AQ146" s="65" t="n"/>
      <c r="AR146" s="65" t="n"/>
      <c r="AS146" s="65" t="n"/>
      <c r="AT146" s="65" t="n"/>
      <c r="AU146" s="65" t="n"/>
      <c r="AV146" s="65" t="n"/>
      <c r="AW146" s="65" t="n"/>
      <c r="AX146" s="65" t="n"/>
      <c r="AY146" s="65" t="n"/>
      <c r="AZ146" s="65" t="n"/>
      <c r="BA146" s="65" t="n"/>
      <c r="BB146" s="65" t="n"/>
      <c r="BC146" s="65" t="n"/>
      <c r="BD146" s="65" t="n"/>
      <c r="BE146" s="65" t="n"/>
      <c r="BF146" s="65" t="n"/>
      <c r="BG146" s="65" t="n"/>
    </row>
    <row r="147">
      <c r="F147" s="68" t="n"/>
      <c r="G147" s="68">
        <f>IF(B147="","",F147-I147 )</f>
        <v/>
      </c>
      <c r="H147" s="5">
        <f>IF(G147="","",G147/F147)</f>
        <v/>
      </c>
      <c r="J147" s="65" t="n"/>
      <c r="K147" s="65" t="n"/>
      <c r="L147" s="65" t="n"/>
      <c r="M147" s="65" t="n"/>
      <c r="N147" s="65" t="n"/>
      <c r="O147" s="65" t="n"/>
      <c r="P147" s="65" t="n"/>
      <c r="Q147" s="65" t="n"/>
      <c r="R147" s="65" t="n"/>
      <c r="S147" s="65" t="n"/>
      <c r="T147" s="65" t="n"/>
      <c r="U147" s="64" t="n"/>
      <c r="V147" s="64" t="n"/>
      <c r="W147" s="65" t="n"/>
      <c r="X147" s="66" t="n"/>
      <c r="Y147" s="65" t="n"/>
      <c r="Z147" s="65" t="n"/>
      <c r="AA147" s="65" t="n"/>
      <c r="AB147" s="65" t="n"/>
      <c r="AC147" s="65" t="n"/>
      <c r="AD147" s="65" t="n"/>
      <c r="AE147" s="65" t="n"/>
      <c r="AF147" s="65" t="n"/>
      <c r="AG147" s="65" t="n"/>
      <c r="AH147" s="65" t="n"/>
      <c r="AI147" s="65" t="n"/>
      <c r="AJ147" s="65" t="n"/>
      <c r="AK147" s="65" t="n"/>
      <c r="AL147" s="65" t="n"/>
      <c r="AM147" s="65" t="n"/>
      <c r="AN147" s="65" t="n"/>
      <c r="AO147" s="65" t="n"/>
      <c r="AP147" s="65" t="n"/>
      <c r="AQ147" s="65" t="n"/>
      <c r="AR147" s="65" t="n"/>
      <c r="AS147" s="65" t="n"/>
      <c r="AT147" s="65" t="n"/>
      <c r="AU147" s="65" t="n"/>
      <c r="AV147" s="65" t="n"/>
      <c r="AW147" s="65" t="n"/>
      <c r="AX147" s="65" t="n"/>
      <c r="AY147" s="65" t="n"/>
      <c r="AZ147" s="65" t="n"/>
      <c r="BA147" s="65" t="n"/>
      <c r="BB147" s="65" t="n"/>
      <c r="BC147" s="65" t="n"/>
      <c r="BD147" s="65" t="n"/>
      <c r="BE147" s="65" t="n"/>
      <c r="BF147" s="65" t="n"/>
      <c r="BG147" s="65" t="n"/>
    </row>
    <row r="148">
      <c r="A148" s="0" t="inlineStr">
        <is>
          <t>R2.5</t>
        </is>
      </c>
      <c r="B148" s="1" t="inlineStr">
        <is>
          <t>KSフラットB</t>
        </is>
      </c>
      <c r="D148" s="1" t="inlineStr">
        <is>
          <t>塗装（屋根なし</t>
        </is>
      </c>
      <c r="E148" s="2" t="inlineStr">
        <is>
          <t>4月</t>
        </is>
      </c>
      <c r="F148" s="68" t="n">
        <v>1556000</v>
      </c>
      <c r="G148" s="68">
        <f>IF(B148="","",F148-I148 )</f>
        <v/>
      </c>
      <c r="H148" s="5">
        <f>IF(G148="","",G148/F148)</f>
        <v/>
      </c>
      <c r="I148" s="62">
        <f>SUM(テーブル9[[#This Row],[五大]:[工場材]])</f>
        <v/>
      </c>
      <c r="J148" s="64" t="n">
        <v>275000</v>
      </c>
      <c r="K148" s="65" t="n"/>
      <c r="L148" s="65" t="n"/>
      <c r="M148" s="65" t="n"/>
      <c r="N148" s="65" t="n"/>
      <c r="O148" s="64" t="n">
        <v>700000</v>
      </c>
      <c r="P148" s="65" t="n"/>
      <c r="Q148" s="65" t="n"/>
      <c r="R148" s="65" t="n">
        <v>48300</v>
      </c>
      <c r="S148" s="64" t="n">
        <v>35000</v>
      </c>
      <c r="T148" s="65" t="n"/>
      <c r="U148" s="64">
        <f>27300+12000</f>
        <v/>
      </c>
      <c r="V148" s="64" t="n"/>
      <c r="W148" s="65" t="n"/>
      <c r="X148" s="66" t="n"/>
      <c r="Y148" s="65" t="n"/>
      <c r="Z148" s="65" t="n"/>
      <c r="AA148" s="65" t="n"/>
      <c r="AB148" s="65" t="n"/>
      <c r="AC148" s="65" t="n"/>
      <c r="AD148" s="65" t="n"/>
      <c r="AE148" s="65" t="n"/>
      <c r="AF148" s="65" t="n"/>
      <c r="AG148" s="65" t="n"/>
      <c r="AH148" s="65" t="n"/>
      <c r="AI148" s="65" t="n"/>
      <c r="AJ148" s="65" t="n"/>
      <c r="AK148" s="65" t="n"/>
      <c r="AL148" s="65" t="n"/>
      <c r="AM148" s="65" t="n">
        <v>15000</v>
      </c>
      <c r="AN148" s="65" t="n"/>
      <c r="AO148" s="65" t="n"/>
      <c r="AP148" s="65" t="n"/>
      <c r="AQ148" s="65" t="n"/>
      <c r="AR148" s="65" t="n"/>
      <c r="AS148" s="65" t="n"/>
      <c r="AT148" s="65" t="n"/>
      <c r="AU148" s="65" t="n"/>
      <c r="AV148" s="65" t="n"/>
      <c r="AW148" s="65" t="n"/>
      <c r="AX148" s="65" t="n"/>
      <c r="AY148" s="65" t="n"/>
      <c r="AZ148" s="65" t="n"/>
      <c r="BA148" s="65" t="n"/>
      <c r="BB148" s="65" t="n"/>
      <c r="BC148" s="65" t="n"/>
      <c r="BD148" s="65" t="n"/>
      <c r="BE148" s="65" t="n"/>
      <c r="BF148" s="65" t="n"/>
      <c r="BG148" s="65" t="n"/>
    </row>
    <row r="149">
      <c r="B149" s="1" t="inlineStr">
        <is>
          <t>エクセルハイツ</t>
        </is>
      </c>
      <c r="D149" s="1" t="inlineStr">
        <is>
          <t>塗装</t>
        </is>
      </c>
      <c r="E149" s="2" t="inlineStr">
        <is>
          <t>4月</t>
        </is>
      </c>
      <c r="F149" s="68" t="n">
        <v>1380000</v>
      </c>
      <c r="G149" s="68">
        <f>IF(B149="","",F149-I149 )</f>
        <v/>
      </c>
      <c r="H149" s="5">
        <f>IF(G149="","",G149/F149)</f>
        <v/>
      </c>
      <c r="I149" s="62">
        <f>SUM(テーブル9[[#This Row],[五大]:[工場材]])</f>
        <v/>
      </c>
      <c r="J149" s="65" t="n"/>
      <c r="K149" s="64" t="n">
        <v>195000</v>
      </c>
      <c r="L149" s="64" t="n"/>
      <c r="M149" s="65" t="n"/>
      <c r="N149" s="65" t="n"/>
      <c r="O149" s="64" t="n">
        <v>650000</v>
      </c>
      <c r="P149" s="65" t="n"/>
      <c r="Q149" s="65" t="n"/>
      <c r="R149" s="65" t="n">
        <v>50400</v>
      </c>
      <c r="S149" s="64" t="n">
        <v>35000</v>
      </c>
      <c r="T149" s="65" t="n"/>
      <c r="U149" s="64">
        <f>102900+50600+11200</f>
        <v/>
      </c>
      <c r="V149" s="64" t="n"/>
      <c r="W149" s="65" t="n"/>
      <c r="X149" s="66" t="n"/>
      <c r="Y149" s="65" t="n"/>
      <c r="Z149" s="65" t="n"/>
      <c r="AA149" s="65" t="n"/>
      <c r="AB149" s="65" t="n"/>
      <c r="AC149" s="65" t="n"/>
      <c r="AD149" s="65" t="n"/>
      <c r="AE149" s="65" t="n"/>
      <c r="AF149" s="65" t="n"/>
      <c r="AG149" s="65" t="n"/>
      <c r="AH149" s="65" t="n"/>
      <c r="AI149" s="65" t="n"/>
      <c r="AJ149" s="65" t="n"/>
      <c r="AK149" s="65" t="n"/>
      <c r="AL149" s="65" t="n"/>
      <c r="AM149" s="65" t="n"/>
      <c r="AN149" s="65" t="n"/>
      <c r="AO149" s="65" t="n"/>
      <c r="AP149" s="65" t="n"/>
      <c r="AQ149" s="65" t="n"/>
      <c r="AR149" s="65" t="n"/>
      <c r="AS149" s="65" t="n"/>
      <c r="AT149" s="65" t="n"/>
      <c r="AU149" s="65" t="n"/>
      <c r="AV149" s="65" t="n"/>
      <c r="AW149" s="65" t="n"/>
      <c r="AX149" s="65" t="n"/>
      <c r="AY149" s="65" t="n"/>
      <c r="AZ149" s="65" t="n"/>
      <c r="BA149" s="65" t="n"/>
      <c r="BB149" s="65" t="n"/>
      <c r="BC149" s="65" t="n"/>
      <c r="BD149" s="65" t="n"/>
      <c r="BE149" s="65" t="n"/>
      <c r="BF149" s="65" t="n"/>
      <c r="BG149" s="65" t="n">
        <v>4000</v>
      </c>
    </row>
    <row r="150">
      <c r="B150" s="1" t="inlineStr">
        <is>
          <t>アーバネストR</t>
        </is>
      </c>
      <c r="D150" s="1" t="inlineStr">
        <is>
          <t>塗装+胴差</t>
        </is>
      </c>
      <c r="E150" s="2" t="inlineStr">
        <is>
          <t>4月</t>
        </is>
      </c>
      <c r="F150" s="68" t="n">
        <v>1365450</v>
      </c>
      <c r="G150" s="68">
        <f>IF(B150="","",F150-I150 )</f>
        <v/>
      </c>
      <c r="H150" s="5">
        <f>IF(G150="","",G150/F150)</f>
        <v/>
      </c>
      <c r="I150" s="62">
        <f>SUM(テーブル9[[#This Row],[五大]:[工場材]])</f>
        <v/>
      </c>
      <c r="J150" s="65" t="n"/>
      <c r="K150" s="65" t="n"/>
      <c r="L150" s="65" t="n"/>
      <c r="M150" s="65" t="n"/>
      <c r="N150" s="65" t="n"/>
      <c r="O150" s="65" t="n"/>
      <c r="P150" s="64" t="n">
        <v>600000</v>
      </c>
      <c r="Q150" s="65" t="n"/>
      <c r="R150" s="65">
        <f>37100+2000</f>
        <v/>
      </c>
      <c r="S150" s="64" t="n">
        <v>35000</v>
      </c>
      <c r="T150" s="65" t="n"/>
      <c r="U150" s="64" t="n">
        <v>106350</v>
      </c>
      <c r="V150" s="64" t="n"/>
      <c r="W150" s="65">
        <f>95000/2</f>
        <v/>
      </c>
      <c r="X150" s="66" t="n"/>
      <c r="Y150" s="65" t="n"/>
      <c r="Z150" s="65" t="n"/>
      <c r="AA150" s="65" t="n"/>
      <c r="AB150" s="65" t="n"/>
      <c r="AC150" s="65" t="n"/>
      <c r="AD150" s="65" t="n"/>
      <c r="AE150" s="65" t="n"/>
      <c r="AF150" s="65" t="n"/>
      <c r="AG150" s="65" t="n"/>
      <c r="AH150" s="65" t="n"/>
      <c r="AI150" s="65" t="n"/>
      <c r="AJ150" s="65" t="n"/>
      <c r="AK150" s="65" t="n"/>
      <c r="AL150" s="65" t="n"/>
      <c r="AM150" s="64" t="n">
        <v>7500</v>
      </c>
      <c r="AN150" s="65" t="n"/>
      <c r="AO150" s="65" t="n"/>
      <c r="AP150" s="65" t="n"/>
      <c r="AQ150" s="65" t="n"/>
      <c r="AR150" s="65" t="n"/>
      <c r="AS150" s="65" t="n"/>
      <c r="AT150" s="65" t="n"/>
      <c r="AU150" s="65">
        <f>14000*6</f>
        <v/>
      </c>
      <c r="AV150" s="65" t="n"/>
      <c r="AW150" s="65" t="n"/>
      <c r="AX150" s="65" t="n"/>
      <c r="AY150" s="65" t="n"/>
      <c r="AZ150" s="65" t="n"/>
      <c r="BA150" s="65" t="n"/>
      <c r="BB150" s="65" t="n"/>
      <c r="BC150" s="65" t="n"/>
      <c r="BD150" s="65" t="n"/>
      <c r="BE150" s="65" t="n"/>
      <c r="BF150" s="65" t="n"/>
      <c r="BG150" s="65" t="n"/>
    </row>
    <row r="151">
      <c r="B151" s="1" t="inlineStr">
        <is>
          <t>アーバネストK</t>
        </is>
      </c>
      <c r="D151" s="1" t="inlineStr">
        <is>
          <t>塗装＋胴差</t>
        </is>
      </c>
      <c r="E151" s="2" t="inlineStr">
        <is>
          <t>4月</t>
        </is>
      </c>
      <c r="F151" s="68" t="n">
        <v>1270950</v>
      </c>
      <c r="G151" s="68">
        <f>IF(B151="","",F151-I151 )</f>
        <v/>
      </c>
      <c r="H151" s="5">
        <f>IF(G151="","",G151/F151)</f>
        <v/>
      </c>
      <c r="I151" s="62">
        <f>SUM(テーブル9[[#This Row],[五大]:[工場材]])</f>
        <v/>
      </c>
      <c r="J151" s="65" t="n"/>
      <c r="K151" s="65" t="n"/>
      <c r="L151" s="65" t="n"/>
      <c r="M151" s="65" t="n"/>
      <c r="N151" s="65" t="n"/>
      <c r="O151" s="65" t="n"/>
      <c r="P151" s="64" t="n">
        <v>600000</v>
      </c>
      <c r="Q151" s="65" t="n"/>
      <c r="R151" s="65">
        <f>42000+2000</f>
        <v/>
      </c>
      <c r="S151" s="64" t="n">
        <v>35000</v>
      </c>
      <c r="T151" s="65" t="n"/>
      <c r="U151" s="64" t="n">
        <v>106350</v>
      </c>
      <c r="V151" s="64" t="n"/>
      <c r="W151" s="65" t="n">
        <v>47500</v>
      </c>
      <c r="X151" s="66" t="n"/>
      <c r="Y151" s="65" t="n"/>
      <c r="Z151" s="65" t="n"/>
      <c r="AA151" s="65" t="n"/>
      <c r="AB151" s="65" t="n"/>
      <c r="AC151" s="65" t="n"/>
      <c r="AD151" s="65" t="n"/>
      <c r="AE151" s="65" t="n"/>
      <c r="AF151" s="65" t="n"/>
      <c r="AG151" s="65" t="n"/>
      <c r="AH151" s="65" t="n"/>
      <c r="AI151" s="65" t="n"/>
      <c r="AJ151" s="65" t="n"/>
      <c r="AK151" s="65" t="n"/>
      <c r="AL151" s="65" t="n"/>
      <c r="AM151" s="64" t="n">
        <v>7500</v>
      </c>
      <c r="AN151" s="65" t="n"/>
      <c r="AO151" s="65" t="n"/>
      <c r="AP151" s="65" t="n"/>
      <c r="AQ151" s="65" t="n"/>
      <c r="AR151" s="65" t="n"/>
      <c r="AS151" s="65" t="n"/>
      <c r="AT151" s="65" t="n"/>
      <c r="AU151" s="65">
        <f>14000*4</f>
        <v/>
      </c>
      <c r="AV151" s="65" t="n"/>
      <c r="AW151" s="65" t="n"/>
      <c r="AX151" s="65" t="n"/>
      <c r="AY151" s="65" t="n"/>
      <c r="AZ151" s="65" t="n"/>
      <c r="BA151" s="65" t="n"/>
      <c r="BB151" s="65" t="n"/>
      <c r="BC151" s="65" t="n"/>
      <c r="BD151" s="65" t="n"/>
      <c r="BE151" s="65" t="n"/>
      <c r="BF151" s="65" t="n"/>
      <c r="BG151" s="65" t="n"/>
    </row>
    <row r="152">
      <c r="B152" s="1" t="inlineStr">
        <is>
          <t>アーバネストR</t>
        </is>
      </c>
      <c r="D152" s="1" t="inlineStr">
        <is>
          <t>足場+樋交換工事</t>
        </is>
      </c>
      <c r="E152" s="2" t="inlineStr">
        <is>
          <t>4月</t>
        </is>
      </c>
      <c r="F152" s="68" t="n">
        <v>629550</v>
      </c>
      <c r="G152" s="68">
        <f>IF(B152="","",F152-I152 )</f>
        <v/>
      </c>
      <c r="H152" s="5">
        <f>IF(G152="","",G152/F152)</f>
        <v/>
      </c>
      <c r="I152" s="62">
        <f>SUM(テーブル9[[#This Row],[五大]:[工場材]])</f>
        <v/>
      </c>
      <c r="J152" s="65" t="n"/>
      <c r="K152" s="65" t="n"/>
      <c r="L152" s="65" t="n"/>
      <c r="M152" s="64">
        <f>495000/2</f>
        <v/>
      </c>
      <c r="N152" s="64" t="n"/>
      <c r="O152" s="65" t="n"/>
      <c r="P152" s="65" t="n"/>
      <c r="Q152" s="65" t="n"/>
      <c r="R152" s="65" t="n"/>
      <c r="S152" s="65" t="n"/>
      <c r="T152" s="65" t="n"/>
      <c r="U152" s="64" t="n"/>
      <c r="V152" s="64" t="n"/>
      <c r="W152" s="65" t="n"/>
      <c r="X152" s="66" t="n"/>
      <c r="Y152" s="65" t="n"/>
      <c r="Z152" s="64" t="n">
        <v>205000</v>
      </c>
      <c r="AA152" s="65" t="n"/>
      <c r="AB152" s="65" t="n"/>
      <c r="AC152" s="65" t="n"/>
      <c r="AD152" s="65" t="n"/>
      <c r="AE152" s="65" t="n"/>
      <c r="AF152" s="65" t="n"/>
      <c r="AG152" s="65" t="n"/>
      <c r="AH152" s="65" t="n"/>
      <c r="AI152" s="65" t="n"/>
      <c r="AJ152" s="65" t="n"/>
      <c r="AK152" s="65" t="n"/>
      <c r="AL152" s="65" t="n"/>
      <c r="AM152" s="65" t="n"/>
      <c r="AN152" s="65" t="n"/>
      <c r="AO152" s="65" t="n"/>
      <c r="AP152" s="65" t="n"/>
      <c r="AQ152" s="65" t="n"/>
      <c r="AR152" s="65" t="n"/>
      <c r="AS152" s="65" t="n"/>
      <c r="AT152" s="65" t="n"/>
      <c r="AU152" s="65" t="n"/>
      <c r="AV152" s="65" t="n"/>
      <c r="AW152" s="65" t="n"/>
      <c r="AX152" s="65" t="n"/>
      <c r="AY152" s="65" t="n"/>
      <c r="AZ152" s="65" t="n"/>
      <c r="BA152" s="65" t="n"/>
      <c r="BB152" s="65" t="n"/>
      <c r="BC152" s="65" t="n"/>
      <c r="BD152" s="65" t="n"/>
      <c r="BE152" s="65" t="n"/>
      <c r="BF152" s="65" t="n"/>
      <c r="BG152" s="64">
        <f>126325+8000</f>
        <v/>
      </c>
    </row>
    <row r="153">
      <c r="B153" s="1" t="inlineStr">
        <is>
          <t>アーバネストK</t>
        </is>
      </c>
      <c r="D153" s="1" t="inlineStr">
        <is>
          <t>足場+樋交換工事</t>
        </is>
      </c>
      <c r="E153" s="2" t="inlineStr">
        <is>
          <t>4月</t>
        </is>
      </c>
      <c r="F153" s="68" t="n">
        <v>633050</v>
      </c>
      <c r="G153" s="68">
        <f>IF(B153="","",F153-I153 )</f>
        <v/>
      </c>
      <c r="H153" s="5">
        <f>IF(G153="","",G153/F153)</f>
        <v/>
      </c>
      <c r="I153" s="62">
        <f>SUM(テーブル9[[#This Row],[五大]:[工場材]])</f>
        <v/>
      </c>
      <c r="J153" s="65" t="n"/>
      <c r="K153" s="65" t="n"/>
      <c r="L153" s="65" t="n"/>
      <c r="M153" s="64">
        <f>495000/2</f>
        <v/>
      </c>
      <c r="N153" s="64" t="n"/>
      <c r="O153" s="65" t="n"/>
      <c r="P153" s="65" t="n"/>
      <c r="Q153" s="65" t="n"/>
      <c r="R153" s="65" t="n"/>
      <c r="S153" s="65" t="n"/>
      <c r="T153" s="65" t="n"/>
      <c r="U153" s="64" t="n"/>
      <c r="V153" s="64" t="n"/>
      <c r="W153" s="65" t="n"/>
      <c r="X153" s="66" t="n"/>
      <c r="Y153" s="65" t="n"/>
      <c r="Z153" s="64" t="n">
        <v>205000</v>
      </c>
      <c r="AA153" s="65" t="n"/>
      <c r="AB153" s="65" t="n"/>
      <c r="AC153" s="65" t="n"/>
      <c r="AD153" s="65" t="n"/>
      <c r="AE153" s="65" t="n"/>
      <c r="AF153" s="65" t="n"/>
      <c r="AG153" s="65" t="n"/>
      <c r="AH153" s="65" t="n"/>
      <c r="AI153" s="65" t="n"/>
      <c r="AJ153" s="65" t="n"/>
      <c r="AK153" s="65" t="n"/>
      <c r="AL153" s="65" t="n"/>
      <c r="AM153" s="65" t="n"/>
      <c r="AN153" s="65" t="n"/>
      <c r="AO153" s="65" t="n"/>
      <c r="AP153" s="65" t="n"/>
      <c r="AQ153" s="65" t="n"/>
      <c r="AR153" s="65" t="n"/>
      <c r="AS153" s="65" t="n"/>
      <c r="AT153" s="65" t="n"/>
      <c r="AU153" s="65" t="n"/>
      <c r="AV153" s="65" t="n"/>
      <c r="AW153" s="65" t="n"/>
      <c r="AX153" s="65" t="n"/>
      <c r="AY153" s="65" t="n"/>
      <c r="AZ153" s="65" t="n"/>
      <c r="BA153" s="65" t="n"/>
      <c r="BB153" s="65" t="n"/>
      <c r="BC153" s="65" t="n"/>
      <c r="BD153" s="65" t="n"/>
      <c r="BE153" s="65" t="n"/>
      <c r="BF153" s="65" t="n"/>
      <c r="BG153" s="64">
        <f>126325+8000</f>
        <v/>
      </c>
    </row>
    <row r="154">
      <c r="B154" s="1" t="inlineStr">
        <is>
          <t>アーバネストKR</t>
        </is>
      </c>
      <c r="D154" s="1" t="inlineStr">
        <is>
          <t>物置塗装</t>
        </is>
      </c>
      <c r="E154" s="2" t="inlineStr">
        <is>
          <t>4月</t>
        </is>
      </c>
      <c r="F154" s="68" t="n">
        <v>66000</v>
      </c>
      <c r="G154" s="68">
        <f>IF(B154="","",F154-I154 )</f>
        <v/>
      </c>
      <c r="H154" s="5">
        <f>IF(G154="","",G154/F154)</f>
        <v/>
      </c>
      <c r="I154" s="62">
        <f>SUM(テーブル9[[#This Row],[五大]:[工場材]])</f>
        <v/>
      </c>
      <c r="J154" s="65" t="n"/>
      <c r="K154" s="65" t="n"/>
      <c r="L154" s="65" t="n"/>
      <c r="M154" s="65" t="n"/>
      <c r="N154" s="65" t="n"/>
      <c r="O154" s="65" t="n"/>
      <c r="P154" s="65" t="n"/>
      <c r="Q154" s="65" t="n"/>
      <c r="R154" s="65" t="n"/>
      <c r="S154" s="65" t="n"/>
      <c r="T154" s="65" t="n"/>
      <c r="U154" s="64" t="n"/>
      <c r="V154" s="64" t="n"/>
      <c r="W154" s="65" t="n"/>
      <c r="X154" s="66" t="n"/>
      <c r="Y154" s="65" t="n"/>
      <c r="Z154" s="65" t="n"/>
      <c r="AA154" s="65" t="n"/>
      <c r="AB154" s="65" t="n"/>
      <c r="AC154" s="65" t="n"/>
      <c r="AD154" s="65" t="n"/>
      <c r="AE154" s="65" t="n"/>
      <c r="AF154" s="65" t="n"/>
      <c r="AG154" s="65" t="n"/>
      <c r="AH154" s="65" t="n"/>
      <c r="AI154" s="65" t="n"/>
      <c r="AJ154" s="65" t="n"/>
      <c r="AK154" s="65" t="n"/>
      <c r="AL154" s="65" t="n"/>
      <c r="AM154" s="65" t="n"/>
      <c r="AN154" s="65" t="n"/>
      <c r="AO154" s="65" t="n"/>
      <c r="AP154" s="65" t="n"/>
      <c r="AQ154" s="65" t="n"/>
      <c r="AR154" s="65" t="n"/>
      <c r="AS154" s="65" t="n"/>
      <c r="AT154" s="65" t="n"/>
      <c r="AU154" s="65" t="n"/>
      <c r="AV154" s="65" t="n"/>
      <c r="AW154" s="65" t="n"/>
      <c r="AX154" s="65" t="n"/>
      <c r="AY154" s="65" t="n"/>
      <c r="AZ154" s="65" t="n"/>
      <c r="BA154" s="65" t="n"/>
      <c r="BB154" s="65" t="n"/>
      <c r="BC154" s="65" t="n"/>
      <c r="BD154" s="65" t="n"/>
      <c r="BE154" s="65" t="n"/>
      <c r="BF154" s="65" t="n"/>
      <c r="BG154" s="65" t="n"/>
    </row>
    <row r="155">
      <c r="B155" s="1" t="inlineStr">
        <is>
          <t>アーバネストKR</t>
        </is>
      </c>
      <c r="D155" s="1" t="inlineStr">
        <is>
          <t>雪止め設置</t>
        </is>
      </c>
      <c r="E155" s="2" t="inlineStr">
        <is>
          <t>4月</t>
        </is>
      </c>
      <c r="F155" s="68" t="n">
        <v>180000</v>
      </c>
      <c r="G155" s="68">
        <f>IF(B155="","",F155-I155 )</f>
        <v/>
      </c>
      <c r="H155" s="5">
        <f>IF(G155="","",G155/F155)</f>
        <v/>
      </c>
      <c r="I155" s="62">
        <f>SUM(テーブル9[[#This Row],[五大]:[工場材]])</f>
        <v/>
      </c>
      <c r="J155" s="65" t="n"/>
      <c r="K155" s="65" t="n"/>
      <c r="L155" s="65" t="n"/>
      <c r="M155" s="65" t="n"/>
      <c r="N155" s="65" t="n"/>
      <c r="O155" s="65" t="n"/>
      <c r="P155" s="65" t="n"/>
      <c r="Q155" s="65" t="n"/>
      <c r="R155" s="65" t="n"/>
      <c r="S155" s="65" t="n"/>
      <c r="T155" s="65" t="n"/>
      <c r="U155" s="64" t="n"/>
      <c r="V155" s="64" t="n"/>
      <c r="W155" s="65" t="n">
        <v>52000</v>
      </c>
      <c r="X155" s="66" t="n">
        <v>18860</v>
      </c>
      <c r="Y155" s="65" t="n"/>
      <c r="Z155" s="65" t="n"/>
      <c r="AA155" s="65" t="n"/>
      <c r="AB155" s="65" t="n"/>
      <c r="AC155" s="65" t="n"/>
      <c r="AD155" s="65" t="n"/>
      <c r="AE155" s="65" t="n"/>
      <c r="AF155" s="65" t="n"/>
      <c r="AG155" s="65" t="n"/>
      <c r="AH155" s="65" t="n"/>
      <c r="AI155" s="65" t="n"/>
      <c r="AJ155" s="65" t="n"/>
      <c r="AK155" s="65" t="n"/>
      <c r="AL155" s="65" t="n"/>
      <c r="AM155" s="65" t="n"/>
      <c r="AN155" s="65" t="n"/>
      <c r="AO155" s="65" t="n"/>
      <c r="AP155" s="65" t="n"/>
      <c r="AQ155" s="65" t="n"/>
      <c r="AR155" s="65" t="n"/>
      <c r="AS155" s="65" t="n"/>
      <c r="AT155" s="65" t="n"/>
      <c r="AU155" s="65" t="n"/>
      <c r="AV155" s="65" t="n"/>
      <c r="AW155" s="65" t="n"/>
      <c r="AX155" s="65" t="n"/>
      <c r="AY155" s="65" t="n"/>
      <c r="AZ155" s="64" t="n">
        <v>100000</v>
      </c>
      <c r="BA155" s="64" t="n"/>
      <c r="BB155" s="64" t="n"/>
      <c r="BC155" s="64" t="n"/>
      <c r="BD155" s="64" t="n"/>
      <c r="BE155" s="64" t="n"/>
      <c r="BF155" s="64" t="n"/>
      <c r="BG155" s="65" t="n"/>
      <c r="BH155" s="0" t="inlineStr">
        <is>
          <t>雪止め20台</t>
        </is>
      </c>
    </row>
    <row r="156">
      <c r="B156" s="22" t="inlineStr">
        <is>
          <t>合計</t>
        </is>
      </c>
      <c r="C156" s="22" t="n"/>
      <c r="F156" s="67">
        <f>SUBTOTAL(109,F148:F155)</f>
        <v/>
      </c>
      <c r="G156" s="67">
        <f>SUBTOTAL(109,G148:G155)</f>
        <v/>
      </c>
      <c r="H156" s="14">
        <f>IF(G156="","",G156/F156)</f>
        <v/>
      </c>
      <c r="I156" s="67">
        <f>SUBTOTAL(109,I148:I155)</f>
        <v/>
      </c>
      <c r="J156" s="65" t="n"/>
      <c r="K156" s="65" t="n"/>
      <c r="L156" s="65" t="n"/>
      <c r="M156" s="65" t="n"/>
      <c r="N156" s="65" t="n"/>
      <c r="O156" s="65" t="n"/>
      <c r="P156" s="65" t="n"/>
      <c r="Q156" s="65" t="n"/>
      <c r="R156" s="65" t="n"/>
      <c r="S156" s="65" t="n"/>
      <c r="T156" s="65" t="n"/>
      <c r="U156" s="64" t="n"/>
      <c r="V156" s="64" t="n"/>
      <c r="W156" s="65" t="n"/>
      <c r="X156" s="66" t="n"/>
      <c r="Y156" s="65" t="n"/>
      <c r="Z156" s="65" t="n"/>
      <c r="AA156" s="65" t="n"/>
      <c r="AB156" s="65" t="n"/>
      <c r="AC156" s="65" t="n"/>
      <c r="AD156" s="65" t="n"/>
      <c r="AE156" s="65" t="n"/>
      <c r="AF156" s="65" t="n"/>
      <c r="AG156" s="65" t="n"/>
      <c r="AH156" s="65" t="n"/>
      <c r="AI156" s="65" t="n"/>
      <c r="AJ156" s="65" t="n"/>
      <c r="AK156" s="65" t="n"/>
      <c r="AL156" s="65" t="n"/>
      <c r="AM156" s="65" t="n"/>
      <c r="AN156" s="65" t="n"/>
      <c r="AO156" s="65" t="n"/>
      <c r="AP156" s="65" t="n"/>
      <c r="AQ156" s="65" t="n"/>
      <c r="AR156" s="65" t="n"/>
      <c r="AS156" s="65" t="n"/>
      <c r="AT156" s="65" t="n"/>
      <c r="AU156" s="65" t="n"/>
      <c r="AV156" s="65" t="n"/>
      <c r="AW156" s="65" t="n"/>
      <c r="AX156" s="65" t="n"/>
      <c r="AY156" s="65" t="n"/>
      <c r="AZ156" s="65" t="n"/>
      <c r="BA156" s="65" t="n"/>
      <c r="BB156" s="65" t="n"/>
      <c r="BC156" s="65" t="n"/>
      <c r="BD156" s="65" t="n"/>
      <c r="BE156" s="65" t="n"/>
      <c r="BF156" s="65" t="n"/>
      <c r="BG156" s="65" t="n"/>
    </row>
    <row r="157">
      <c r="F157" s="68" t="n"/>
      <c r="G157" s="68">
        <f>IF(B157="","",F157-I157 )</f>
        <v/>
      </c>
      <c r="H157" s="5">
        <f>IF(G157="","",G157/F157)</f>
        <v/>
      </c>
      <c r="J157" s="65" t="n"/>
      <c r="K157" s="65" t="n"/>
      <c r="L157" s="65" t="n"/>
      <c r="M157" s="65" t="n"/>
      <c r="N157" s="65" t="n"/>
      <c r="O157" s="65" t="n"/>
      <c r="P157" s="65" t="n"/>
      <c r="Q157" s="65" t="n"/>
      <c r="R157" s="65" t="n"/>
      <c r="S157" s="64" t="n"/>
      <c r="T157" s="65" t="n"/>
      <c r="U157" s="64" t="n"/>
      <c r="V157" s="64" t="n"/>
      <c r="W157" s="65" t="n"/>
      <c r="X157" s="66" t="n"/>
      <c r="Y157" s="65" t="n"/>
      <c r="Z157" s="65" t="n"/>
      <c r="AA157" s="65" t="n"/>
      <c r="AB157" s="65" t="n"/>
      <c r="AC157" s="65" t="n"/>
      <c r="AD157" s="65" t="n"/>
      <c r="AE157" s="65" t="n"/>
      <c r="AF157" s="65" t="n"/>
      <c r="AG157" s="65" t="n"/>
      <c r="AH157" s="65" t="n"/>
      <c r="AI157" s="65" t="n"/>
      <c r="AJ157" s="65" t="n"/>
      <c r="AK157" s="65" t="n"/>
      <c r="AL157" s="65" t="n"/>
      <c r="AM157" s="65" t="n"/>
      <c r="AN157" s="65" t="n"/>
      <c r="AO157" s="65" t="n"/>
      <c r="AP157" s="65" t="n"/>
      <c r="AQ157" s="65" t="n"/>
      <c r="AR157" s="65" t="n"/>
      <c r="AS157" s="65" t="n"/>
      <c r="AT157" s="65" t="n"/>
      <c r="AU157" s="65" t="n"/>
      <c r="AV157" s="65" t="n"/>
      <c r="AW157" s="65" t="n"/>
      <c r="AX157" s="65" t="n"/>
      <c r="AY157" s="65" t="n"/>
      <c r="AZ157" s="65" t="n"/>
      <c r="BA157" s="65" t="n"/>
      <c r="BB157" s="65" t="n"/>
      <c r="BC157" s="65" t="n"/>
      <c r="BD157" s="65" t="n"/>
      <c r="BE157" s="65" t="n"/>
      <c r="BF157" s="65" t="n"/>
      <c r="BG157" s="65" t="n"/>
    </row>
    <row r="158">
      <c r="A158" s="0" t="inlineStr">
        <is>
          <t>R2.6</t>
        </is>
      </c>
      <c r="B158" s="1" t="inlineStr">
        <is>
          <t>アヴニール山鳥A</t>
        </is>
      </c>
      <c r="D158" s="1" t="inlineStr">
        <is>
          <t>塗装</t>
        </is>
      </c>
      <c r="E158" s="2" t="inlineStr">
        <is>
          <t>5月</t>
        </is>
      </c>
      <c r="F158" s="68" t="n">
        <v>1913500</v>
      </c>
      <c r="G158" s="68">
        <f>IF(B158="","",F158-I158 )</f>
        <v/>
      </c>
      <c r="H158" s="5">
        <f>IF(G158="","",G158/F158)</f>
        <v/>
      </c>
      <c r="I158" s="62">
        <f>SUM(テーブル9[[#This Row],[五大]:[工場材]])</f>
        <v/>
      </c>
      <c r="J158" s="65" t="n"/>
      <c r="K158" s="65" t="n"/>
      <c r="L158" s="65" t="n"/>
      <c r="M158" s="64" t="n">
        <v>280000</v>
      </c>
      <c r="N158" s="64" t="n"/>
      <c r="O158" s="64" t="n">
        <v>800000</v>
      </c>
      <c r="P158" s="65" t="n"/>
      <c r="Q158" s="65" t="n"/>
      <c r="R158" s="64" t="n">
        <v>64400</v>
      </c>
      <c r="S158" s="64" t="n">
        <v>35000</v>
      </c>
      <c r="T158" s="65" t="n"/>
      <c r="U158" s="64">
        <f>45900+42000+46200+8200+14700</f>
        <v/>
      </c>
      <c r="V158" s="64" t="n"/>
      <c r="W158" s="65" t="n"/>
      <c r="X158" s="66" t="n"/>
      <c r="Y158" s="65" t="n"/>
      <c r="Z158" s="65" t="n"/>
      <c r="AA158" s="64" t="n">
        <v>16000</v>
      </c>
      <c r="AB158" s="65" t="n"/>
      <c r="AC158" s="65" t="n"/>
      <c r="AD158" s="65" t="n"/>
      <c r="AE158" s="65" t="n"/>
      <c r="AF158" s="65" t="n"/>
      <c r="AG158" s="65" t="n"/>
      <c r="AH158" s="65" t="n"/>
      <c r="AI158" s="65" t="n"/>
      <c r="AJ158" s="65" t="n"/>
      <c r="AK158" s="65" t="n"/>
      <c r="AL158" s="65" t="n"/>
      <c r="AM158" s="64" t="n">
        <v>15000</v>
      </c>
      <c r="AN158" s="65" t="n"/>
      <c r="AO158" s="65" t="n"/>
      <c r="AP158" s="65" t="n"/>
      <c r="AQ158" s="65" t="n"/>
      <c r="AR158" s="65" t="n"/>
      <c r="AS158" s="65" t="n"/>
      <c r="AT158" s="65" t="n"/>
      <c r="AU158" s="65" t="n"/>
      <c r="AV158" s="65" t="n"/>
      <c r="AW158" s="65" t="n"/>
      <c r="AX158" s="65" t="n"/>
      <c r="AY158" s="65" t="n"/>
      <c r="AZ158" s="65" t="n"/>
      <c r="BA158" s="65" t="n"/>
      <c r="BB158" s="65" t="n"/>
      <c r="BC158" s="65" t="n"/>
      <c r="BD158" s="65" t="n"/>
      <c r="BE158" s="65" t="n"/>
      <c r="BF158" s="65" t="n"/>
      <c r="BG158" s="64">
        <f>19260*2</f>
        <v/>
      </c>
    </row>
    <row r="159">
      <c r="B159" s="1" t="inlineStr">
        <is>
          <t>ウイルクレールⅢ</t>
        </is>
      </c>
      <c r="D159" s="1" t="inlineStr">
        <is>
          <t>塗装+フェンス塗装</t>
        </is>
      </c>
      <c r="E159" s="2" t="inlineStr">
        <is>
          <t>5月</t>
        </is>
      </c>
      <c r="F159" s="68">
        <f>58000+1770000</f>
        <v/>
      </c>
      <c r="G159" s="68">
        <f>IF(B159="","",F159-I159 )</f>
        <v/>
      </c>
      <c r="H159" s="5">
        <f>IF(G159="","",G159/F159)</f>
        <v/>
      </c>
      <c r="I159" s="62">
        <f>SUM(テーブル9[[#This Row],[五大]:[工場材]])</f>
        <v/>
      </c>
      <c r="J159" s="65" t="n"/>
      <c r="K159" s="64" t="n">
        <v>247000</v>
      </c>
      <c r="L159" s="64" t="n"/>
      <c r="M159" s="65" t="n"/>
      <c r="N159" s="65" t="n"/>
      <c r="O159" s="65" t="n"/>
      <c r="P159" s="64" t="n">
        <v>800000</v>
      </c>
      <c r="Q159" s="65" t="n"/>
      <c r="R159" s="64">
        <f>51*700</f>
        <v/>
      </c>
      <c r="S159" s="64" t="n"/>
      <c r="T159" s="65" t="n"/>
      <c r="U159" s="64">
        <f>72000+42000</f>
        <v/>
      </c>
      <c r="V159" s="64" t="n"/>
      <c r="W159" s="65" t="n"/>
      <c r="X159" s="66" t="n"/>
      <c r="Y159" s="65" t="n"/>
      <c r="Z159" s="65" t="n"/>
      <c r="AA159" s="65" t="n"/>
      <c r="AB159" s="65" t="n"/>
      <c r="AC159" s="65" t="n"/>
      <c r="AD159" s="65" t="n"/>
      <c r="AE159" s="65" t="n"/>
      <c r="AF159" s="65" t="n"/>
      <c r="AG159" s="65" t="n"/>
      <c r="AH159" s="65" t="n"/>
      <c r="AI159" s="65" t="n"/>
      <c r="AJ159" s="65" t="n"/>
      <c r="AK159" s="65" t="n"/>
      <c r="AL159" s="65" t="n"/>
      <c r="AM159" s="64" t="n">
        <v>15000</v>
      </c>
      <c r="AN159" s="65" t="n"/>
      <c r="AO159" s="65" t="n"/>
      <c r="AP159" s="65" t="n"/>
      <c r="AQ159" s="65" t="n"/>
      <c r="AR159" s="65" t="n"/>
      <c r="AS159" s="65" t="n"/>
      <c r="AT159" s="65" t="n"/>
      <c r="AU159" s="65" t="n"/>
      <c r="AV159" s="65" t="n"/>
      <c r="AW159" s="65" t="n"/>
      <c r="AX159" s="65" t="n"/>
      <c r="AY159" s="65" t="n"/>
      <c r="AZ159" s="65" t="n"/>
      <c r="BA159" s="65" t="n"/>
      <c r="BB159" s="65" t="n"/>
      <c r="BC159" s="65" t="n"/>
      <c r="BD159" s="65" t="n"/>
      <c r="BE159" s="65" t="n"/>
      <c r="BF159" s="65" t="n"/>
      <c r="BG159" s="65" t="n"/>
    </row>
    <row r="160">
      <c r="B160" s="1" t="inlineStr">
        <is>
          <t>寺岡 及川邸</t>
        </is>
      </c>
      <c r="D160" s="1" t="inlineStr">
        <is>
          <t>外壁交換</t>
        </is>
      </c>
      <c r="E160" s="2" t="inlineStr">
        <is>
          <t>5月</t>
        </is>
      </c>
      <c r="F160" s="68" t="n">
        <v>208000</v>
      </c>
      <c r="G160" s="68">
        <f>IF(B160="","",F160-I160 )</f>
        <v/>
      </c>
      <c r="H160" s="5">
        <f>IF(G160="","",G160/F160)</f>
        <v/>
      </c>
      <c r="I160" s="62">
        <f>SUM(テーブル9[[#This Row],[五大]:[工場材]])</f>
        <v/>
      </c>
      <c r="J160" s="64" t="n">
        <v>45000</v>
      </c>
      <c r="K160" s="65" t="n"/>
      <c r="L160" s="65" t="n"/>
      <c r="M160" s="65" t="n"/>
      <c r="N160" s="65" t="n"/>
      <c r="O160" s="64" t="n">
        <v>50000</v>
      </c>
      <c r="P160" s="64" t="n"/>
      <c r="Q160" s="65" t="n"/>
      <c r="R160" s="64" t="n"/>
      <c r="S160" s="64" t="n"/>
      <c r="T160" s="65" t="n"/>
      <c r="U160" s="64" t="n"/>
      <c r="V160" s="64" t="n"/>
      <c r="W160" s="65" t="n"/>
      <c r="X160" s="66" t="n"/>
      <c r="Y160" s="65" t="n"/>
      <c r="Z160" s="64" t="n">
        <v>50000</v>
      </c>
      <c r="AA160" s="64" t="n">
        <v>8000</v>
      </c>
      <c r="AB160" s="65" t="n"/>
      <c r="AC160" s="65" t="n"/>
      <c r="AD160" s="65" t="n"/>
      <c r="AE160" s="65" t="n"/>
      <c r="AF160" s="65" t="n"/>
      <c r="AG160" s="65" t="n"/>
      <c r="AH160" s="65" t="n"/>
      <c r="AI160" s="65" t="n"/>
      <c r="AJ160" s="65" t="n"/>
      <c r="AK160" s="65" t="n"/>
      <c r="AL160" s="65" t="n"/>
      <c r="AM160" s="64" t="n"/>
      <c r="AN160" s="65" t="n"/>
      <c r="AO160" s="65" t="n"/>
      <c r="AP160" s="65" t="n"/>
      <c r="AQ160" s="65" t="n"/>
      <c r="AR160" s="65" t="n"/>
      <c r="AS160" s="65" t="n"/>
      <c r="AT160" s="65" t="n"/>
      <c r="AU160" s="65" t="n"/>
      <c r="AV160" s="65" t="n"/>
      <c r="AW160" s="65" t="n"/>
      <c r="AX160" s="65" t="n"/>
      <c r="AY160" s="65" t="n"/>
      <c r="AZ160" s="65" t="n"/>
      <c r="BA160" s="65" t="n"/>
      <c r="BB160" s="65" t="n"/>
      <c r="BC160" s="65" t="n"/>
      <c r="BD160" s="65" t="n"/>
      <c r="BE160" s="65" t="n"/>
      <c r="BF160" s="65" t="n"/>
      <c r="BG160" s="65" t="n"/>
    </row>
    <row r="161">
      <c r="B161" s="1" t="inlineStr">
        <is>
          <t>河西邸</t>
        </is>
      </c>
      <c r="D161" s="1" t="inlineStr">
        <is>
          <t>物置新設</t>
        </is>
      </c>
      <c r="E161" s="2" t="inlineStr">
        <is>
          <t>5月</t>
        </is>
      </c>
      <c r="F161" s="68" t="n">
        <v>1070000</v>
      </c>
      <c r="G161" s="68">
        <f>IF(B161="","",F161-I161 )</f>
        <v/>
      </c>
      <c r="H161" s="5">
        <f>IF(G161="","",G161/F161)</f>
        <v/>
      </c>
      <c r="I161" s="62">
        <f>SUM(テーブル9[[#This Row],[五大]:[工場材]])</f>
        <v/>
      </c>
      <c r="J161" s="65" t="n"/>
      <c r="K161" s="65" t="n"/>
      <c r="L161" s="65" t="n"/>
      <c r="M161" s="65" t="n"/>
      <c r="N161" s="65" t="n"/>
      <c r="O161" s="65" t="n"/>
      <c r="P161" s="64" t="n"/>
      <c r="Q161" s="65" t="n"/>
      <c r="R161" s="65" t="n"/>
      <c r="S161" s="64" t="n"/>
      <c r="T161" s="65" t="n"/>
      <c r="U161" s="64" t="n"/>
      <c r="V161" s="64" t="n"/>
      <c r="W161" s="64" t="n">
        <v>100000</v>
      </c>
      <c r="X161" s="66" t="n"/>
      <c r="Y161" s="65" t="n"/>
      <c r="Z161" s="65" t="n"/>
      <c r="AA161" s="64" t="n">
        <v>60000</v>
      </c>
      <c r="AB161" s="65" t="n"/>
      <c r="AC161" s="65" t="n"/>
      <c r="AD161" s="65" t="n"/>
      <c r="AE161" s="64">
        <f>557100+35000</f>
        <v/>
      </c>
      <c r="AF161" s="64" t="n"/>
      <c r="AG161" s="64" t="n"/>
      <c r="AH161" s="65" t="n"/>
      <c r="AI161" s="65" t="n"/>
      <c r="AJ161" s="65" t="n"/>
      <c r="AK161" s="65" t="n"/>
      <c r="AL161" s="65" t="n"/>
      <c r="AM161" s="65" t="n"/>
      <c r="AN161" s="65" t="n"/>
      <c r="AO161" s="65" t="n"/>
      <c r="AP161" s="65" t="n"/>
      <c r="AQ161" s="65" t="n"/>
      <c r="AR161" s="65" t="n"/>
      <c r="AS161" s="65" t="n"/>
      <c r="AT161" s="65" t="n"/>
      <c r="AU161" s="65" t="n"/>
      <c r="AV161" s="65" t="n"/>
      <c r="AW161" s="65" t="n"/>
      <c r="AX161" s="65" t="n"/>
      <c r="AY161" s="65" t="n"/>
      <c r="AZ161" s="65">
        <f>20000+25000</f>
        <v/>
      </c>
      <c r="BA161" s="65" t="n"/>
      <c r="BB161" s="65" t="n"/>
      <c r="BC161" s="65" t="n"/>
      <c r="BD161" s="65" t="n"/>
      <c r="BE161" s="65" t="n"/>
      <c r="BF161" s="65" t="n"/>
      <c r="BG161" s="65" t="n"/>
    </row>
    <row r="162">
      <c r="B162" s="1" t="inlineStr">
        <is>
          <t>上杉 大高邸</t>
        </is>
      </c>
      <c r="D162" s="1" t="inlineStr">
        <is>
          <t>トイレ・レンジフード交換</t>
        </is>
      </c>
      <c r="E162" s="2" t="inlineStr">
        <is>
          <t>5月</t>
        </is>
      </c>
      <c r="F162" s="68">
        <f>272727+120000</f>
        <v/>
      </c>
      <c r="G162" s="68">
        <f>IF(B162="","",F162-I162 )</f>
        <v/>
      </c>
      <c r="H162" s="5">
        <f>IF(G162="","",G162/F162)</f>
        <v/>
      </c>
      <c r="I162" s="62">
        <f>SUM(テーブル9[[#This Row],[五大]:[工場材]])</f>
        <v/>
      </c>
      <c r="J162" s="65" t="n"/>
      <c r="K162" s="65" t="n"/>
      <c r="L162" s="65" t="n"/>
      <c r="M162" s="65" t="n"/>
      <c r="N162" s="65" t="n"/>
      <c r="O162" s="65" t="n"/>
      <c r="P162" s="64" t="n"/>
      <c r="Q162" s="65" t="n"/>
      <c r="R162" s="65" t="n"/>
      <c r="S162" s="64" t="n"/>
      <c r="T162" s="65" t="n"/>
      <c r="U162" s="64" t="n"/>
      <c r="V162" s="64" t="n"/>
      <c r="W162" s="64" t="n">
        <v>40000</v>
      </c>
      <c r="X162" s="66" t="n"/>
      <c r="Y162" s="65" t="n"/>
      <c r="Z162" s="65" t="n"/>
      <c r="AA162" s="64" t="n">
        <v>120000</v>
      </c>
      <c r="AB162" s="65" t="n"/>
      <c r="AC162" s="64" t="n">
        <v>20000</v>
      </c>
      <c r="AD162" s="64" t="n"/>
      <c r="AE162" s="65" t="n"/>
      <c r="AF162" s="65" t="n"/>
      <c r="AG162" s="65" t="n"/>
      <c r="AH162" s="65" t="n"/>
      <c r="AI162" s="65" t="n">
        <v>25000</v>
      </c>
      <c r="AJ162" s="65" t="n"/>
      <c r="AK162" s="65" t="n"/>
      <c r="AL162" s="65" t="n"/>
      <c r="AM162" s="65" t="n"/>
      <c r="AN162" s="65" t="n"/>
      <c r="AO162" s="64">
        <f>20634+22306+33978+1913+1665+1320</f>
        <v/>
      </c>
      <c r="AP162" s="64" t="n"/>
      <c r="AQ162" s="64" t="n"/>
      <c r="AR162" s="64" t="n"/>
      <c r="AS162" s="64" t="n"/>
      <c r="AT162" s="64" t="n"/>
      <c r="AU162" s="65" t="n"/>
      <c r="AV162" s="65" t="n"/>
      <c r="AW162" s="65" t="n"/>
      <c r="AX162" s="65" t="n"/>
      <c r="AY162" s="65" t="n"/>
      <c r="AZ162" s="65" t="n"/>
      <c r="BA162" s="65" t="n"/>
      <c r="BB162" s="65" t="n"/>
      <c r="BC162" s="65" t="n"/>
      <c r="BD162" s="65" t="n"/>
      <c r="BE162" s="65" t="n"/>
      <c r="BF162" s="65" t="n"/>
      <c r="BG162" s="65" t="n"/>
    </row>
    <row r="163">
      <c r="B163" s="1" t="inlineStr">
        <is>
          <t>ファイン杉山通　AB</t>
        </is>
      </c>
      <c r="D163" s="1" t="inlineStr">
        <is>
          <t>洗浄・基礎塗装・照明・アスロック</t>
        </is>
      </c>
      <c r="E163" s="2" t="inlineStr">
        <is>
          <t>5月</t>
        </is>
      </c>
      <c r="F163" s="68" t="n">
        <v>455000</v>
      </c>
      <c r="G163" s="68">
        <f>IF(B163="","",F163-I163 )</f>
        <v/>
      </c>
      <c r="H163" s="5">
        <f>IF(G163="","",G163/F163)</f>
        <v/>
      </c>
      <c r="I163" s="62">
        <f>SUM(テーブル9[[#This Row],[五大]:[工場材]])</f>
        <v/>
      </c>
      <c r="J163" s="65" t="n"/>
      <c r="K163" s="65" t="n"/>
      <c r="L163" s="65" t="n"/>
      <c r="M163" s="65" t="n"/>
      <c r="N163" s="65" t="n"/>
      <c r="O163" s="65" t="n"/>
      <c r="P163" s="64" t="n">
        <v>72000</v>
      </c>
      <c r="Q163" s="65" t="n"/>
      <c r="R163" s="64" t="n">
        <v>12600</v>
      </c>
      <c r="S163" s="64" t="n"/>
      <c r="T163" s="65" t="n"/>
      <c r="U163" s="64" t="n">
        <v>7400</v>
      </c>
      <c r="V163" s="64" t="n"/>
      <c r="W163" s="65" t="n"/>
      <c r="X163" s="66" t="n"/>
      <c r="Y163" s="65" t="n"/>
      <c r="Z163" s="65" t="n"/>
      <c r="AA163" s="64" t="n">
        <v>92000</v>
      </c>
      <c r="AB163" s="65" t="n"/>
      <c r="AC163" s="64" t="n"/>
      <c r="AD163" s="64" t="n"/>
      <c r="AE163" s="65" t="n"/>
      <c r="AF163" s="65" t="n"/>
      <c r="AG163" s="65" t="n"/>
      <c r="AH163" s="65" t="n"/>
      <c r="AI163" s="65" t="n"/>
      <c r="AJ163" s="65" t="n"/>
      <c r="AK163" s="65" t="n"/>
      <c r="AL163" s="65" t="n"/>
      <c r="AM163" s="65" t="n"/>
      <c r="AN163" s="65" t="n"/>
      <c r="AO163" s="65" t="n"/>
      <c r="AP163" s="65" t="n"/>
      <c r="AQ163" s="65" t="n"/>
      <c r="AR163" s="65" t="n"/>
      <c r="AS163" s="65" t="n"/>
      <c r="AT163" s="65" t="n"/>
      <c r="AU163" s="65" t="n"/>
      <c r="AV163" s="65" t="n"/>
      <c r="AW163" s="65" t="n"/>
      <c r="AX163" s="65" t="n"/>
      <c r="AY163" s="65" t="n"/>
      <c r="AZ163" s="65" t="n"/>
      <c r="BA163" s="65" t="n"/>
      <c r="BB163" s="65" t="n"/>
      <c r="BC163" s="65" t="n"/>
      <c r="BD163" s="65" t="n"/>
      <c r="BE163" s="65" t="n"/>
      <c r="BF163" s="65" t="n"/>
      <c r="BG163" s="64" t="n">
        <v>32000</v>
      </c>
    </row>
    <row r="164">
      <c r="B164" s="1" t="inlineStr">
        <is>
          <t>早坂内科クリニック</t>
        </is>
      </c>
      <c r="D164" s="1" t="inlineStr">
        <is>
          <t>トイレ→SK</t>
        </is>
      </c>
      <c r="E164" s="2" t="inlineStr">
        <is>
          <t>5月</t>
        </is>
      </c>
      <c r="F164" s="68" t="n">
        <v>220000</v>
      </c>
      <c r="G164" s="68">
        <f>IF(B164="","",F164-I164 )</f>
        <v/>
      </c>
      <c r="H164" s="5">
        <f>IF(G164="","",G164/F164)</f>
        <v/>
      </c>
      <c r="I164" s="62">
        <f>SUM(テーブル9[[#This Row],[五大]:[工場材]])</f>
        <v/>
      </c>
      <c r="J164" s="65" t="n"/>
      <c r="K164" s="65" t="n"/>
      <c r="L164" s="65" t="n"/>
      <c r="M164" s="65" t="n"/>
      <c r="N164" s="65" t="n"/>
      <c r="O164" s="65" t="n"/>
      <c r="P164" s="65" t="n"/>
      <c r="Q164" s="65" t="n"/>
      <c r="R164" s="65" t="n"/>
      <c r="S164" s="64" t="n"/>
      <c r="T164" s="65" t="n"/>
      <c r="U164" s="64" t="n"/>
      <c r="V164" s="64" t="n"/>
      <c r="W164" s="64">
        <f>32000+16596</f>
        <v/>
      </c>
      <c r="X164" s="66" t="n"/>
      <c r="Y164" s="65" t="n"/>
      <c r="Z164" s="65" t="n"/>
      <c r="AA164" s="65" t="n"/>
      <c r="AB164" s="64" t="n">
        <v>90000</v>
      </c>
      <c r="AC164" s="64" t="n"/>
      <c r="AD164" s="64" t="n"/>
      <c r="AE164" s="65" t="n"/>
      <c r="AF164" s="65" t="n"/>
      <c r="AG164" s="65" t="n"/>
      <c r="AH164" s="65" t="n"/>
      <c r="AI164" s="65" t="n"/>
      <c r="AJ164" s="65" t="n"/>
      <c r="AK164" s="65" t="n"/>
      <c r="AL164" s="65" t="n"/>
      <c r="AM164" s="65" t="n"/>
      <c r="AN164" s="65" t="n"/>
      <c r="AO164" s="65" t="n"/>
      <c r="AP164" s="65" t="n"/>
      <c r="AQ164" s="65" t="n"/>
      <c r="AR164" s="65" t="n"/>
      <c r="AS164" s="65" t="n"/>
      <c r="AT164" s="65" t="n"/>
      <c r="AU164" s="65" t="n"/>
      <c r="AV164" s="65" t="n"/>
      <c r="AW164" s="65" t="n"/>
      <c r="AX164" s="65" t="n"/>
      <c r="AY164" s="65" t="n"/>
      <c r="AZ164" s="65" t="n"/>
      <c r="BA164" s="65" t="n"/>
      <c r="BB164" s="65" t="n"/>
      <c r="BC164" s="65" t="n"/>
      <c r="BD164" s="65" t="n"/>
      <c r="BE164" s="65" t="n"/>
      <c r="BF164" s="65" t="n"/>
      <c r="BG164" s="65" t="n"/>
    </row>
    <row r="165">
      <c r="B165" s="1" t="inlineStr">
        <is>
          <t>ネオパレス台原308</t>
        </is>
      </c>
      <c r="D165" s="1" t="inlineStr">
        <is>
          <t>漏水対応</t>
        </is>
      </c>
      <c r="E165" s="2" t="inlineStr">
        <is>
          <t>5月</t>
        </is>
      </c>
      <c r="F165" s="68" t="n">
        <v>97000</v>
      </c>
      <c r="G165" s="68">
        <f>IF(B165="","",F165-I165 )</f>
        <v/>
      </c>
      <c r="H165" s="5">
        <f>IF(G165="","",G165/F165)</f>
        <v/>
      </c>
      <c r="I165" s="62">
        <f>SUM(テーブル9[[#This Row],[五大]:[工場材]])</f>
        <v/>
      </c>
      <c r="J165" s="65" t="n"/>
      <c r="K165" s="65" t="n"/>
      <c r="L165" s="65" t="n"/>
      <c r="M165" s="65" t="n"/>
      <c r="N165" s="65" t="n"/>
      <c r="O165" s="65" t="n"/>
      <c r="P165" s="65" t="n"/>
      <c r="Q165" s="65" t="n"/>
      <c r="R165" s="65" t="n"/>
      <c r="S165" s="64" t="n"/>
      <c r="T165" s="65" t="n"/>
      <c r="U165" s="64" t="n"/>
      <c r="V165" s="64" t="n"/>
      <c r="W165" s="64" t="n">
        <v>18000</v>
      </c>
      <c r="X165" s="66" t="n"/>
      <c r="Y165" s="65" t="n"/>
      <c r="Z165" s="65" t="n"/>
      <c r="AA165" s="65" t="n"/>
      <c r="AB165" s="65" t="n"/>
      <c r="AC165" s="64" t="n">
        <v>25000</v>
      </c>
      <c r="AD165" s="64" t="n"/>
      <c r="AE165" s="65" t="n"/>
      <c r="AF165" s="65" t="n"/>
      <c r="AG165" s="65" t="n"/>
      <c r="AH165" s="65" t="n"/>
      <c r="AI165" s="65" t="n"/>
      <c r="AJ165" s="65" t="n"/>
      <c r="AK165" s="65" t="n"/>
      <c r="AL165" s="65" t="n"/>
      <c r="AM165" s="65" t="n"/>
      <c r="AN165" s="65" t="n"/>
      <c r="AO165" s="65" t="n"/>
      <c r="AP165" s="65" t="n"/>
      <c r="AQ165" s="65" t="n"/>
      <c r="AR165" s="65" t="n"/>
      <c r="AS165" s="65" t="n"/>
      <c r="AT165" s="65" t="n"/>
      <c r="AU165" s="65" t="n"/>
      <c r="AV165" s="65" t="n"/>
      <c r="AW165" s="65" t="n"/>
      <c r="AX165" s="65" t="n"/>
      <c r="AY165" s="65" t="n"/>
      <c r="AZ165" s="65" t="n"/>
      <c r="BA165" s="65" t="n"/>
      <c r="BB165" s="65" t="n"/>
      <c r="BC165" s="65" t="n"/>
      <c r="BD165" s="65" t="n"/>
      <c r="BE165" s="65" t="n"/>
      <c r="BF165" s="65" t="n"/>
      <c r="BG165" s="65" t="n"/>
    </row>
    <row r="166">
      <c r="B166" s="1" t="inlineStr">
        <is>
          <t>荒巻　中山邸</t>
        </is>
      </c>
      <c r="D166" s="1" t="inlineStr">
        <is>
          <t>LIXIL UB改修</t>
        </is>
      </c>
      <c r="E166" s="2" t="inlineStr">
        <is>
          <t>5月</t>
        </is>
      </c>
      <c r="F166" s="68" t="n">
        <v>439600</v>
      </c>
      <c r="G166" s="68">
        <f>IF(B166="","",F166-I166 )</f>
        <v/>
      </c>
      <c r="H166" s="5">
        <f>IF(G166="","",G166/F166)</f>
        <v/>
      </c>
      <c r="I166" s="62">
        <f>SUM(テーブル9[[#This Row],[五大]:[工場材]])</f>
        <v/>
      </c>
      <c r="J166" s="65" t="n"/>
      <c r="K166" s="65" t="n"/>
      <c r="L166" s="65" t="n"/>
      <c r="M166" s="65" t="n"/>
      <c r="N166" s="65" t="n"/>
      <c r="O166" s="65" t="n"/>
      <c r="P166" s="65" t="n"/>
      <c r="Q166" s="65" t="n"/>
      <c r="R166" s="65" t="n"/>
      <c r="S166" s="64" t="n"/>
      <c r="T166" s="65" t="n"/>
      <c r="U166" s="64" t="n"/>
      <c r="V166" s="64" t="n"/>
      <c r="W166" s="64" t="n">
        <v>150000</v>
      </c>
      <c r="X166" s="66" t="n"/>
      <c r="Y166" s="65" t="n"/>
      <c r="Z166" s="65" t="n"/>
      <c r="AA166" s="64" t="n">
        <v>35000</v>
      </c>
      <c r="AB166" s="65" t="n"/>
      <c r="AC166" s="64" t="n">
        <v>115500</v>
      </c>
      <c r="AD166" s="64" t="n"/>
      <c r="AE166" s="65" t="n"/>
      <c r="AF166" s="65" t="n"/>
      <c r="AG166" s="65" t="n"/>
      <c r="AH166" s="65" t="n"/>
      <c r="AI166" s="65" t="n">
        <v>40000</v>
      </c>
      <c r="AJ166" s="65" t="n"/>
      <c r="AK166" s="65" t="n"/>
      <c r="AL166" s="65" t="n"/>
      <c r="AM166" s="65" t="n"/>
      <c r="AN166" s="65" t="n"/>
      <c r="AO166" s="65" t="n"/>
      <c r="AP166" s="65" t="n"/>
      <c r="AQ166" s="65" t="n"/>
      <c r="AR166" s="65" t="n"/>
      <c r="AS166" s="65" t="n"/>
      <c r="AT166" s="65" t="n"/>
      <c r="AU166" s="65" t="n"/>
      <c r="AV166" s="65" t="n"/>
      <c r="AW166" s="65" t="n"/>
      <c r="AX166" s="65" t="n"/>
      <c r="AY166" s="65" t="n"/>
      <c r="AZ166" s="65">
        <f>12000*1.5</f>
        <v/>
      </c>
      <c r="BA166" s="65" t="n"/>
      <c r="BB166" s="65" t="n"/>
      <c r="BC166" s="65" t="n"/>
      <c r="BD166" s="65" t="n"/>
      <c r="BE166" s="65" t="n"/>
      <c r="BF166" s="65" t="n"/>
      <c r="BG166" s="65" t="n"/>
    </row>
    <row r="167">
      <c r="B167" s="22" t="inlineStr">
        <is>
          <t>合計</t>
        </is>
      </c>
      <c r="C167" s="22" t="n"/>
      <c r="F167" s="67">
        <f>SUBTOTAL(109,F158:F166)</f>
        <v/>
      </c>
      <c r="G167" s="67">
        <f>SUBTOTAL(109,G158:G166)</f>
        <v/>
      </c>
      <c r="H167" s="14">
        <f>IF(G167="","",G167/F167)</f>
        <v/>
      </c>
      <c r="I167" s="67">
        <f>SUBTOTAL(109,I158:I166)</f>
        <v/>
      </c>
      <c r="J167" s="65" t="n"/>
      <c r="K167" s="65" t="n"/>
      <c r="L167" s="65" t="n"/>
      <c r="M167" s="65" t="n"/>
      <c r="N167" s="65" t="n"/>
      <c r="O167" s="65" t="n"/>
      <c r="P167" s="65" t="n"/>
      <c r="Q167" s="65" t="n"/>
      <c r="R167" s="65" t="n"/>
      <c r="S167" s="64" t="n"/>
      <c r="T167" s="65" t="n"/>
      <c r="U167" s="64" t="n"/>
      <c r="V167" s="64" t="n"/>
      <c r="W167" s="65" t="n"/>
      <c r="X167" s="66" t="n"/>
      <c r="Y167" s="65" t="n"/>
      <c r="Z167" s="65" t="n"/>
      <c r="AA167" s="65" t="n"/>
      <c r="AB167" s="65" t="n"/>
      <c r="AC167" s="65" t="n"/>
      <c r="AD167" s="65" t="n"/>
      <c r="AE167" s="65" t="n"/>
      <c r="AF167" s="65" t="n"/>
      <c r="AG167" s="65" t="n"/>
      <c r="AH167" s="65" t="n"/>
      <c r="AI167" s="65" t="n"/>
      <c r="AJ167" s="65" t="n"/>
      <c r="AK167" s="65" t="n"/>
      <c r="AL167" s="65" t="n"/>
      <c r="AM167" s="65" t="n"/>
      <c r="AN167" s="65" t="n"/>
      <c r="AO167" s="65" t="n"/>
      <c r="AP167" s="65" t="n"/>
      <c r="AQ167" s="65" t="n"/>
      <c r="AR167" s="65" t="n"/>
      <c r="AS167" s="65" t="n"/>
      <c r="AT167" s="65" t="n"/>
      <c r="AU167" s="65" t="n"/>
      <c r="AV167" s="65" t="n"/>
      <c r="AW167" s="65" t="n"/>
      <c r="AX167" s="65" t="n"/>
      <c r="AY167" s="65" t="n"/>
      <c r="AZ167" s="65" t="n"/>
      <c r="BA167" s="65" t="n"/>
      <c r="BB167" s="65" t="n"/>
      <c r="BC167" s="65" t="n"/>
      <c r="BD167" s="65" t="n"/>
      <c r="BE167" s="65" t="n"/>
      <c r="BF167" s="65" t="n"/>
      <c r="BG167" s="65" t="n"/>
    </row>
    <row r="168">
      <c r="F168" s="68" t="n"/>
      <c r="G168" s="68" t="n"/>
      <c r="H168" s="5" t="n"/>
      <c r="J168" s="65" t="n"/>
      <c r="K168" s="65" t="n"/>
      <c r="L168" s="65" t="n"/>
      <c r="M168" s="65" t="n"/>
      <c r="N168" s="65" t="n"/>
      <c r="O168" s="65" t="n"/>
      <c r="P168" s="65" t="n"/>
      <c r="Q168" s="65" t="n"/>
      <c r="R168" s="65" t="n"/>
      <c r="S168" s="64" t="n"/>
      <c r="T168" s="65" t="n"/>
      <c r="U168" s="64" t="n"/>
      <c r="V168" s="64" t="n"/>
      <c r="W168" s="65" t="n"/>
      <c r="X168" s="66" t="n"/>
      <c r="Y168" s="65" t="n"/>
      <c r="Z168" s="65" t="n"/>
      <c r="AA168" s="65" t="n"/>
      <c r="AB168" s="65" t="n"/>
      <c r="AC168" s="65" t="n"/>
      <c r="AD168" s="65" t="n"/>
      <c r="AE168" s="65" t="n"/>
      <c r="AF168" s="65" t="n"/>
      <c r="AG168" s="65" t="n"/>
      <c r="AH168" s="65" t="n"/>
      <c r="AI168" s="65" t="n"/>
      <c r="AJ168" s="65" t="n"/>
      <c r="AK168" s="65" t="n"/>
      <c r="AL168" s="65" t="n"/>
      <c r="AM168" s="65" t="n"/>
      <c r="AN168" s="65" t="n"/>
      <c r="AO168" s="65" t="n"/>
      <c r="AP168" s="65" t="n"/>
      <c r="AQ168" s="65" t="n"/>
      <c r="AR168" s="65" t="n"/>
      <c r="AS168" s="65" t="n"/>
      <c r="AT168" s="65" t="n"/>
      <c r="AU168" s="65" t="n"/>
      <c r="AV168" s="65" t="n"/>
      <c r="AW168" s="65" t="n"/>
      <c r="AX168" s="65" t="n"/>
      <c r="AY168" s="65" t="n"/>
      <c r="AZ168" s="65" t="n"/>
      <c r="BA168" s="65" t="n"/>
      <c r="BB168" s="65" t="n"/>
      <c r="BC168" s="65" t="n"/>
      <c r="BD168" s="65" t="n"/>
      <c r="BE168" s="65" t="n"/>
      <c r="BF168" s="65" t="n"/>
      <c r="BG168" s="65" t="n"/>
    </row>
    <row r="169">
      <c r="A169" s="0" t="inlineStr">
        <is>
          <t>R2.7</t>
        </is>
      </c>
      <c r="B169" s="1" t="inlineStr">
        <is>
          <t>七ヶ浜　斎藤邸</t>
        </is>
      </c>
      <c r="D169" s="1" t="inlineStr">
        <is>
          <t>LIXIL　キッチン入替</t>
        </is>
      </c>
      <c r="E169" s="2" t="inlineStr">
        <is>
          <t>6月</t>
        </is>
      </c>
      <c r="F169" s="68" t="n">
        <v>310000</v>
      </c>
      <c r="G169" s="68">
        <f>IF(B169="","",F169-I169 )</f>
        <v/>
      </c>
      <c r="H169" s="5">
        <f>IF(G169="","",G169/F169)</f>
        <v/>
      </c>
      <c r="I169" s="62">
        <f>SUM(テーブル9[[#This Row],[五大]:[工場材]])</f>
        <v/>
      </c>
      <c r="J169" s="65" t="n"/>
      <c r="K169" s="65" t="n"/>
      <c r="L169" s="65" t="n"/>
      <c r="M169" s="65" t="n"/>
      <c r="N169" s="65" t="n"/>
      <c r="O169" s="65" t="n"/>
      <c r="P169" s="65" t="n"/>
      <c r="Q169" s="65" t="n"/>
      <c r="R169" s="65" t="n"/>
      <c r="S169" s="64" t="n"/>
      <c r="T169" s="65" t="n"/>
      <c r="U169" s="64" t="n"/>
      <c r="V169" s="64" t="n"/>
      <c r="W169" s="64" t="n">
        <v>110000</v>
      </c>
      <c r="X169" s="66" t="n"/>
      <c r="Y169" s="65" t="n"/>
      <c r="Z169" s="65" t="n"/>
      <c r="AA169" s="64" t="n">
        <v>30000</v>
      </c>
      <c r="AB169" s="64" t="n">
        <v>70000</v>
      </c>
      <c r="AC169" s="65" t="n"/>
      <c r="AD169" s="65" t="n"/>
      <c r="AE169" s="65" t="n"/>
      <c r="AF169" s="65" t="n"/>
      <c r="AG169" s="65" t="n"/>
      <c r="AH169" s="65" t="n"/>
      <c r="AI169" s="65" t="n"/>
      <c r="AJ169" s="65" t="n"/>
      <c r="AK169" s="65" t="n"/>
      <c r="AL169" s="65" t="n"/>
      <c r="AM169" s="65" t="n"/>
      <c r="AN169" s="65" t="n"/>
      <c r="AO169" s="65" t="n"/>
      <c r="AP169" s="65" t="n"/>
      <c r="AQ169" s="65" t="n"/>
      <c r="AR169" s="65" t="n"/>
      <c r="AS169" s="65" t="n"/>
      <c r="AT169" s="65" t="n"/>
      <c r="AU169" s="65" t="n"/>
      <c r="AV169" s="65" t="n"/>
      <c r="AW169" s="65" t="n"/>
      <c r="AX169" s="65" t="n"/>
      <c r="AY169" s="65" t="n"/>
      <c r="AZ169" s="65" t="n"/>
      <c r="BA169" s="65" t="n"/>
      <c r="BB169" s="65" t="n"/>
      <c r="BC169" s="65" t="n"/>
      <c r="BD169" s="65" t="n"/>
      <c r="BE169" s="65" t="n"/>
      <c r="BF169" s="65" t="n"/>
      <c r="BG169" s="65" t="n"/>
    </row>
    <row r="170">
      <c r="B170" s="1" t="inlineStr">
        <is>
          <t>画像医学と脳健診</t>
        </is>
      </c>
      <c r="D170" s="1" t="inlineStr">
        <is>
          <t>屋根防水+塗装</t>
        </is>
      </c>
      <c r="E170" s="2" t="inlineStr">
        <is>
          <t>6月</t>
        </is>
      </c>
      <c r="F170" s="68" t="n">
        <v>3000000</v>
      </c>
      <c r="G170" s="68">
        <f>IF(B170="","",F170-I170 )</f>
        <v/>
      </c>
      <c r="H170" s="5">
        <f>IF(G170="","",G170/F170)</f>
        <v/>
      </c>
      <c r="I170" s="62">
        <f>SUM(テーブル9[[#This Row],[五大]:[工場材]])</f>
        <v/>
      </c>
      <c r="J170" s="64" t="n">
        <v>310000</v>
      </c>
      <c r="K170" s="65" t="n"/>
      <c r="L170" s="65" t="n"/>
      <c r="M170" s="65" t="n"/>
      <c r="N170" s="65" t="n"/>
      <c r="O170" s="64" t="n">
        <v>900000</v>
      </c>
      <c r="P170" s="65" t="n"/>
      <c r="Q170" s="65" t="n"/>
      <c r="R170" s="64">
        <f>550500</f>
        <v/>
      </c>
      <c r="S170" s="65" t="n"/>
      <c r="T170" s="65" t="n"/>
      <c r="U170" s="64">
        <f>221800+7500+8500</f>
        <v/>
      </c>
      <c r="V170" s="64" t="n"/>
      <c r="W170" s="65" t="n"/>
      <c r="X170" s="66" t="n"/>
      <c r="Y170" s="65" t="n"/>
      <c r="Z170" s="65" t="n"/>
      <c r="AA170" s="65" t="n"/>
      <c r="AB170" s="65" t="n"/>
      <c r="AC170" s="65" t="n"/>
      <c r="AD170" s="65" t="n"/>
      <c r="AE170" s="65" t="n"/>
      <c r="AF170" s="65" t="n"/>
      <c r="AG170" s="65" t="n"/>
      <c r="AH170" s="65" t="n"/>
      <c r="AI170" s="65" t="n"/>
      <c r="AJ170" s="65" t="n"/>
      <c r="AK170" s="65" t="n"/>
      <c r="AL170" s="65" t="n"/>
      <c r="AM170" s="65" t="n"/>
      <c r="AN170" s="65" t="n"/>
      <c r="AO170" s="65" t="n"/>
      <c r="AP170" s="65" t="n"/>
      <c r="AQ170" s="65" t="n"/>
      <c r="AR170" s="65" t="n"/>
      <c r="AS170" s="65" t="n"/>
      <c r="AT170" s="65" t="n"/>
      <c r="AU170" s="65" t="n"/>
      <c r="AV170" s="65" t="n"/>
      <c r="AW170" s="65" t="n"/>
      <c r="AX170" s="65" t="n"/>
      <c r="AY170" s="65" t="n"/>
      <c r="AZ170" s="65" t="n"/>
      <c r="BA170" s="65" t="n"/>
      <c r="BB170" s="65" t="n"/>
      <c r="BC170" s="65" t="n"/>
      <c r="BD170" s="65" t="n"/>
      <c r="BE170" s="65" t="n"/>
      <c r="BF170" s="65" t="n"/>
      <c r="BG170" s="65" t="n"/>
    </row>
    <row r="171">
      <c r="B171" s="1" t="inlineStr">
        <is>
          <t>シャーメゾングレンツ</t>
        </is>
      </c>
      <c r="D171" s="1" t="inlineStr">
        <is>
          <t>壁張替</t>
        </is>
      </c>
      <c r="E171" s="2" t="inlineStr">
        <is>
          <t>6月</t>
        </is>
      </c>
      <c r="F171" s="68">
        <f>262620*2</f>
        <v/>
      </c>
      <c r="G171" s="68">
        <f>IF(B171="","",F171-I171 )</f>
        <v/>
      </c>
      <c r="H171" s="5">
        <f>IF(G171="","",G171/F171)</f>
        <v/>
      </c>
      <c r="I171" s="62">
        <f>SUM(テーブル9[[#This Row],[五大]:[工場材]])</f>
        <v/>
      </c>
      <c r="J171" s="65" t="n"/>
      <c r="K171" s="65" t="n"/>
      <c r="L171" s="65" t="n"/>
      <c r="M171" s="65" t="n"/>
      <c r="N171" s="65" t="n"/>
      <c r="O171" s="65" t="n"/>
      <c r="P171" s="65" t="n"/>
      <c r="Q171" s="65" t="n"/>
      <c r="R171" s="65" t="n"/>
      <c r="S171" s="65">
        <f>14500*2</f>
        <v/>
      </c>
      <c r="T171" s="65" t="n"/>
      <c r="U171" s="64" t="n"/>
      <c r="V171" s="64" t="n"/>
      <c r="W171" s="64" t="n">
        <v>180000</v>
      </c>
      <c r="X171" s="66" t="n"/>
      <c r="Y171" s="65" t="n"/>
      <c r="Z171" s="65" t="n"/>
      <c r="AA171" s="65" t="n"/>
      <c r="AB171" s="65" t="n"/>
      <c r="AC171" s="65" t="n"/>
      <c r="AD171" s="65" t="n"/>
      <c r="AE171" s="65" t="n"/>
      <c r="AF171" s="65" t="n"/>
      <c r="AG171" s="64" t="n">
        <v>100000</v>
      </c>
      <c r="AH171" s="65" t="n"/>
      <c r="AI171" s="65" t="n"/>
      <c r="AJ171" s="65" t="n"/>
      <c r="AK171" s="65" t="n"/>
      <c r="AL171" s="65" t="n"/>
      <c r="AM171" s="65" t="n"/>
      <c r="AN171" s="65" t="n"/>
      <c r="AO171" s="65" t="n"/>
      <c r="AP171" s="65" t="n"/>
      <c r="AQ171" s="65" t="n"/>
      <c r="AR171" s="65" t="n"/>
      <c r="AS171" s="65" t="n"/>
      <c r="AT171" s="65" t="n"/>
      <c r="AU171" s="65" t="n"/>
      <c r="AV171" s="65" t="n"/>
      <c r="AW171" s="65" t="n"/>
      <c r="AX171" s="65" t="n"/>
      <c r="AY171" s="65" t="n"/>
      <c r="AZ171" s="65" t="n"/>
      <c r="BA171" s="65" t="n"/>
      <c r="BB171" s="65" t="n"/>
      <c r="BC171" s="65" t="n"/>
      <c r="BD171" s="65" t="n"/>
      <c r="BE171" s="65" t="n"/>
      <c r="BF171" s="65" t="n"/>
      <c r="BG171" s="65" t="n">
        <v>20000</v>
      </c>
    </row>
    <row r="172">
      <c r="B172" s="22" t="inlineStr">
        <is>
          <t>合計</t>
        </is>
      </c>
      <c r="C172" s="22" t="n"/>
      <c r="F172" s="67">
        <f>SUBTOTAL(109,F169:F171)</f>
        <v/>
      </c>
      <c r="G172" s="67">
        <f>SUBTOTAL(109,G169:G171)</f>
        <v/>
      </c>
      <c r="H172" s="14">
        <f>IF(G172="","",G172/F172)</f>
        <v/>
      </c>
      <c r="I172" s="67">
        <f>SUBTOTAL(109,I169:I171)</f>
        <v/>
      </c>
      <c r="J172" s="65" t="n"/>
      <c r="K172" s="65" t="n"/>
      <c r="L172" s="65" t="n"/>
      <c r="M172" s="65" t="n"/>
      <c r="N172" s="65" t="n"/>
      <c r="O172" s="65" t="n"/>
      <c r="P172" s="65" t="n"/>
      <c r="Q172" s="65" t="n"/>
      <c r="R172" s="65" t="n"/>
      <c r="S172" s="64" t="n"/>
      <c r="T172" s="65" t="n"/>
      <c r="U172" s="64" t="n"/>
      <c r="V172" s="64" t="n"/>
      <c r="W172" s="65" t="n"/>
      <c r="X172" s="66" t="n"/>
      <c r="Y172" s="65" t="n"/>
      <c r="Z172" s="65" t="n"/>
      <c r="AA172" s="65" t="n"/>
      <c r="AB172" s="65" t="n"/>
      <c r="AC172" s="65" t="n"/>
      <c r="AD172" s="65" t="n"/>
      <c r="AE172" s="65" t="n"/>
      <c r="AF172" s="65" t="n"/>
      <c r="AG172" s="65" t="n"/>
      <c r="AH172" s="65" t="n"/>
      <c r="AI172" s="65" t="n"/>
      <c r="AJ172" s="65" t="n"/>
      <c r="AK172" s="65" t="n"/>
      <c r="AL172" s="65" t="n"/>
      <c r="AM172" s="65" t="n"/>
      <c r="AN172" s="65" t="n"/>
      <c r="AO172" s="65" t="n"/>
      <c r="AP172" s="65" t="n"/>
      <c r="AQ172" s="65" t="n"/>
      <c r="AR172" s="65" t="n"/>
      <c r="AS172" s="65" t="n"/>
      <c r="AT172" s="65" t="n"/>
      <c r="AU172" s="65" t="n"/>
      <c r="AV172" s="65" t="n"/>
      <c r="AW172" s="65" t="n"/>
      <c r="AX172" s="65" t="n"/>
      <c r="AY172" s="65" t="n"/>
      <c r="AZ172" s="65" t="n"/>
      <c r="BA172" s="65" t="n"/>
      <c r="BB172" s="65" t="n"/>
      <c r="BC172" s="65" t="n"/>
      <c r="BD172" s="65" t="n"/>
      <c r="BE172" s="65" t="n"/>
      <c r="BF172" s="65" t="n"/>
      <c r="BG172" s="65" t="n"/>
    </row>
    <row r="173">
      <c r="F173" s="68" t="n"/>
      <c r="G173" s="68">
        <f>IF(B173="","",F173-I173 )</f>
        <v/>
      </c>
      <c r="H173" s="5">
        <f>IF(G173="","",G173/F173)</f>
        <v/>
      </c>
      <c r="J173" s="65" t="n"/>
      <c r="K173" s="65" t="n"/>
      <c r="L173" s="65" t="n"/>
      <c r="M173" s="65" t="n"/>
      <c r="N173" s="65" t="n"/>
      <c r="O173" s="65" t="n"/>
      <c r="P173" s="65" t="n"/>
      <c r="Q173" s="65" t="n"/>
      <c r="R173" s="65" t="n"/>
      <c r="S173" s="64" t="n"/>
      <c r="T173" s="65" t="n"/>
      <c r="U173" s="64" t="n"/>
      <c r="V173" s="64" t="n"/>
      <c r="W173" s="65" t="n"/>
      <c r="X173" s="66" t="n"/>
      <c r="Y173" s="65" t="n"/>
      <c r="Z173" s="65" t="n"/>
      <c r="AA173" s="65" t="n"/>
      <c r="AB173" s="65" t="n"/>
      <c r="AC173" s="65" t="n"/>
      <c r="AD173" s="65" t="n"/>
      <c r="AE173" s="65" t="n"/>
      <c r="AF173" s="65" t="n"/>
      <c r="AG173" s="65" t="n"/>
      <c r="AH173" s="65" t="n"/>
      <c r="AI173" s="65" t="n"/>
      <c r="AJ173" s="65" t="n"/>
      <c r="AK173" s="65" t="n"/>
      <c r="AL173" s="65" t="n"/>
      <c r="AM173" s="65" t="n"/>
      <c r="AN173" s="65" t="n"/>
      <c r="AO173" s="65" t="n"/>
      <c r="AP173" s="65" t="n"/>
      <c r="AQ173" s="65" t="n"/>
      <c r="AR173" s="65" t="n"/>
      <c r="AS173" s="65" t="n"/>
      <c r="AT173" s="65" t="n"/>
      <c r="AU173" s="65" t="n"/>
      <c r="AV173" s="65" t="n"/>
      <c r="AW173" s="65" t="n"/>
      <c r="AX173" s="65" t="n"/>
      <c r="AY173" s="65" t="n"/>
      <c r="AZ173" s="65" t="n"/>
      <c r="BA173" s="65" t="n"/>
      <c r="BB173" s="65" t="n"/>
      <c r="BC173" s="65" t="n"/>
      <c r="BD173" s="65" t="n"/>
      <c r="BE173" s="65" t="n"/>
      <c r="BF173" s="65" t="n"/>
      <c r="BG173" s="65" t="n"/>
    </row>
    <row r="174">
      <c r="F174" s="68" t="n"/>
      <c r="G174" s="68">
        <f>IF(B174="","",F174-I174 )</f>
        <v/>
      </c>
      <c r="H174" s="5">
        <f>IF(G174="","",G174/F174)</f>
        <v/>
      </c>
      <c r="J174" s="65" t="n"/>
      <c r="K174" s="65" t="n"/>
      <c r="L174" s="65" t="n"/>
      <c r="M174" s="65" t="n"/>
      <c r="N174" s="65" t="n"/>
      <c r="O174" s="65" t="n"/>
      <c r="P174" s="65" t="n"/>
      <c r="Q174" s="65" t="n"/>
      <c r="R174" s="65" t="n"/>
      <c r="S174" s="64" t="n"/>
      <c r="T174" s="65" t="n"/>
      <c r="U174" s="64" t="n"/>
      <c r="V174" s="64" t="n"/>
      <c r="W174" s="65" t="n"/>
      <c r="X174" s="66" t="n"/>
      <c r="Y174" s="65" t="n"/>
      <c r="Z174" s="65" t="n"/>
      <c r="AA174" s="65" t="n"/>
      <c r="AB174" s="65" t="n"/>
      <c r="AC174" s="65" t="n"/>
      <c r="AD174" s="65" t="n"/>
      <c r="AE174" s="65" t="n"/>
      <c r="AF174" s="65" t="n"/>
      <c r="AG174" s="65" t="n"/>
      <c r="AH174" s="65" t="n"/>
      <c r="AI174" s="65" t="n"/>
      <c r="AJ174" s="65" t="n"/>
      <c r="AK174" s="65" t="n"/>
      <c r="AL174" s="65" t="n"/>
      <c r="AM174" s="65" t="n"/>
      <c r="AN174" s="65" t="n"/>
      <c r="AO174" s="65" t="n"/>
      <c r="AP174" s="65" t="n"/>
      <c r="AQ174" s="65" t="n"/>
      <c r="AR174" s="65" t="n"/>
      <c r="AS174" s="65" t="n"/>
      <c r="AT174" s="65" t="n"/>
      <c r="AU174" s="65" t="n"/>
      <c r="AV174" s="65" t="n"/>
      <c r="AW174" s="65" t="n"/>
      <c r="AX174" s="65" t="n"/>
      <c r="AY174" s="65" t="n"/>
      <c r="AZ174" s="65" t="n"/>
      <c r="BA174" s="65" t="n"/>
      <c r="BB174" s="65" t="n"/>
      <c r="BC174" s="65" t="n"/>
      <c r="BD174" s="65" t="n"/>
      <c r="BE174" s="65" t="n"/>
      <c r="BF174" s="65" t="n"/>
      <c r="BG174" s="65" t="n"/>
    </row>
    <row r="175">
      <c r="A175" s="0" t="inlineStr">
        <is>
          <t>R2.8</t>
        </is>
      </c>
      <c r="B175" s="1" t="inlineStr">
        <is>
          <t>富谷 向井邸</t>
        </is>
      </c>
      <c r="D175" s="1" t="inlineStr">
        <is>
          <t>LIXIL　フェンス他多数</t>
        </is>
      </c>
      <c r="E175" s="2" t="inlineStr">
        <is>
          <t>7月</t>
        </is>
      </c>
      <c r="F175" s="68" t="n">
        <v>430000</v>
      </c>
      <c r="G175" s="68">
        <f>IF(B175="","",F175-I175 )</f>
        <v/>
      </c>
      <c r="H175" s="5">
        <f>IF(G175="","",G175/F175)</f>
        <v/>
      </c>
      <c r="I175" s="62">
        <f>SUM(テーブル9[[#This Row],[五大]:[工場材]])</f>
        <v/>
      </c>
      <c r="J175" s="65" t="n"/>
      <c r="K175" s="64" t="n"/>
      <c r="L175" s="64" t="n"/>
      <c r="M175" s="64" t="n"/>
      <c r="N175" s="64" t="n"/>
      <c r="O175" s="65" t="n"/>
      <c r="P175" s="65" t="n"/>
      <c r="Q175" s="65" t="n"/>
      <c r="R175" s="65" t="n"/>
      <c r="S175" s="64" t="n"/>
      <c r="T175" s="65" t="n"/>
      <c r="U175" s="64" t="n"/>
      <c r="V175" s="64" t="n"/>
      <c r="W175" s="65" t="n"/>
      <c r="X175" s="66" t="n"/>
      <c r="Y175" s="65" t="n"/>
      <c r="Z175" s="65" t="n"/>
      <c r="AA175" s="65" t="n"/>
      <c r="AB175" s="65" t="n"/>
      <c r="AC175" s="65" t="n"/>
      <c r="AD175" s="65" t="n"/>
      <c r="AE175" s="65" t="n">
        <v>330000</v>
      </c>
      <c r="AF175" s="65" t="n"/>
      <c r="AG175" s="65" t="n"/>
      <c r="AH175" s="65" t="n"/>
      <c r="AI175" s="65" t="n"/>
      <c r="AJ175" s="65" t="n"/>
      <c r="AK175" s="65" t="n"/>
      <c r="AL175" s="65" t="n"/>
      <c r="AM175" s="65" t="n"/>
      <c r="AN175" s="65" t="n"/>
      <c r="AO175" s="65" t="n"/>
      <c r="AP175" s="65" t="n"/>
      <c r="AQ175" s="65" t="n"/>
      <c r="AR175" s="65" t="n"/>
      <c r="AS175" s="65" t="n"/>
      <c r="AT175" s="65" t="n"/>
      <c r="AU175" s="65" t="n"/>
      <c r="AV175" s="65" t="n"/>
      <c r="AW175" s="65" t="n"/>
      <c r="AX175" s="65" t="n"/>
      <c r="AY175" s="65" t="n"/>
      <c r="AZ175" s="65" t="n">
        <v>5000</v>
      </c>
      <c r="BA175" s="65" t="n"/>
      <c r="BB175" s="65" t="n"/>
      <c r="BC175" s="65" t="n"/>
      <c r="BD175" s="65" t="n"/>
      <c r="BE175" s="65" t="n"/>
      <c r="BF175" s="65" t="n"/>
      <c r="BG175" s="65">
        <f>40000</f>
        <v/>
      </c>
    </row>
    <row r="176">
      <c r="B176" s="1" t="inlineStr">
        <is>
          <t>沼倉邸</t>
        </is>
      </c>
      <c r="D176" s="24" t="inlineStr">
        <is>
          <t>LIXILキッチン・浴室・トイレ・洗面台</t>
        </is>
      </c>
      <c r="E176" s="2" t="inlineStr">
        <is>
          <t>7月</t>
        </is>
      </c>
      <c r="F176" s="68" t="n">
        <v>690000</v>
      </c>
      <c r="G176" s="68">
        <f>IF(B176="","",F176-I176 )</f>
        <v/>
      </c>
      <c r="H176" s="5">
        <f>IF(G176="","",G176/F176)</f>
        <v/>
      </c>
      <c r="I176" s="62">
        <f>SUM(テーブル9[[#This Row],[五大]:[工場材]])</f>
        <v/>
      </c>
      <c r="J176" s="65" t="n"/>
      <c r="K176" s="64" t="n"/>
      <c r="L176" s="64" t="n"/>
      <c r="M176" s="64" t="n"/>
      <c r="N176" s="64" t="n"/>
      <c r="O176" s="65" t="n"/>
      <c r="P176" s="65" t="n"/>
      <c r="Q176" s="65" t="n"/>
      <c r="R176" s="64" t="n"/>
      <c r="S176" s="64" t="n"/>
      <c r="T176" s="65" t="n"/>
      <c r="U176" s="64" t="n"/>
      <c r="V176" s="64" t="n"/>
      <c r="W176" s="64" t="n">
        <v>232337</v>
      </c>
      <c r="X176" s="66" t="n"/>
      <c r="Y176" s="65" t="n"/>
      <c r="Z176" s="65" t="n"/>
      <c r="AA176" s="64" t="n">
        <v>120000</v>
      </c>
      <c r="AB176" s="64" t="n">
        <v>204000</v>
      </c>
      <c r="AC176" s="65" t="n"/>
      <c r="AD176" s="65" t="n"/>
      <c r="AE176" s="65" t="n"/>
      <c r="AF176" s="65" t="n"/>
      <c r="AG176" s="65" t="n"/>
      <c r="AH176" s="65" t="n"/>
      <c r="AI176" s="65" t="n"/>
      <c r="AJ176" s="65" t="n"/>
      <c r="AK176" s="65" t="n"/>
      <c r="AL176" s="65" t="n"/>
      <c r="AM176" s="65" t="n"/>
      <c r="AN176" s="65" t="n"/>
      <c r="AO176" s="65" t="n"/>
      <c r="AP176" s="65" t="n"/>
      <c r="AQ176" s="65" t="n"/>
      <c r="AR176" s="65" t="n"/>
      <c r="AS176" s="65" t="n"/>
      <c r="AT176" s="65" t="n"/>
      <c r="AU176" s="65" t="n"/>
      <c r="AV176" s="65" t="n"/>
      <c r="AW176" s="65" t="n"/>
      <c r="AX176" s="65" t="n"/>
      <c r="AY176" s="65" t="n"/>
      <c r="AZ176" s="65" t="n"/>
      <c r="BA176" s="65" t="n"/>
      <c r="BB176" s="65" t="n"/>
      <c r="BC176" s="65" t="n"/>
      <c r="BD176" s="65" t="n"/>
      <c r="BE176" s="65" t="n"/>
      <c r="BF176" s="65" t="n"/>
      <c r="BG176" s="65" t="n"/>
    </row>
    <row r="177">
      <c r="B177" s="1" t="inlineStr">
        <is>
          <t>アヴニール山鳥B</t>
        </is>
      </c>
      <c r="D177" s="1" t="inlineStr">
        <is>
          <t>塗装</t>
        </is>
      </c>
      <c r="E177" s="2" t="inlineStr">
        <is>
          <t>7月</t>
        </is>
      </c>
      <c r="F177" s="68" t="n">
        <v>1457000</v>
      </c>
      <c r="G177" s="68">
        <f>IF(B177="","",F177-I177 )</f>
        <v/>
      </c>
      <c r="H177" s="5">
        <f>IF(G177="","",G177/F177)</f>
        <v/>
      </c>
      <c r="I177" s="62">
        <f>SUM(テーブル9[[#This Row],[五大]:[工場材]])</f>
        <v/>
      </c>
      <c r="J177" s="65" t="n"/>
      <c r="K177" s="64" t="n"/>
      <c r="L177" s="64" t="n"/>
      <c r="M177" s="64" t="n">
        <v>230000</v>
      </c>
      <c r="N177" s="64" t="n"/>
      <c r="O177" s="64" t="n">
        <v>700000</v>
      </c>
      <c r="P177" s="65" t="n"/>
      <c r="Q177" s="65" t="n"/>
      <c r="R177" s="64" t="n">
        <v>50000</v>
      </c>
      <c r="S177" s="64" t="n">
        <v>35000</v>
      </c>
      <c r="T177" s="65" t="n"/>
      <c r="U177" s="64" t="n">
        <v>147400</v>
      </c>
      <c r="V177" s="64" t="n"/>
      <c r="W177" s="65" t="n"/>
      <c r="X177" s="66" t="n"/>
      <c r="Y177" s="65" t="n"/>
      <c r="Z177" s="65" t="n"/>
      <c r="AA177" s="64" t="n">
        <v>10000</v>
      </c>
      <c r="AB177" s="65" t="n"/>
      <c r="AC177" s="65" t="n"/>
      <c r="AD177" s="65" t="n"/>
      <c r="AE177" s="65" t="n"/>
      <c r="AF177" s="65" t="n"/>
      <c r="AG177" s="65" t="n"/>
      <c r="AH177" s="65" t="n"/>
      <c r="AI177" s="65" t="n"/>
      <c r="AJ177" s="65" t="n"/>
      <c r="AK177" s="65" t="n"/>
      <c r="AL177" s="65" t="n"/>
      <c r="AM177" s="64" t="n">
        <v>15000</v>
      </c>
      <c r="AN177" s="65" t="n"/>
      <c r="AO177" s="65" t="n"/>
      <c r="AP177" s="65" t="n"/>
      <c r="AQ177" s="65" t="n"/>
      <c r="AR177" s="65" t="n"/>
      <c r="AS177" s="65" t="n"/>
      <c r="AT177" s="65" t="n"/>
      <c r="AU177" s="65" t="n"/>
      <c r="AV177" s="65" t="n"/>
      <c r="AW177" s="65" t="n"/>
      <c r="AX177" s="65" t="n"/>
      <c r="AY177" s="65" t="n"/>
      <c r="AZ177" s="65" t="n"/>
      <c r="BA177" s="65" t="n"/>
      <c r="BB177" s="65" t="n"/>
      <c r="BC177" s="65" t="n"/>
      <c r="BD177" s="65" t="n"/>
      <c r="BE177" s="65" t="n"/>
      <c r="BF177" s="65" t="n"/>
      <c r="BG177" s="65" t="n"/>
    </row>
    <row r="178">
      <c r="B178" s="1" t="inlineStr">
        <is>
          <t>コージーヒルズAB</t>
        </is>
      </c>
      <c r="D178" s="1" t="inlineStr">
        <is>
          <t>塗装</t>
        </is>
      </c>
      <c r="E178" s="2" t="inlineStr">
        <is>
          <t>7月</t>
        </is>
      </c>
      <c r="F178" s="68">
        <f>1420000*2</f>
        <v/>
      </c>
      <c r="G178" s="68">
        <f>IF(B178="","",F178-I178 )</f>
        <v/>
      </c>
      <c r="H178" s="5">
        <f>IF(G178="","",G178/F178)</f>
        <v/>
      </c>
      <c r="I178" s="62">
        <f>SUM(テーブル9[[#This Row],[五大]:[工場材]])</f>
        <v/>
      </c>
      <c r="J178" s="65" t="n">
        <v>400000</v>
      </c>
      <c r="K178" s="64" t="n"/>
      <c r="L178" s="64" t="n"/>
      <c r="M178" s="64" t="n"/>
      <c r="N178" s="64" t="n"/>
      <c r="O178" s="65" t="n">
        <v>1200000</v>
      </c>
      <c r="P178" s="65" t="n"/>
      <c r="Q178" s="65" t="n"/>
      <c r="R178" s="64" t="n">
        <v>50000</v>
      </c>
      <c r="S178" s="64" t="n">
        <v>70000</v>
      </c>
      <c r="T178" s="65" t="n"/>
      <c r="U178" s="64">
        <f>124800+35600</f>
        <v/>
      </c>
      <c r="V178" s="64" t="n"/>
      <c r="W178" s="65" t="n"/>
      <c r="X178" s="66" t="n"/>
      <c r="Y178" s="65" t="n"/>
      <c r="Z178" s="65" t="n"/>
      <c r="AA178" s="65" t="n"/>
      <c r="AB178" s="65" t="n"/>
      <c r="AC178" s="65" t="n"/>
      <c r="AD178" s="65" t="n"/>
      <c r="AE178" s="65" t="n"/>
      <c r="AF178" s="65" t="n"/>
      <c r="AG178" s="65" t="n"/>
      <c r="AH178" s="65" t="n"/>
      <c r="AI178" s="65" t="n"/>
      <c r="AJ178" s="65" t="n"/>
      <c r="AK178" s="65" t="n"/>
      <c r="AL178" s="65" t="n"/>
      <c r="AM178" s="65" t="n"/>
      <c r="AN178" s="65" t="n"/>
      <c r="AO178" s="65" t="n"/>
      <c r="AP178" s="65" t="n"/>
      <c r="AQ178" s="65" t="n"/>
      <c r="AR178" s="65" t="n"/>
      <c r="AS178" s="65" t="n"/>
      <c r="AT178" s="65" t="n"/>
      <c r="AU178" s="65" t="n"/>
      <c r="AV178" s="65" t="n"/>
      <c r="AW178" s="65" t="n"/>
      <c r="AX178" s="65" t="n"/>
      <c r="AY178" s="65" t="n"/>
      <c r="AZ178" s="65" t="n"/>
      <c r="BA178" s="65" t="n"/>
      <c r="BB178" s="65" t="n"/>
      <c r="BC178" s="65" t="n"/>
      <c r="BD178" s="65" t="n"/>
      <c r="BE178" s="65" t="n"/>
      <c r="BF178" s="65" t="n"/>
      <c r="BG178" s="65" t="n"/>
    </row>
    <row r="179">
      <c r="B179" s="22" t="inlineStr">
        <is>
          <t>合計</t>
        </is>
      </c>
      <c r="C179" s="22" t="n"/>
      <c r="F179" s="67">
        <f>SUBTOTAL(109,F175:F178)</f>
        <v/>
      </c>
      <c r="G179" s="67">
        <f>SUBTOTAL(109,G175:G178)</f>
        <v/>
      </c>
      <c r="H179" s="14">
        <f>IF(G179="","",G179/F179)</f>
        <v/>
      </c>
      <c r="I179" s="67">
        <f>SUBTOTAL(109,I175:I178)</f>
        <v/>
      </c>
      <c r="J179" s="65" t="n"/>
      <c r="K179" s="64" t="n"/>
      <c r="L179" s="64" t="n"/>
      <c r="M179" s="64" t="n"/>
      <c r="N179" s="64" t="n"/>
      <c r="O179" s="65" t="n"/>
      <c r="P179" s="65" t="n"/>
      <c r="Q179" s="65" t="n"/>
      <c r="R179" s="65" t="n"/>
      <c r="S179" s="64" t="n"/>
      <c r="T179" s="65" t="n"/>
      <c r="U179" s="64" t="n"/>
      <c r="V179" s="64" t="n"/>
      <c r="W179" s="65" t="n"/>
      <c r="X179" s="66" t="n"/>
      <c r="Y179" s="65" t="n"/>
      <c r="Z179" s="65" t="n"/>
      <c r="AA179" s="65" t="n"/>
      <c r="AB179" s="65" t="n"/>
      <c r="AC179" s="65" t="n"/>
      <c r="AD179" s="65" t="n"/>
      <c r="AE179" s="65" t="n"/>
      <c r="AF179" s="65" t="n"/>
      <c r="AG179" s="65" t="n"/>
      <c r="AH179" s="65" t="n"/>
      <c r="AI179" s="65" t="n"/>
      <c r="AJ179" s="65" t="n"/>
      <c r="AK179" s="65" t="n"/>
      <c r="AL179" s="65" t="n"/>
      <c r="AM179" s="65" t="n"/>
      <c r="AN179" s="65" t="n"/>
      <c r="AO179" s="65" t="n"/>
      <c r="AP179" s="65" t="n"/>
      <c r="AQ179" s="65" t="n"/>
      <c r="AR179" s="65" t="n"/>
      <c r="AS179" s="65" t="n"/>
      <c r="AT179" s="65" t="n"/>
      <c r="AU179" s="65" t="n"/>
      <c r="AV179" s="65" t="n"/>
      <c r="AW179" s="65" t="n"/>
      <c r="AX179" s="65" t="n"/>
      <c r="AY179" s="65" t="n"/>
      <c r="AZ179" s="65" t="n"/>
      <c r="BA179" s="65" t="n"/>
      <c r="BB179" s="65" t="n"/>
      <c r="BC179" s="65" t="n"/>
      <c r="BD179" s="65" t="n"/>
      <c r="BE179" s="65" t="n"/>
      <c r="BF179" s="65" t="n"/>
      <c r="BG179" s="65" t="n"/>
    </row>
    <row r="180">
      <c r="F180" s="68" t="n"/>
      <c r="G180" s="68">
        <f>IF(B180="","",F180-I180 )</f>
        <v/>
      </c>
      <c r="H180" s="5">
        <f>IF(G180="","",G180/F180)</f>
        <v/>
      </c>
      <c r="J180" s="65" t="n"/>
      <c r="K180" s="64" t="n"/>
      <c r="L180" s="64" t="n"/>
      <c r="M180" s="64" t="n"/>
      <c r="N180" s="64" t="n"/>
      <c r="O180" s="65" t="n"/>
      <c r="P180" s="65" t="n"/>
      <c r="Q180" s="65" t="n"/>
      <c r="R180" s="65" t="n"/>
      <c r="S180" s="64" t="n"/>
      <c r="T180" s="65" t="n"/>
      <c r="U180" s="64" t="n"/>
      <c r="V180" s="64" t="n"/>
      <c r="W180" s="65" t="n"/>
      <c r="X180" s="66" t="n"/>
      <c r="Y180" s="65" t="n"/>
      <c r="Z180" s="65" t="n"/>
      <c r="AA180" s="65" t="n"/>
      <c r="AB180" s="65" t="n"/>
      <c r="AC180" s="65" t="n"/>
      <c r="AD180" s="65" t="n"/>
      <c r="AE180" s="65" t="n"/>
      <c r="AF180" s="65" t="n"/>
      <c r="AG180" s="65" t="n"/>
      <c r="AH180" s="65" t="n"/>
      <c r="AI180" s="65" t="n"/>
      <c r="AJ180" s="65" t="n"/>
      <c r="AK180" s="65" t="n"/>
      <c r="AL180" s="65" t="n"/>
      <c r="AM180" s="65" t="n"/>
      <c r="AN180" s="65" t="n"/>
      <c r="AO180" s="65" t="n"/>
      <c r="AP180" s="65" t="n"/>
      <c r="AQ180" s="65" t="n"/>
      <c r="AR180" s="65" t="n"/>
      <c r="AS180" s="65" t="n"/>
      <c r="AT180" s="65" t="n"/>
      <c r="AU180" s="65" t="n"/>
      <c r="AV180" s="65" t="n"/>
      <c r="AW180" s="65" t="n"/>
      <c r="AX180" s="65" t="n"/>
      <c r="AY180" s="65" t="n"/>
      <c r="AZ180" s="65" t="n"/>
      <c r="BA180" s="65" t="n"/>
      <c r="BB180" s="65" t="n"/>
      <c r="BC180" s="65" t="n"/>
      <c r="BD180" s="65" t="n"/>
      <c r="BE180" s="65" t="n"/>
      <c r="BF180" s="65" t="n"/>
      <c r="BG180" s="65" t="n"/>
    </row>
    <row r="181">
      <c r="F181" s="68" t="n"/>
      <c r="G181" s="68">
        <f>IF(B181="","",F181-I181 )</f>
        <v/>
      </c>
      <c r="H181" s="5">
        <f>IF(G181="","",G181/F181)</f>
        <v/>
      </c>
      <c r="J181" s="65" t="n"/>
      <c r="K181" s="64" t="n"/>
      <c r="L181" s="64" t="n"/>
      <c r="M181" s="64" t="n"/>
      <c r="N181" s="64" t="n"/>
      <c r="O181" s="65" t="n"/>
      <c r="P181" s="65" t="n"/>
      <c r="Q181" s="65" t="n"/>
      <c r="R181" s="65" t="n"/>
      <c r="S181" s="64" t="n"/>
      <c r="T181" s="65" t="n"/>
      <c r="U181" s="64" t="n"/>
      <c r="V181" s="64" t="n"/>
      <c r="W181" s="65" t="n"/>
      <c r="X181" s="66" t="n"/>
      <c r="Y181" s="65" t="n"/>
      <c r="Z181" s="65" t="n"/>
      <c r="AA181" s="65" t="n"/>
      <c r="AB181" s="65" t="n"/>
      <c r="AC181" s="65" t="n"/>
      <c r="AD181" s="65" t="n"/>
      <c r="AE181" s="65" t="n"/>
      <c r="AF181" s="65" t="n"/>
      <c r="AG181" s="65" t="n"/>
      <c r="AH181" s="65" t="n"/>
      <c r="AI181" s="65" t="n"/>
      <c r="AJ181" s="65" t="n"/>
      <c r="AK181" s="65" t="n"/>
      <c r="AL181" s="65" t="n"/>
      <c r="AM181" s="65" t="n"/>
      <c r="AN181" s="65" t="n"/>
      <c r="AO181" s="65" t="n"/>
      <c r="AP181" s="65" t="n"/>
      <c r="AQ181" s="65" t="n"/>
      <c r="AR181" s="65" t="n"/>
      <c r="AS181" s="65" t="n"/>
      <c r="AT181" s="65" t="n"/>
      <c r="AU181" s="65" t="n"/>
      <c r="AV181" s="65" t="n"/>
      <c r="AW181" s="65" t="n"/>
      <c r="AX181" s="65" t="n"/>
      <c r="AY181" s="65" t="n"/>
      <c r="AZ181" s="65" t="n"/>
      <c r="BA181" s="65" t="n"/>
      <c r="BB181" s="65" t="n"/>
      <c r="BC181" s="65" t="n"/>
      <c r="BD181" s="65" t="n"/>
      <c r="BE181" s="65" t="n"/>
      <c r="BF181" s="65" t="n"/>
      <c r="BG181" s="65" t="n"/>
    </row>
    <row r="182">
      <c r="A182" s="0" t="inlineStr">
        <is>
          <t>R2.9</t>
        </is>
      </c>
      <c r="B182" s="1" t="inlineStr">
        <is>
          <t>エステディアコートヤマダ</t>
        </is>
      </c>
      <c r="D182" s="1" t="inlineStr">
        <is>
          <t>塗装</t>
        </is>
      </c>
      <c r="E182" s="2" t="inlineStr">
        <is>
          <t>8月</t>
        </is>
      </c>
      <c r="F182" s="68" t="n">
        <v>2370000</v>
      </c>
      <c r="G182" s="68">
        <f>IF(B182="","",F182-I182 )</f>
        <v/>
      </c>
      <c r="H182" s="5">
        <f>IF(G182="","",G182/F182)</f>
        <v/>
      </c>
      <c r="I182" s="62">
        <f>SUM(テーブル9[[#This Row],[五大]:[工場材]])</f>
        <v/>
      </c>
      <c r="J182" s="65" t="n"/>
      <c r="K182" s="64" t="n">
        <v>234000</v>
      </c>
      <c r="L182" s="64" t="n"/>
      <c r="M182" s="64" t="n"/>
      <c r="N182" s="64" t="n"/>
      <c r="O182" s="65" t="n"/>
      <c r="P182" s="64" t="n">
        <v>900000</v>
      </c>
      <c r="Q182" s="65" t="n"/>
      <c r="R182" s="64">
        <f>90*700</f>
        <v/>
      </c>
      <c r="S182" s="64" t="n">
        <v>35000</v>
      </c>
      <c r="T182" s="65" t="n"/>
      <c r="U182" s="64" t="n">
        <v>161600</v>
      </c>
      <c r="V182" s="64" t="n"/>
      <c r="W182" s="64" t="n">
        <v>90000</v>
      </c>
      <c r="X182" s="66" t="n"/>
      <c r="Y182" s="65" t="n"/>
      <c r="Z182" s="65" t="n"/>
      <c r="AA182" s="65" t="inlineStr">
        <is>
          <t>-</t>
        </is>
      </c>
      <c r="AB182" s="65" t="n"/>
      <c r="AC182" s="65" t="n"/>
      <c r="AD182" s="65" t="n"/>
      <c r="AE182" s="65" t="n"/>
      <c r="AF182" s="65" t="n"/>
      <c r="AG182" s="65" t="n"/>
      <c r="AH182" s="65" t="n"/>
      <c r="AI182" s="65" t="n"/>
      <c r="AJ182" s="65" t="n"/>
      <c r="AK182" s="65" t="n"/>
      <c r="AL182" s="65" t="n"/>
      <c r="AM182" s="64" t="n">
        <v>15000</v>
      </c>
      <c r="AN182" s="65" t="n"/>
      <c r="AO182" s="65" t="n"/>
      <c r="AP182" s="65" t="n"/>
      <c r="AQ182" s="65" t="n"/>
      <c r="AR182" s="65" t="n"/>
      <c r="AS182" s="65" t="n"/>
      <c r="AT182" s="65" t="n"/>
      <c r="AU182" s="65" t="n"/>
      <c r="AV182" s="65" t="n"/>
      <c r="AW182" s="65" t="n"/>
      <c r="AX182" s="65" t="n"/>
      <c r="AY182" s="65" t="n"/>
      <c r="AZ182" s="65" t="n"/>
      <c r="BA182" s="65" t="n"/>
      <c r="BB182" s="65" t="n"/>
      <c r="BC182" s="65" t="n"/>
      <c r="BD182" s="65" t="n"/>
      <c r="BE182" s="65" t="n"/>
      <c r="BF182" s="65" t="n"/>
      <c r="BG182" s="65" t="n"/>
    </row>
    <row r="183">
      <c r="B183" s="1" t="inlineStr">
        <is>
          <t>大衡 斎藤邸</t>
        </is>
      </c>
      <c r="D183" s="24" t="inlineStr">
        <is>
          <t>LIXILキッチン・洗面</t>
        </is>
      </c>
      <c r="E183" s="2" t="inlineStr">
        <is>
          <t>8月</t>
        </is>
      </c>
      <c r="F183" s="68" t="n">
        <v>220000</v>
      </c>
      <c r="G183" s="68">
        <f>IF(B183="","",F183-I183 )</f>
        <v/>
      </c>
      <c r="H183" s="5">
        <f>IF(G183="","",G183/F183)</f>
        <v/>
      </c>
      <c r="I183" s="62">
        <f>SUM(テーブル9[[#This Row],[五大]:[工場材]])</f>
        <v/>
      </c>
      <c r="J183" s="65" t="n"/>
      <c r="K183" s="64" t="n"/>
      <c r="L183" s="64" t="n"/>
      <c r="M183" s="64" t="n"/>
      <c r="N183" s="64" t="n"/>
      <c r="O183" s="65" t="n"/>
      <c r="P183" s="65" t="n"/>
      <c r="Q183" s="65" t="n"/>
      <c r="R183" s="65" t="n"/>
      <c r="S183" s="64" t="n"/>
      <c r="T183" s="65" t="n"/>
      <c r="U183" s="64" t="n"/>
      <c r="V183" s="64" t="n"/>
      <c r="W183" s="64" t="n">
        <v>41966</v>
      </c>
      <c r="X183" s="66" t="n"/>
      <c r="Y183" s="65" t="n"/>
      <c r="Z183" s="65" t="n"/>
      <c r="AA183" s="64" t="n">
        <v>40000</v>
      </c>
      <c r="AB183" s="64" t="n">
        <v>82000</v>
      </c>
      <c r="AC183" s="65" t="n"/>
      <c r="AD183" s="65" t="n"/>
      <c r="AE183" s="65" t="n"/>
      <c r="AF183" s="65" t="n"/>
      <c r="AG183" s="65" t="n"/>
      <c r="AH183" s="65" t="n"/>
      <c r="AI183" s="64" t="n">
        <v>15000</v>
      </c>
      <c r="AJ183" s="64" t="n"/>
      <c r="AK183" s="65" t="n"/>
      <c r="AL183" s="65" t="n"/>
      <c r="AM183" s="65" t="n"/>
      <c r="AN183" s="65" t="n"/>
      <c r="AO183" s="65" t="n"/>
      <c r="AP183" s="65" t="n"/>
      <c r="AQ183" s="65" t="n"/>
      <c r="AR183" s="65" t="n"/>
      <c r="AS183" s="65" t="n"/>
      <c r="AT183" s="65" t="n"/>
      <c r="AU183" s="65" t="n"/>
      <c r="AV183" s="65" t="n"/>
      <c r="AW183" s="65" t="n"/>
      <c r="AX183" s="65" t="n"/>
      <c r="AY183" s="65" t="n"/>
      <c r="AZ183" s="65" t="n"/>
      <c r="BA183" s="65" t="n"/>
      <c r="BB183" s="65" t="n"/>
      <c r="BC183" s="65" t="n"/>
      <c r="BD183" s="65" t="n"/>
      <c r="BE183" s="65" t="n"/>
      <c r="BF183" s="65" t="n"/>
      <c r="BG183" s="65" t="n"/>
    </row>
    <row r="184">
      <c r="B184" s="1" t="inlineStr">
        <is>
          <t>アルファコーポ</t>
        </is>
      </c>
      <c r="D184" s="1" t="inlineStr">
        <is>
          <t>屋根塗装・内装</t>
        </is>
      </c>
      <c r="E184" s="2" t="inlineStr">
        <is>
          <t>8月</t>
        </is>
      </c>
      <c r="F184" s="68">
        <f>408440+336260</f>
        <v/>
      </c>
      <c r="G184" s="68">
        <f>IF(B184="","",F184-I184 )</f>
        <v/>
      </c>
      <c r="H184" s="5">
        <f>IF(G184="","",G184/F184)</f>
        <v/>
      </c>
      <c r="I184" s="62">
        <f>SUM(テーブル9[[#This Row],[五大]:[工場材]])</f>
        <v/>
      </c>
      <c r="J184" s="64" t="n">
        <v>170000</v>
      </c>
      <c r="K184" s="64" t="n"/>
      <c r="L184" s="64" t="n"/>
      <c r="M184" s="64" t="n"/>
      <c r="N184" s="64" t="n"/>
      <c r="O184" s="64" t="n">
        <v>300000</v>
      </c>
      <c r="P184" s="65" t="n"/>
      <c r="Q184" s="65" t="n"/>
      <c r="R184" s="65" t="n"/>
      <c r="S184" s="64" t="n"/>
      <c r="T184" s="65" t="n"/>
      <c r="U184" s="64" t="n">
        <v>76600</v>
      </c>
      <c r="V184" s="64" t="n"/>
      <c r="W184" s="65" t="n"/>
      <c r="X184" s="66" t="n"/>
      <c r="Y184" s="65" t="n"/>
      <c r="Z184" s="65" t="n"/>
      <c r="AA184" s="65" t="n"/>
      <c r="AB184" s="65" t="n"/>
      <c r="AC184" s="65" t="n"/>
      <c r="AD184" s="65" t="n"/>
      <c r="AE184" s="65" t="n"/>
      <c r="AF184" s="65" t="n"/>
      <c r="AG184" s="65" t="n"/>
      <c r="AH184" s="65" t="n"/>
      <c r="AI184" s="65" t="n"/>
      <c r="AJ184" s="65" t="n"/>
      <c r="AK184" s="65" t="n"/>
      <c r="AL184" s="65" t="n"/>
      <c r="AM184" s="65" t="n"/>
      <c r="AN184" s="65" t="n"/>
      <c r="AO184" s="65" t="n"/>
      <c r="AP184" s="65" t="n"/>
      <c r="AQ184" s="65" t="n"/>
      <c r="AR184" s="65" t="n"/>
      <c r="AS184" s="65" t="n"/>
      <c r="AT184" s="65" t="n"/>
      <c r="AU184" s="65" t="n"/>
      <c r="AV184" s="65" t="n"/>
      <c r="AW184" s="65" t="n"/>
      <c r="AX184" s="65" t="n"/>
      <c r="AY184" s="65" t="n"/>
      <c r="AZ184" s="65" t="n"/>
      <c r="BA184" s="65" t="n"/>
      <c r="BB184" s="65" t="n"/>
      <c r="BC184" s="65" t="n"/>
      <c r="BD184" s="65" t="n"/>
      <c r="BE184" s="65" t="n"/>
      <c r="BF184" s="65" t="n"/>
      <c r="BG184" s="65" t="n"/>
    </row>
    <row r="185">
      <c r="B185" s="22" t="inlineStr">
        <is>
          <t>合計</t>
        </is>
      </c>
      <c r="C185" s="22" t="n"/>
      <c r="F185" s="67">
        <f>SUBTOTAL(109,F181:F184)</f>
        <v/>
      </c>
      <c r="G185" s="67">
        <f>SUBTOTAL(109,G181:G184)</f>
        <v/>
      </c>
      <c r="H185" s="14">
        <f>IF(G185="","",G185/F185)</f>
        <v/>
      </c>
      <c r="I185" s="67">
        <f>SUBTOTAL(109,I181:I184)</f>
        <v/>
      </c>
      <c r="J185" s="65" t="n"/>
      <c r="K185" s="64" t="n"/>
      <c r="L185" s="64" t="n"/>
      <c r="M185" s="64" t="n"/>
      <c r="N185" s="64" t="n"/>
      <c r="O185" s="65" t="n"/>
      <c r="P185" s="65" t="n"/>
      <c r="Q185" s="65" t="n"/>
      <c r="R185" s="65" t="n"/>
      <c r="S185" s="64" t="n"/>
      <c r="T185" s="65" t="n"/>
      <c r="U185" s="64" t="n"/>
      <c r="V185" s="64" t="n"/>
      <c r="W185" s="65" t="n"/>
      <c r="X185" s="66" t="n"/>
      <c r="Y185" s="65" t="n"/>
      <c r="Z185" s="65" t="n"/>
      <c r="AA185" s="65" t="n"/>
      <c r="AB185" s="65" t="n"/>
      <c r="AC185" s="65" t="n"/>
      <c r="AD185" s="65" t="n"/>
      <c r="AE185" s="65" t="n"/>
      <c r="AF185" s="65" t="n"/>
      <c r="AG185" s="65" t="n"/>
      <c r="AH185" s="65" t="n"/>
      <c r="AI185" s="65" t="n"/>
      <c r="AJ185" s="65" t="n"/>
      <c r="AK185" s="65" t="n"/>
      <c r="AL185" s="65" t="n"/>
      <c r="AM185" s="65" t="n"/>
      <c r="AN185" s="65" t="n"/>
      <c r="AO185" s="65" t="n"/>
      <c r="AP185" s="65" t="n"/>
      <c r="AQ185" s="65" t="n"/>
      <c r="AR185" s="65" t="n"/>
      <c r="AS185" s="65" t="n"/>
      <c r="AT185" s="65" t="n"/>
      <c r="AU185" s="65" t="n"/>
      <c r="AV185" s="65" t="n"/>
      <c r="AW185" s="65" t="n"/>
      <c r="AX185" s="65" t="n"/>
      <c r="AY185" s="65" t="n"/>
      <c r="AZ185" s="65" t="n"/>
      <c r="BA185" s="65" t="n"/>
      <c r="BB185" s="65" t="n"/>
      <c r="BC185" s="65" t="n"/>
      <c r="BD185" s="65" t="n"/>
      <c r="BE185" s="65" t="n"/>
      <c r="BF185" s="65" t="n"/>
      <c r="BG185" s="65" t="n"/>
    </row>
    <row r="186">
      <c r="F186" s="68" t="n"/>
      <c r="G186" s="68">
        <f>IF(B186="","",F186-I186 )</f>
        <v/>
      </c>
      <c r="H186" s="5">
        <f>IF(G186="","",G186/F186)</f>
        <v/>
      </c>
      <c r="J186" s="65" t="n"/>
      <c r="K186" s="64" t="n"/>
      <c r="L186" s="64" t="n"/>
      <c r="M186" s="64" t="n"/>
      <c r="N186" s="64" t="n"/>
      <c r="O186" s="65" t="n"/>
      <c r="P186" s="65" t="n"/>
      <c r="Q186" s="65" t="n"/>
      <c r="R186" s="65" t="n"/>
      <c r="S186" s="64" t="n"/>
      <c r="T186" s="65" t="n"/>
      <c r="U186" s="64" t="n"/>
      <c r="V186" s="64" t="n"/>
      <c r="W186" s="65" t="n"/>
      <c r="X186" s="66" t="n"/>
      <c r="Y186" s="65" t="n"/>
      <c r="Z186" s="65" t="n"/>
      <c r="AA186" s="65" t="n"/>
      <c r="AB186" s="65" t="n"/>
      <c r="AC186" s="65" t="n"/>
      <c r="AD186" s="65" t="n"/>
      <c r="AE186" s="65" t="n"/>
      <c r="AF186" s="65" t="n"/>
      <c r="AG186" s="65" t="n"/>
      <c r="AH186" s="65" t="n"/>
      <c r="AI186" s="65" t="n"/>
      <c r="AJ186" s="65" t="n"/>
      <c r="AK186" s="65" t="n"/>
      <c r="AL186" s="65" t="n"/>
      <c r="AM186" s="65" t="n"/>
      <c r="AN186" s="65" t="n"/>
      <c r="AO186" s="65" t="n"/>
      <c r="AP186" s="65" t="n"/>
      <c r="AQ186" s="65" t="n"/>
      <c r="AR186" s="65" t="n"/>
      <c r="AS186" s="65" t="n"/>
      <c r="AT186" s="65" t="n"/>
      <c r="AU186" s="65" t="n"/>
      <c r="AV186" s="65" t="n"/>
      <c r="AW186" s="65" t="n"/>
      <c r="AX186" s="65" t="n"/>
      <c r="AY186" s="65" t="n"/>
      <c r="AZ186" s="65" t="n"/>
      <c r="BA186" s="65" t="n"/>
      <c r="BB186" s="65" t="n"/>
      <c r="BC186" s="65" t="n"/>
      <c r="BD186" s="65" t="n"/>
      <c r="BE186" s="65" t="n"/>
      <c r="BF186" s="65" t="n"/>
      <c r="BG186" s="65" t="n"/>
    </row>
    <row r="187">
      <c r="F187" s="68" t="n"/>
      <c r="G187" s="68">
        <f>IF(B187="","",F187-I187 )</f>
        <v/>
      </c>
      <c r="H187" s="5">
        <f>IF(G187="","",G187/F187)</f>
        <v/>
      </c>
      <c r="J187" s="65" t="n"/>
      <c r="K187" s="64" t="n"/>
      <c r="L187" s="64" t="n"/>
      <c r="M187" s="64" t="n"/>
      <c r="N187" s="64" t="n"/>
      <c r="O187" s="65" t="n"/>
      <c r="P187" s="65" t="n"/>
      <c r="Q187" s="65" t="n"/>
      <c r="R187" s="65" t="n"/>
      <c r="S187" s="64" t="n"/>
      <c r="T187" s="65" t="n"/>
      <c r="U187" s="64" t="n"/>
      <c r="V187" s="64" t="n"/>
      <c r="W187" s="65" t="n"/>
      <c r="X187" s="66" t="n"/>
      <c r="Y187" s="65" t="n"/>
      <c r="Z187" s="65" t="n"/>
      <c r="AA187" s="65" t="n"/>
      <c r="AB187" s="65" t="n"/>
      <c r="AC187" s="65" t="n"/>
      <c r="AD187" s="65" t="n"/>
      <c r="AE187" s="65" t="n"/>
      <c r="AF187" s="65" t="n"/>
      <c r="AG187" s="65" t="n"/>
      <c r="AH187" s="65" t="n"/>
      <c r="AI187" s="65" t="n"/>
      <c r="AJ187" s="65" t="n"/>
      <c r="AK187" s="65" t="n"/>
      <c r="AL187" s="65" t="n"/>
      <c r="AM187" s="65" t="n"/>
      <c r="AN187" s="65" t="n"/>
      <c r="AO187" s="65" t="n"/>
      <c r="AP187" s="65" t="n"/>
      <c r="AQ187" s="65" t="n"/>
      <c r="AR187" s="65" t="n"/>
      <c r="AS187" s="65" t="n"/>
      <c r="AT187" s="65" t="n"/>
      <c r="AU187" s="65" t="n"/>
      <c r="AV187" s="65" t="n"/>
      <c r="AW187" s="65" t="n"/>
      <c r="AX187" s="65" t="n"/>
      <c r="AY187" s="65" t="n"/>
      <c r="AZ187" s="65" t="n"/>
      <c r="BA187" s="65" t="n"/>
      <c r="BB187" s="65" t="n"/>
      <c r="BC187" s="65" t="n"/>
      <c r="BD187" s="65" t="n"/>
      <c r="BE187" s="65" t="n"/>
      <c r="BF187" s="65" t="n"/>
      <c r="BG187" s="65" t="n"/>
    </row>
    <row r="188">
      <c r="F188" s="68" t="n"/>
      <c r="G188" s="68">
        <f>IF(B188="","",F188-I188 )</f>
        <v/>
      </c>
      <c r="H188" s="5">
        <f>IF(G188="","",G188/F188)</f>
        <v/>
      </c>
      <c r="J188" s="65" t="n"/>
      <c r="K188" s="64" t="n"/>
      <c r="L188" s="64" t="n"/>
      <c r="M188" s="64" t="n"/>
      <c r="N188" s="64" t="n"/>
      <c r="O188" s="65" t="n"/>
      <c r="P188" s="65" t="n"/>
      <c r="Q188" s="65" t="n"/>
      <c r="R188" s="65" t="n"/>
      <c r="S188" s="64" t="n"/>
      <c r="T188" s="65" t="n"/>
      <c r="U188" s="64" t="n"/>
      <c r="V188" s="64" t="n"/>
      <c r="W188" s="65" t="n"/>
      <c r="X188" s="66" t="n"/>
      <c r="Y188" s="65" t="n"/>
      <c r="Z188" s="65" t="n"/>
      <c r="AA188" s="65" t="n"/>
      <c r="AB188" s="65" t="n"/>
      <c r="AC188" s="65" t="n"/>
      <c r="AD188" s="65" t="n"/>
      <c r="AE188" s="65" t="n"/>
      <c r="AF188" s="65" t="n"/>
      <c r="AG188" s="65" t="n"/>
      <c r="AH188" s="65" t="n"/>
      <c r="AI188" s="65" t="n"/>
      <c r="AJ188" s="65" t="n"/>
      <c r="AK188" s="65" t="n"/>
      <c r="AL188" s="65" t="n"/>
      <c r="AM188" s="65" t="n"/>
      <c r="AN188" s="65" t="n"/>
      <c r="AO188" s="65" t="n"/>
      <c r="AP188" s="65" t="n"/>
      <c r="AQ188" s="65" t="n"/>
      <c r="AR188" s="65" t="n"/>
      <c r="AS188" s="65" t="n"/>
      <c r="AT188" s="65" t="n"/>
      <c r="AU188" s="65" t="n"/>
      <c r="AV188" s="65" t="n"/>
      <c r="AW188" s="65" t="n"/>
      <c r="AX188" s="65" t="n"/>
      <c r="AY188" s="65" t="n"/>
      <c r="AZ188" s="65" t="n"/>
      <c r="BA188" s="65" t="n"/>
      <c r="BB188" s="65" t="n"/>
      <c r="BC188" s="65" t="n"/>
      <c r="BD188" s="65" t="n"/>
      <c r="BE188" s="65" t="n"/>
      <c r="BF188" s="65" t="n"/>
      <c r="BG188" s="65" t="n"/>
    </row>
    <row r="189">
      <c r="A189" s="0" t="inlineStr">
        <is>
          <t>R2.10</t>
        </is>
      </c>
      <c r="B189" s="1" t="inlineStr">
        <is>
          <t>アヴニール山鳥C</t>
        </is>
      </c>
      <c r="C189" s="1" t="inlineStr">
        <is>
          <t>積水不動産</t>
        </is>
      </c>
      <c r="D189" s="1" t="inlineStr">
        <is>
          <t>塗装</t>
        </is>
      </c>
      <c r="E189" s="2" t="inlineStr">
        <is>
          <t>9月</t>
        </is>
      </c>
      <c r="F189" s="68" t="n">
        <v>1873000</v>
      </c>
      <c r="G189" s="68">
        <f>IF(B189="","",F189-I189 )</f>
        <v/>
      </c>
      <c r="H189" s="5">
        <f>IF(G189="","",G189/F189)</f>
        <v/>
      </c>
      <c r="I189" s="62">
        <f>SUM(テーブル9[[#This Row],[五大]:[工場材]])</f>
        <v/>
      </c>
      <c r="J189" s="65" t="n"/>
      <c r="K189" s="64" t="n"/>
      <c r="L189" s="64" t="n"/>
      <c r="M189" s="64" t="n">
        <v>280000</v>
      </c>
      <c r="N189" s="64" t="n"/>
      <c r="O189" s="64" t="n">
        <v>800000</v>
      </c>
      <c r="P189" s="65" t="n"/>
      <c r="Q189" s="65" t="n"/>
      <c r="R189" s="64" t="n">
        <v>35000</v>
      </c>
      <c r="S189" s="64" t="n">
        <v>35000</v>
      </c>
      <c r="T189" s="65" t="n"/>
      <c r="U189" s="64">
        <f>11300+68900</f>
        <v/>
      </c>
      <c r="V189" s="64" t="n"/>
      <c r="W189" s="65" t="n"/>
      <c r="X189" s="66" t="n"/>
      <c r="Y189" s="65" t="n"/>
      <c r="Z189" s="65" t="n"/>
      <c r="AA189" s="65" t="n">
        <v>0</v>
      </c>
      <c r="AB189" s="65" t="n"/>
      <c r="AC189" s="65" t="n"/>
      <c r="AD189" s="65" t="n"/>
      <c r="AE189" s="65" t="n"/>
      <c r="AF189" s="65" t="n"/>
      <c r="AG189" s="65" t="n"/>
      <c r="AH189" s="65" t="n"/>
      <c r="AI189" s="65" t="n"/>
      <c r="AJ189" s="65" t="n"/>
      <c r="AK189" s="65" t="n"/>
      <c r="AL189" s="65" t="n"/>
      <c r="AM189" s="65" t="n"/>
      <c r="AN189" s="65" t="n"/>
      <c r="AO189" s="65" t="n"/>
      <c r="AP189" s="65" t="n"/>
      <c r="AQ189" s="65" t="n"/>
      <c r="AR189" s="65" t="n"/>
      <c r="AS189" s="65" t="n"/>
      <c r="AT189" s="65" t="n"/>
      <c r="AU189" s="65" t="n"/>
      <c r="AV189" s="65" t="n"/>
      <c r="AW189" s="65" t="n"/>
      <c r="AX189" s="65" t="n"/>
      <c r="AY189" s="65" t="n"/>
      <c r="AZ189" s="65" t="n"/>
      <c r="BA189" s="65" t="n"/>
      <c r="BB189" s="65" t="n"/>
      <c r="BC189" s="65" t="n"/>
      <c r="BD189" s="65" t="n"/>
      <c r="BE189" s="65" t="n"/>
      <c r="BF189" s="65" t="n"/>
      <c r="BG189" s="65" t="n"/>
    </row>
    <row r="190">
      <c r="B190" s="1" t="inlineStr">
        <is>
          <t>KUBO HOUSE</t>
        </is>
      </c>
      <c r="C190" s="1" t="inlineStr">
        <is>
          <t>積水不動産</t>
        </is>
      </c>
      <c r="D190" s="1" t="inlineStr">
        <is>
          <t>塗装</t>
        </is>
      </c>
      <c r="E190" s="2" t="inlineStr">
        <is>
          <t>9月</t>
        </is>
      </c>
      <c r="F190" s="68" t="n">
        <v>1453000</v>
      </c>
      <c r="G190" s="68">
        <f>IF(B190="","",F190-I190 )</f>
        <v/>
      </c>
      <c r="H190" s="5">
        <f>IF(G190="","",G190/F190)</f>
        <v/>
      </c>
      <c r="I190" s="62">
        <f>SUM(テーブル9[[#This Row],[五大]:[工場材]])</f>
        <v/>
      </c>
      <c r="J190" s="64" t="n">
        <v>220000</v>
      </c>
      <c r="K190" s="65" t="n"/>
      <c r="L190" s="65" t="n"/>
      <c r="M190" s="65" t="n"/>
      <c r="N190" s="65" t="n"/>
      <c r="O190" s="64" t="n">
        <v>700000</v>
      </c>
      <c r="P190" s="65" t="n"/>
      <c r="Q190" s="65" t="n"/>
      <c r="R190" s="64">
        <f>53*700</f>
        <v/>
      </c>
      <c r="S190" s="64" t="n">
        <v>35000</v>
      </c>
      <c r="T190" s="65" t="n"/>
      <c r="U190" s="64">
        <f>6400+6000+76500</f>
        <v/>
      </c>
      <c r="V190" s="64" t="n"/>
      <c r="W190" s="64" t="n"/>
      <c r="X190" s="66" t="n"/>
      <c r="Y190" s="65" t="n"/>
      <c r="Z190" s="65" t="n"/>
      <c r="AA190" s="64" t="n">
        <v>16000</v>
      </c>
      <c r="AB190" s="64" t="n"/>
      <c r="AC190" s="65" t="n"/>
      <c r="AD190" s="65" t="n"/>
      <c r="AE190" s="65" t="n"/>
      <c r="AF190" s="65" t="n"/>
      <c r="AG190" s="65" t="n"/>
      <c r="AH190" s="65" t="n"/>
      <c r="AI190" s="65" t="n"/>
      <c r="AJ190" s="65" t="n"/>
      <c r="AK190" s="65" t="n"/>
      <c r="AL190" s="65" t="n"/>
      <c r="AM190" s="64" t="n">
        <v>15000</v>
      </c>
      <c r="AN190" s="65" t="n"/>
      <c r="AO190" s="65" t="n"/>
      <c r="AP190" s="65" t="n"/>
      <c r="AQ190" s="65" t="n"/>
      <c r="AR190" s="65" t="n"/>
      <c r="AS190" s="65" t="n"/>
      <c r="AT190" s="65" t="n"/>
      <c r="AU190" s="65" t="n"/>
      <c r="AV190" s="65" t="n"/>
      <c r="AW190" s="65" t="n"/>
      <c r="AX190" s="65" t="n"/>
      <c r="AY190" s="65" t="n"/>
      <c r="AZ190" s="65" t="n"/>
      <c r="BA190" s="65" t="n"/>
      <c r="BB190" s="65" t="n"/>
      <c r="BC190" s="65" t="n"/>
      <c r="BD190" s="65" t="n"/>
      <c r="BE190" s="65" t="n"/>
      <c r="BF190" s="65" t="n"/>
      <c r="BG190" s="65" t="n"/>
    </row>
    <row r="191">
      <c r="B191" s="1" t="inlineStr">
        <is>
          <t>利府 安藤邸</t>
        </is>
      </c>
      <c r="C191" s="1" t="inlineStr">
        <is>
          <t>サステム</t>
        </is>
      </c>
      <c r="D191" s="1" t="inlineStr">
        <is>
          <t>サステム　UB入替</t>
        </is>
      </c>
      <c r="F191" s="68" t="n">
        <v>711000</v>
      </c>
      <c r="G191" s="68">
        <f>IF(B191="","",F191-I191 )</f>
        <v/>
      </c>
      <c r="H191" s="5">
        <f>IF(G191="","",G191/F191)</f>
        <v/>
      </c>
      <c r="I191" s="62">
        <f>SUM(テーブル9[[#This Row],[五大]:[工場材]])</f>
        <v/>
      </c>
      <c r="J191" s="64" t="n"/>
      <c r="K191" s="65" t="n"/>
      <c r="L191" s="65" t="n"/>
      <c r="M191" s="65" t="n"/>
      <c r="N191" s="65" t="n"/>
      <c r="O191" s="65" t="n"/>
      <c r="P191" s="65" t="n"/>
      <c r="Q191" s="65" t="n"/>
      <c r="R191" s="64" t="n"/>
      <c r="S191" s="65" t="n"/>
      <c r="T191" s="65" t="n"/>
      <c r="U191" s="64" t="n"/>
      <c r="V191" s="64" t="n"/>
      <c r="W191" s="64" t="n">
        <v>150000</v>
      </c>
      <c r="X191" s="66" t="n">
        <v>22507</v>
      </c>
      <c r="Y191" s="65" t="n"/>
      <c r="Z191" s="65" t="n"/>
      <c r="AA191" s="64" t="n">
        <v>90000</v>
      </c>
      <c r="AB191" s="64" t="n">
        <v>137000</v>
      </c>
      <c r="AC191" s="65" t="n"/>
      <c r="AD191" s="65" t="n"/>
      <c r="AE191" s="65" t="n"/>
      <c r="AF191" s="65" t="n"/>
      <c r="AG191" s="65" t="n"/>
      <c r="AH191" s="65" t="n"/>
      <c r="AI191" s="65" t="n">
        <v>35000</v>
      </c>
      <c r="AJ191" s="65" t="n"/>
      <c r="AK191" s="65" t="n"/>
      <c r="AL191" s="65" t="n"/>
      <c r="AM191" s="65" t="n"/>
      <c r="AN191" s="65" t="n"/>
      <c r="AO191" s="65" t="n"/>
      <c r="AP191" s="65" t="n"/>
      <c r="AQ191" s="65" t="n"/>
      <c r="AR191" s="65" t="n"/>
      <c r="AS191" s="65" t="n"/>
      <c r="AT191" s="65" t="n"/>
      <c r="AU191" s="65" t="n"/>
      <c r="AV191" s="65" t="n"/>
      <c r="AW191" s="65" t="n"/>
      <c r="AX191" s="65" t="n"/>
      <c r="AY191" s="65" t="n"/>
      <c r="AZ191" s="65" t="n"/>
      <c r="BA191" s="65" t="n"/>
      <c r="BB191" s="65" t="n"/>
      <c r="BC191" s="65" t="n"/>
      <c r="BD191" s="65" t="n"/>
      <c r="BE191" s="65" t="n"/>
      <c r="BF191" s="65" t="n"/>
      <c r="BG191" s="65" t="n"/>
    </row>
    <row r="192">
      <c r="B192" s="1" t="inlineStr">
        <is>
          <t>高森 庄子邸</t>
        </is>
      </c>
      <c r="C192" s="1" t="inlineStr">
        <is>
          <t>LIXIL</t>
        </is>
      </c>
      <c r="D192" s="1" t="inlineStr">
        <is>
          <t>和室改修</t>
        </is>
      </c>
      <c r="E192" s="2" t="inlineStr">
        <is>
          <t>10月</t>
        </is>
      </c>
      <c r="F192" s="68" t="n">
        <v>614000</v>
      </c>
      <c r="G192" s="68">
        <f>IF(B192="","",F192-I192 )</f>
        <v/>
      </c>
      <c r="H192" s="5">
        <f>IF(G192="","",G192/F192)</f>
        <v/>
      </c>
      <c r="I192" s="62">
        <f>SUM(テーブル9[[#This Row],[五大]:[工場材]])</f>
        <v/>
      </c>
      <c r="J192" s="65" t="n"/>
      <c r="K192" s="65" t="n"/>
      <c r="L192" s="65" t="n"/>
      <c r="M192" s="65" t="n"/>
      <c r="N192" s="65" t="n"/>
      <c r="O192" s="65" t="n"/>
      <c r="P192" s="65" t="n"/>
      <c r="Q192" s="65" t="n"/>
      <c r="R192" s="65" t="n"/>
      <c r="S192" s="65" t="n"/>
      <c r="T192" s="65" t="n"/>
      <c r="U192" s="64" t="n"/>
      <c r="V192" s="64" t="n"/>
      <c r="W192" s="64" t="n">
        <v>200000</v>
      </c>
      <c r="X192" s="66" t="n">
        <v>41555</v>
      </c>
      <c r="Y192" s="64" t="n">
        <v>110000</v>
      </c>
      <c r="Z192" s="65" t="n"/>
      <c r="AA192" s="65" t="n"/>
      <c r="AB192" s="65" t="n"/>
      <c r="AC192" s="65" t="n"/>
      <c r="AD192" s="65" t="n"/>
      <c r="AE192" s="65" t="n"/>
      <c r="AF192" s="65" t="n"/>
      <c r="AG192" s="65" t="n"/>
      <c r="AH192" s="65" t="n"/>
      <c r="AI192" s="65" t="n">
        <v>50000</v>
      </c>
      <c r="AJ192" s="65" t="n"/>
      <c r="AK192" s="65" t="n"/>
      <c r="AL192" s="65" t="n"/>
      <c r="AM192" s="65" t="n"/>
      <c r="AN192" s="65" t="n"/>
      <c r="AO192" s="65" t="n"/>
      <c r="AP192" s="65" t="n"/>
      <c r="AQ192" s="65" t="n"/>
      <c r="AR192" s="65" t="n"/>
      <c r="AS192" s="65" t="n"/>
      <c r="AT192" s="65" t="n"/>
      <c r="AU192" s="65" t="n"/>
      <c r="AV192" s="65" t="n"/>
      <c r="AW192" s="65" t="n"/>
      <c r="AX192" s="65" t="n"/>
      <c r="AY192" s="65" t="n"/>
      <c r="AZ192" s="65" t="n"/>
      <c r="BA192" s="65" t="n"/>
      <c r="BB192" s="65" t="n"/>
      <c r="BC192" s="65" t="n"/>
      <c r="BD192" s="65" t="n"/>
      <c r="BE192" s="65" t="n"/>
      <c r="BF192" s="65" t="n"/>
      <c r="BG192" s="65" t="n"/>
    </row>
    <row r="193">
      <c r="B193" s="22" t="inlineStr">
        <is>
          <t>合計</t>
        </is>
      </c>
      <c r="C193" s="22" t="n"/>
      <c r="F193" s="67">
        <f>SUBTOTAL(109,F189:F192)</f>
        <v/>
      </c>
      <c r="G193" s="67">
        <f>SUBTOTAL(109,G189:G192)</f>
        <v/>
      </c>
      <c r="H193" s="14">
        <f>IF(G193="","",G193/F193)</f>
        <v/>
      </c>
      <c r="I193" s="67">
        <f>SUBTOTAL(109,I189:I192)</f>
        <v/>
      </c>
      <c r="J193" s="65" t="n"/>
      <c r="K193" s="64" t="n"/>
      <c r="L193" s="64" t="n"/>
      <c r="M193" s="64" t="n"/>
      <c r="N193" s="64" t="n"/>
      <c r="O193" s="65" t="n"/>
      <c r="P193" s="65" t="n"/>
      <c r="Q193" s="65" t="n"/>
      <c r="R193" s="65" t="n"/>
      <c r="S193" s="64" t="n"/>
      <c r="T193" s="65" t="n"/>
      <c r="U193" s="64" t="n"/>
      <c r="V193" s="64" t="n"/>
      <c r="W193" s="65" t="n"/>
      <c r="X193" s="66" t="n"/>
      <c r="Y193" s="65" t="n"/>
      <c r="Z193" s="65" t="n"/>
      <c r="AA193" s="65" t="n"/>
      <c r="AB193" s="65" t="n"/>
      <c r="AC193" s="65" t="n"/>
      <c r="AD193" s="65" t="n"/>
      <c r="AE193" s="65" t="n"/>
      <c r="AF193" s="65" t="n"/>
      <c r="AG193" s="65" t="n"/>
      <c r="AH193" s="65" t="n"/>
      <c r="AI193" s="65" t="n"/>
      <c r="AJ193" s="65" t="n"/>
      <c r="AK193" s="65" t="n"/>
      <c r="AL193" s="65" t="n"/>
      <c r="AM193" s="65" t="n"/>
      <c r="AN193" s="65" t="n"/>
      <c r="AO193" s="65" t="n"/>
      <c r="AP193" s="65" t="n"/>
      <c r="AQ193" s="65" t="n"/>
      <c r="AR193" s="65" t="n"/>
      <c r="AS193" s="65" t="n"/>
      <c r="AT193" s="65" t="n"/>
      <c r="AU193" s="65" t="n"/>
      <c r="AV193" s="65" t="n"/>
      <c r="AW193" s="65" t="n"/>
      <c r="AX193" s="65" t="n"/>
      <c r="AY193" s="65" t="n"/>
      <c r="AZ193" s="65" t="n"/>
      <c r="BA193" s="65" t="n"/>
      <c r="BB193" s="65" t="n"/>
      <c r="BC193" s="65" t="n"/>
      <c r="BD193" s="65" t="n"/>
      <c r="BE193" s="65" t="n"/>
      <c r="BF193" s="65" t="n"/>
      <c r="BG193" s="65" t="n"/>
    </row>
    <row r="194">
      <c r="F194" s="68" t="n"/>
      <c r="G194" s="68">
        <f>IF(B194="","",F194-I194 )</f>
        <v/>
      </c>
      <c r="H194" s="5">
        <f>IF(G194="","",G194/F194)</f>
        <v/>
      </c>
      <c r="J194" s="65" t="n"/>
      <c r="K194" s="65" t="n"/>
      <c r="L194" s="65" t="n"/>
      <c r="M194" s="65" t="n"/>
      <c r="N194" s="65" t="n"/>
      <c r="O194" s="65" t="n"/>
      <c r="P194" s="65" t="n"/>
      <c r="Q194" s="65" t="n"/>
      <c r="R194" s="65" t="n"/>
      <c r="S194" s="65" t="n"/>
      <c r="T194" s="65" t="n"/>
      <c r="U194" s="64" t="n"/>
      <c r="V194" s="64" t="n"/>
      <c r="W194" s="65" t="n"/>
      <c r="X194" s="66" t="n"/>
      <c r="Y194" s="65" t="n"/>
      <c r="Z194" s="65" t="n"/>
      <c r="AA194" s="65" t="n"/>
      <c r="AB194" s="65" t="n"/>
      <c r="AC194" s="65" t="n"/>
      <c r="AD194" s="65" t="n"/>
      <c r="AE194" s="65" t="n"/>
      <c r="AF194" s="65" t="n"/>
      <c r="AG194" s="65" t="n"/>
      <c r="AH194" s="65" t="n"/>
      <c r="AI194" s="65" t="n"/>
      <c r="AJ194" s="65" t="n"/>
      <c r="AK194" s="65" t="n"/>
      <c r="AL194" s="65" t="n"/>
      <c r="AM194" s="65" t="n"/>
      <c r="AN194" s="65" t="n"/>
      <c r="AO194" s="65" t="n"/>
      <c r="AP194" s="65" t="n"/>
      <c r="AQ194" s="65" t="n"/>
      <c r="AR194" s="65" t="n"/>
      <c r="AS194" s="65" t="n"/>
      <c r="AT194" s="65" t="n"/>
      <c r="AU194" s="65" t="n"/>
      <c r="AV194" s="65" t="n"/>
      <c r="AW194" s="65" t="n"/>
      <c r="AX194" s="65" t="n"/>
      <c r="AY194" s="65" t="n"/>
      <c r="AZ194" s="65" t="n"/>
      <c r="BA194" s="65" t="n"/>
      <c r="BB194" s="65" t="n"/>
      <c r="BC194" s="65" t="n"/>
      <c r="BD194" s="65" t="n"/>
      <c r="BE194" s="65" t="n"/>
      <c r="BF194" s="65" t="n"/>
      <c r="BG194" s="65" t="n"/>
    </row>
    <row r="195">
      <c r="F195" s="68" t="n"/>
      <c r="G195" s="68">
        <f>IF(B195="","",F195-I195 )</f>
        <v/>
      </c>
      <c r="H195" s="5">
        <f>IF(G195="","",G195/F195)</f>
        <v/>
      </c>
      <c r="J195" s="65" t="n"/>
      <c r="K195" s="65" t="n"/>
      <c r="L195" s="65" t="n"/>
      <c r="M195" s="65" t="n"/>
      <c r="N195" s="65" t="n"/>
      <c r="O195" s="65" t="n"/>
      <c r="P195" s="65" t="n"/>
      <c r="Q195" s="65" t="n"/>
      <c r="R195" s="65" t="n"/>
      <c r="S195" s="65" t="n"/>
      <c r="T195" s="65" t="n"/>
      <c r="U195" s="64" t="n"/>
      <c r="V195" s="64" t="n"/>
      <c r="W195" s="65" t="n"/>
      <c r="X195" s="66" t="n"/>
      <c r="Y195" s="65" t="n"/>
      <c r="Z195" s="65" t="n"/>
      <c r="AA195" s="65" t="n"/>
      <c r="AB195" s="65" t="n"/>
      <c r="AC195" s="65" t="n"/>
      <c r="AD195" s="65" t="n"/>
      <c r="AE195" s="65" t="n"/>
      <c r="AF195" s="65" t="n"/>
      <c r="AG195" s="65" t="n"/>
      <c r="AH195" s="65" t="n"/>
      <c r="AI195" s="65" t="n"/>
      <c r="AJ195" s="65" t="n"/>
      <c r="AK195" s="65" t="n"/>
      <c r="AL195" s="65" t="n"/>
      <c r="AM195" s="65" t="n"/>
      <c r="AN195" s="65" t="n"/>
      <c r="AO195" s="65" t="n"/>
      <c r="AP195" s="65" t="n"/>
      <c r="AQ195" s="65" t="n"/>
      <c r="AR195" s="65" t="n"/>
      <c r="AS195" s="65" t="n"/>
      <c r="AT195" s="65" t="n"/>
      <c r="AU195" s="65" t="n"/>
      <c r="AV195" s="65" t="n"/>
      <c r="AW195" s="65" t="n"/>
      <c r="AX195" s="65" t="n"/>
      <c r="AY195" s="65" t="n"/>
      <c r="AZ195" s="65" t="n"/>
      <c r="BA195" s="65" t="n"/>
      <c r="BB195" s="65" t="n"/>
      <c r="BC195" s="65" t="n"/>
      <c r="BD195" s="65" t="n"/>
      <c r="BE195" s="65" t="n"/>
      <c r="BF195" s="65" t="n"/>
      <c r="BG195" s="65" t="n"/>
    </row>
    <row r="196">
      <c r="A196" s="0" t="inlineStr">
        <is>
          <t>R2.11</t>
        </is>
      </c>
      <c r="B196" s="1" t="inlineStr">
        <is>
          <t>ラフィネ萩の町</t>
        </is>
      </c>
      <c r="C196" s="1" t="inlineStr">
        <is>
          <t>積水不動産</t>
        </is>
      </c>
      <c r="D196" s="1" t="inlineStr">
        <is>
          <t>塗装</t>
        </is>
      </c>
      <c r="E196" s="2" t="inlineStr">
        <is>
          <t>10月</t>
        </is>
      </c>
      <c r="F196" s="68" t="n">
        <v>1091000</v>
      </c>
      <c r="G196" s="68">
        <f>IF(B196="","",F196-I196 )</f>
        <v/>
      </c>
      <c r="H196" s="5">
        <f>IF(G196="","",G196/F196)</f>
        <v/>
      </c>
      <c r="I196" s="62">
        <f>SUM(テーブル9[[#This Row],[五大]:[工場材]])</f>
        <v/>
      </c>
      <c r="J196" s="64" t="n"/>
      <c r="K196" s="64" t="n"/>
      <c r="L196" s="64" t="n"/>
      <c r="M196" s="64" t="n">
        <v>209000</v>
      </c>
      <c r="N196" s="64" t="n"/>
      <c r="O196" s="64" t="n">
        <v>550000</v>
      </c>
      <c r="P196" s="64" t="n"/>
      <c r="Q196" s="65" t="n"/>
      <c r="R196" s="65" t="n">
        <v>25000</v>
      </c>
      <c r="S196" s="65" t="n"/>
      <c r="T196" s="65" t="n"/>
      <c r="U196" s="64" t="n">
        <v>101100</v>
      </c>
      <c r="V196" s="64" t="n"/>
      <c r="W196" s="65" t="n"/>
      <c r="X196" s="66" t="n"/>
      <c r="Y196" s="65" t="n"/>
      <c r="Z196" s="65" t="n"/>
      <c r="AA196" s="65" t="n"/>
      <c r="AB196" s="65" t="n"/>
      <c r="AC196" s="65" t="n"/>
      <c r="AD196" s="65" t="n"/>
      <c r="AE196" s="65" t="n"/>
      <c r="AF196" s="65" t="n"/>
      <c r="AG196" s="65" t="n"/>
      <c r="AH196" s="65" t="n"/>
      <c r="AI196" s="65" t="n"/>
      <c r="AJ196" s="65" t="n"/>
      <c r="AK196" s="65" t="n"/>
      <c r="AL196" s="65" t="n"/>
      <c r="AM196" s="65" t="n"/>
      <c r="AN196" s="65" t="n"/>
      <c r="AO196" s="65" t="n"/>
      <c r="AP196" s="65" t="n"/>
      <c r="AQ196" s="65" t="n"/>
      <c r="AR196" s="65" t="n"/>
      <c r="AS196" s="65" t="n"/>
      <c r="AT196" s="65" t="n"/>
      <c r="AU196" s="65" t="n"/>
      <c r="AV196" s="65" t="n"/>
      <c r="AW196" s="65" t="n"/>
      <c r="AX196" s="65" t="n"/>
      <c r="AY196" s="65" t="n"/>
      <c r="AZ196" s="65" t="n"/>
      <c r="BA196" s="65" t="n"/>
      <c r="BB196" s="65" t="n"/>
      <c r="BC196" s="65" t="n"/>
      <c r="BD196" s="65" t="n"/>
      <c r="BE196" s="65" t="n"/>
      <c r="BF196" s="65" t="n"/>
      <c r="BG196" s="65" t="n"/>
    </row>
    <row r="197">
      <c r="B197" s="1" t="inlineStr">
        <is>
          <t>台原4貸家</t>
        </is>
      </c>
      <c r="C197" s="1" t="inlineStr">
        <is>
          <t>積水不動産</t>
        </is>
      </c>
      <c r="D197" s="1" t="inlineStr">
        <is>
          <t>リフォーム</t>
        </is>
      </c>
      <c r="E197" s="2" t="inlineStr">
        <is>
          <t>11月</t>
        </is>
      </c>
      <c r="F197" s="68" t="n">
        <v>153000</v>
      </c>
      <c r="G197" s="68">
        <f>IF(B197="","",F197-I197 )</f>
        <v/>
      </c>
      <c r="H197" s="5">
        <f>IF(G197="","",G197/F197)</f>
        <v/>
      </c>
      <c r="I197" s="62">
        <f>SUM(テーブル9[[#This Row],[五大]:[工場材]])</f>
        <v/>
      </c>
      <c r="J197" s="64" t="n"/>
      <c r="K197" s="64" t="n"/>
      <c r="L197" s="64" t="n"/>
      <c r="M197" s="64" t="n"/>
      <c r="N197" s="64" t="n"/>
      <c r="O197" s="64" t="n"/>
      <c r="P197" s="64" t="n"/>
      <c r="Q197" s="65" t="n"/>
      <c r="R197" s="65" t="n"/>
      <c r="S197" s="65" t="n"/>
      <c r="T197" s="65" t="n"/>
      <c r="U197" s="64" t="n"/>
      <c r="V197" s="64" t="n"/>
      <c r="W197" s="65" t="n"/>
      <c r="X197" s="66" t="n"/>
      <c r="Y197" s="65" t="n"/>
      <c r="Z197" s="65" t="n"/>
      <c r="AA197" s="65" t="n"/>
      <c r="AB197" s="65" t="n"/>
      <c r="AC197" s="65" t="n"/>
      <c r="AD197" s="65" t="n"/>
      <c r="AE197" s="65" t="n"/>
      <c r="AF197" s="65" t="n"/>
      <c r="AG197" s="65" t="n"/>
      <c r="AH197" s="65" t="n"/>
      <c r="AI197" s="65" t="n"/>
      <c r="AJ197" s="65" t="n"/>
      <c r="AK197" s="65" t="n"/>
      <c r="AL197" s="65" t="n"/>
      <c r="AM197" s="65" t="n"/>
      <c r="AN197" s="65" t="n"/>
      <c r="AO197" s="65" t="n"/>
      <c r="AP197" s="65" t="n"/>
      <c r="AQ197" s="65" t="n"/>
      <c r="AR197" s="65" t="n"/>
      <c r="AS197" s="65" t="n"/>
      <c r="AT197" s="65" t="n"/>
      <c r="AU197" s="65" t="n"/>
      <c r="AV197" s="65" t="n"/>
      <c r="AW197" s="65" t="n"/>
      <c r="AX197" s="65" t="n"/>
      <c r="AY197" s="65" t="n"/>
      <c r="AZ197" s="65" t="n"/>
      <c r="BA197" s="65" t="n"/>
      <c r="BB197" s="65" t="n"/>
      <c r="BC197" s="65" t="n"/>
      <c r="BD197" s="65" t="n"/>
      <c r="BE197" s="65" t="n"/>
      <c r="BF197" s="65" t="n"/>
      <c r="BG197" s="65" t="n"/>
    </row>
    <row r="198">
      <c r="B198" s="1" t="inlineStr">
        <is>
          <t>シャンパーニュ勝山</t>
        </is>
      </c>
      <c r="C198" s="1" t="inlineStr">
        <is>
          <t>積水不動産</t>
        </is>
      </c>
      <c r="D198" s="1" t="inlineStr">
        <is>
          <t>塗装</t>
        </is>
      </c>
      <c r="E198" s="2" t="inlineStr">
        <is>
          <t>10月</t>
        </is>
      </c>
      <c r="F198" s="68" t="n">
        <v>1540000</v>
      </c>
      <c r="G198" s="68">
        <f>IF(B198="","",F198-I198 )</f>
        <v/>
      </c>
      <c r="H198" s="5">
        <f>IF(G198="","",G198/F198)</f>
        <v/>
      </c>
      <c r="I198" s="62">
        <f>SUM(テーブル9[[#This Row],[五大]:[工場材]])</f>
        <v/>
      </c>
      <c r="J198" s="64" t="n"/>
      <c r="K198" s="64" t="n">
        <v>214500</v>
      </c>
      <c r="L198" s="64" t="n"/>
      <c r="M198" s="64" t="n"/>
      <c r="N198" s="64" t="n"/>
      <c r="O198" s="64" t="n"/>
      <c r="P198" s="64" t="n">
        <v>650000</v>
      </c>
      <c r="Q198" s="65" t="n"/>
      <c r="R198" s="64">
        <f>67*700</f>
        <v/>
      </c>
      <c r="S198" s="64" t="n">
        <v>35000</v>
      </c>
      <c r="T198" s="65" t="n"/>
      <c r="U198" s="64">
        <f>44000</f>
        <v/>
      </c>
      <c r="V198" s="64" t="n"/>
      <c r="W198" s="65" t="n"/>
      <c r="X198" s="66" t="n"/>
      <c r="Y198" s="65" t="n"/>
      <c r="Z198" s="65" t="n"/>
      <c r="AA198" s="65" t="n"/>
      <c r="AB198" s="65" t="n"/>
      <c r="AC198" s="65" t="n"/>
      <c r="AD198" s="65" t="n"/>
      <c r="AE198" s="65" t="n"/>
      <c r="AF198" s="65" t="n"/>
      <c r="AG198" s="65" t="n"/>
      <c r="AH198" s="65" t="n"/>
      <c r="AI198" s="65" t="n"/>
      <c r="AJ198" s="65" t="n"/>
      <c r="AK198" s="65" t="n"/>
      <c r="AL198" s="65" t="n"/>
      <c r="AM198" s="64" t="n">
        <v>10000</v>
      </c>
      <c r="AN198" s="65" t="n"/>
      <c r="AO198" s="65" t="n"/>
      <c r="AP198" s="65" t="n"/>
      <c r="AQ198" s="65" t="n"/>
      <c r="AR198" s="65" t="n"/>
      <c r="AS198" s="65" t="n"/>
      <c r="AT198" s="65" t="n"/>
      <c r="AU198" s="65" t="n"/>
      <c r="AV198" s="65" t="n"/>
      <c r="AW198" s="65" t="n"/>
      <c r="AX198" s="65" t="n"/>
      <c r="AY198" s="65" t="n"/>
      <c r="AZ198" s="65" t="n"/>
      <c r="BA198" s="65" t="n"/>
      <c r="BB198" s="65" t="n"/>
      <c r="BC198" s="65" t="n"/>
      <c r="BD198" s="65" t="n"/>
      <c r="BE198" s="65" t="n"/>
      <c r="BF198" s="65" t="n"/>
      <c r="BG198" s="65" t="n"/>
    </row>
    <row r="199">
      <c r="B199" s="1" t="inlineStr">
        <is>
          <t>鷹の森 戸建て</t>
        </is>
      </c>
      <c r="C199" s="1" t="inlineStr">
        <is>
          <t>積水不動産</t>
        </is>
      </c>
      <c r="D199" s="1" t="inlineStr">
        <is>
          <t>LIXIL　UB</t>
        </is>
      </c>
      <c r="E199" s="2" t="inlineStr">
        <is>
          <t>10月</t>
        </is>
      </c>
      <c r="F199" s="68" t="n">
        <v>474300</v>
      </c>
      <c r="G199" s="68">
        <f>IF(B199="","",F199-I199 )</f>
        <v/>
      </c>
      <c r="H199" s="5">
        <f>IF(G199="","",G199/F199)</f>
        <v/>
      </c>
      <c r="I199" s="62">
        <f>SUM(テーブル9[[#This Row],[五大]:[工場材]])</f>
        <v/>
      </c>
      <c r="J199" s="64" t="n"/>
      <c r="K199" s="64" t="n"/>
      <c r="L199" s="64" t="n"/>
      <c r="M199" s="64" t="n"/>
      <c r="N199" s="64" t="n"/>
      <c r="O199" s="64" t="n"/>
      <c r="P199" s="64" t="n"/>
      <c r="Q199" s="65" t="n"/>
      <c r="R199" s="65" t="n"/>
      <c r="S199" s="65" t="n"/>
      <c r="T199" s="65" t="n"/>
      <c r="U199" s="64" t="n"/>
      <c r="V199" s="64" t="n"/>
      <c r="W199" s="64" t="n">
        <v>150000</v>
      </c>
      <c r="X199" s="66" t="n">
        <v>22075</v>
      </c>
      <c r="Y199" s="65" t="n"/>
      <c r="Z199" s="65" t="n"/>
      <c r="AA199" s="64" t="n">
        <v>60000</v>
      </c>
      <c r="AB199" s="64" t="n">
        <v>130000</v>
      </c>
      <c r="AC199" s="65" t="n"/>
      <c r="AD199" s="65" t="n"/>
      <c r="AE199" s="65" t="n"/>
      <c r="AF199" s="65" t="n"/>
      <c r="AG199" s="65" t="n"/>
      <c r="AH199" s="65" t="n"/>
      <c r="AI199" s="65" t="n">
        <v>18000</v>
      </c>
      <c r="AJ199" s="65" t="n"/>
      <c r="AK199" s="65" t="n"/>
      <c r="AL199" s="65" t="n"/>
      <c r="AM199" s="65" t="n"/>
      <c r="AN199" s="65" t="n"/>
      <c r="AO199" s="65" t="n"/>
      <c r="AP199" s="65" t="n"/>
      <c r="AQ199" s="65" t="n"/>
      <c r="AR199" s="65" t="n"/>
      <c r="AS199" s="65" t="n"/>
      <c r="AT199" s="65" t="n"/>
      <c r="AU199" s="65" t="n"/>
      <c r="AV199" s="65" t="n"/>
      <c r="AW199" s="65" t="n"/>
      <c r="AX199" s="65" t="n"/>
      <c r="AY199" s="65" t="n"/>
      <c r="AZ199" s="65" t="n">
        <v>3000</v>
      </c>
      <c r="BA199" s="65" t="n"/>
      <c r="BB199" s="65" t="n"/>
      <c r="BC199" s="65" t="n"/>
      <c r="BD199" s="65" t="n"/>
      <c r="BE199" s="65" t="n"/>
      <c r="BF199" s="65" t="n"/>
      <c r="BG199" s="65" t="n"/>
    </row>
    <row r="200">
      <c r="B200" s="1" t="inlineStr">
        <is>
          <t>クレイヒルズ</t>
        </is>
      </c>
      <c r="C200" s="1" t="inlineStr">
        <is>
          <t>積水不動産</t>
        </is>
      </c>
      <c r="D200" s="1" t="inlineStr">
        <is>
          <t>塗装</t>
        </is>
      </c>
      <c r="E200" s="2" t="inlineStr">
        <is>
          <t>10月</t>
        </is>
      </c>
      <c r="F200" s="68" t="n">
        <v>1520000</v>
      </c>
      <c r="G200" s="68">
        <f>IF(B200="","",F200-I200 )</f>
        <v/>
      </c>
      <c r="H200" s="5">
        <f>IF(G200="","",G200/F200)</f>
        <v/>
      </c>
      <c r="I200" s="62">
        <f>SUM(テーブル9[[#This Row],[五大]:[工場材]])</f>
        <v/>
      </c>
      <c r="J200" s="64" t="n"/>
      <c r="K200" s="64" t="n">
        <v>208000</v>
      </c>
      <c r="L200" s="64" t="n"/>
      <c r="M200" s="64" t="n"/>
      <c r="N200" s="64" t="n"/>
      <c r="O200" s="64" t="n">
        <v>750000</v>
      </c>
      <c r="P200" s="64" t="n"/>
      <c r="Q200" s="65" t="n"/>
      <c r="R200" s="64">
        <f>42*700</f>
        <v/>
      </c>
      <c r="S200" s="64" t="n">
        <v>35000</v>
      </c>
      <c r="T200" s="65" t="n"/>
      <c r="U200" s="64">
        <f>95900+38100</f>
        <v/>
      </c>
      <c r="V200" s="64" t="n"/>
      <c r="W200" s="65" t="n"/>
      <c r="X200" s="66" t="n"/>
      <c r="Y200" s="65" t="n"/>
      <c r="Z200" s="65" t="n"/>
      <c r="AA200" s="65" t="n"/>
      <c r="AB200" s="65" t="n"/>
      <c r="AC200" s="65" t="n"/>
      <c r="AD200" s="65" t="n"/>
      <c r="AE200" s="65" t="n"/>
      <c r="AF200" s="65" t="n"/>
      <c r="AG200" s="65" t="n"/>
      <c r="AH200" s="65" t="n"/>
      <c r="AI200" s="65" t="n"/>
      <c r="AJ200" s="65" t="n"/>
      <c r="AK200" s="65" t="n"/>
      <c r="AL200" s="65" t="n"/>
      <c r="AM200" s="65" t="n"/>
      <c r="AN200" s="65" t="n"/>
      <c r="AO200" s="65" t="n"/>
      <c r="AP200" s="65" t="n"/>
      <c r="AQ200" s="65" t="n"/>
      <c r="AR200" s="65" t="n"/>
      <c r="AS200" s="65" t="n"/>
      <c r="AT200" s="65" t="n"/>
      <c r="AU200" s="65" t="n"/>
      <c r="AV200" s="65" t="n"/>
      <c r="AW200" s="65" t="n"/>
      <c r="AX200" s="65" t="n"/>
      <c r="AY200" s="65" t="n"/>
      <c r="AZ200" s="65" t="n"/>
      <c r="BA200" s="65" t="n"/>
      <c r="BB200" s="65" t="n"/>
      <c r="BC200" s="65" t="n"/>
      <c r="BD200" s="65" t="n"/>
      <c r="BE200" s="65" t="n"/>
      <c r="BF200" s="65" t="n"/>
      <c r="BG200" s="65" t="n"/>
    </row>
    <row r="201">
      <c r="B201" s="1" t="inlineStr">
        <is>
          <t>ウッディベル</t>
        </is>
      </c>
      <c r="C201" s="1" t="inlineStr">
        <is>
          <t>積水不動産</t>
        </is>
      </c>
      <c r="D201" s="1" t="inlineStr">
        <is>
          <t>塗装（吹付）</t>
        </is>
      </c>
      <c r="E201" s="2" t="inlineStr">
        <is>
          <t>10月</t>
        </is>
      </c>
      <c r="F201" s="68" t="n">
        <v>1980000</v>
      </c>
      <c r="G201" s="68">
        <f>IF(B201="","",F201-I201 )</f>
        <v/>
      </c>
      <c r="H201" s="5">
        <f>IF(G201="","",G201/F201)</f>
        <v/>
      </c>
      <c r="I201" s="62">
        <f>SUM(テーブル9[[#This Row],[五大]:[工場材]])</f>
        <v/>
      </c>
      <c r="J201" s="64" t="n">
        <v>215000</v>
      </c>
      <c r="K201" s="64" t="n"/>
      <c r="L201" s="64" t="n"/>
      <c r="M201" s="64" t="n"/>
      <c r="N201" s="64" t="n"/>
      <c r="O201" s="65" t="n">
        <v>850000</v>
      </c>
      <c r="P201" s="65" t="n"/>
      <c r="Q201" s="65" t="n"/>
      <c r="R201" s="64">
        <f>69*700</f>
        <v/>
      </c>
      <c r="S201" s="64" t="n">
        <v>35000</v>
      </c>
      <c r="T201" s="65" t="n"/>
      <c r="U201" s="64">
        <f>175000+95600+23900+5900+11250</f>
        <v/>
      </c>
      <c r="V201" s="64" t="n"/>
      <c r="W201" s="64" t="n">
        <v>40000</v>
      </c>
      <c r="X201" s="66" t="n"/>
      <c r="Y201" s="65" t="n"/>
      <c r="Z201" s="65" t="n"/>
      <c r="AA201" s="65" t="n"/>
      <c r="AB201" s="65" t="n"/>
      <c r="AC201" s="65" t="n"/>
      <c r="AD201" s="65" t="n"/>
      <c r="AE201" s="65" t="n"/>
      <c r="AF201" s="65" t="n"/>
      <c r="AG201" s="65" t="n"/>
      <c r="AH201" s="65" t="n"/>
      <c r="AI201" s="65" t="n"/>
      <c r="AJ201" s="65" t="n"/>
      <c r="AK201" s="65" t="n"/>
      <c r="AL201" s="65" t="n"/>
      <c r="AM201" s="65" t="n"/>
      <c r="AN201" s="65" t="n"/>
      <c r="AO201" s="65" t="n"/>
      <c r="AP201" s="65" t="n"/>
      <c r="AQ201" s="65" t="n"/>
      <c r="AR201" s="65" t="n"/>
      <c r="AS201" s="65" t="n"/>
      <c r="AT201" s="65" t="n"/>
      <c r="AU201" s="65" t="n"/>
      <c r="AV201" s="65" t="n"/>
      <c r="AW201" s="65" t="n"/>
      <c r="AX201" s="65" t="n"/>
      <c r="AY201" s="65" t="n"/>
      <c r="AZ201" s="65" t="n"/>
      <c r="BA201" s="65" t="n"/>
      <c r="BB201" s="65" t="n"/>
      <c r="BC201" s="65" t="n"/>
      <c r="BD201" s="65" t="n"/>
      <c r="BE201" s="65" t="n"/>
      <c r="BF201" s="65" t="n"/>
      <c r="BG201" s="65" t="n">
        <v>0</v>
      </c>
      <c r="BH201" s="0" t="inlineStr">
        <is>
          <t>樋交換</t>
        </is>
      </c>
    </row>
    <row r="202">
      <c r="B202" s="1" t="inlineStr">
        <is>
          <t>鶴ケ谷 丹野邸</t>
        </is>
      </c>
      <c r="C202" s="1" t="inlineStr">
        <is>
          <t>サステム</t>
        </is>
      </c>
      <c r="D202" s="1" t="inlineStr">
        <is>
          <t>サステム　換気扇交換</t>
        </is>
      </c>
      <c r="E202" s="2" t="inlineStr">
        <is>
          <t>10月</t>
        </is>
      </c>
      <c r="F202" s="68" t="n">
        <v>76000</v>
      </c>
      <c r="G202" s="68">
        <f>IF(B202="","",F202-I202 )</f>
        <v/>
      </c>
      <c r="H202" s="5">
        <f>IF(G202="","",G202/F202)</f>
        <v/>
      </c>
      <c r="I202" s="62">
        <f>SUM(テーブル9[[#This Row],[五大]:[工場材]])</f>
        <v/>
      </c>
      <c r="J202" s="64" t="n"/>
      <c r="K202" s="64" t="n"/>
      <c r="L202" s="64" t="n"/>
      <c r="M202" s="64" t="n"/>
      <c r="N202" s="64" t="n"/>
      <c r="O202" s="65" t="n"/>
      <c r="P202" s="65" t="n"/>
      <c r="Q202" s="65" t="n"/>
      <c r="R202" s="64" t="n"/>
      <c r="S202" s="65" t="n"/>
      <c r="T202" s="65" t="n"/>
      <c r="U202" s="64" t="n"/>
      <c r="V202" s="64" t="n"/>
      <c r="W202" s="64" t="n">
        <v>20000</v>
      </c>
      <c r="X202" s="66" t="n"/>
      <c r="Y202" s="64" t="n"/>
      <c r="Z202" s="64" t="n"/>
      <c r="AA202" s="64" t="n">
        <v>40000</v>
      </c>
      <c r="AB202" s="65" t="n"/>
      <c r="AC202" s="65" t="n"/>
      <c r="AD202" s="65" t="n"/>
      <c r="AE202" s="65" t="n"/>
      <c r="AF202" s="65" t="n"/>
      <c r="AG202" s="65" t="n"/>
      <c r="AH202" s="65" t="n"/>
      <c r="AI202" s="65" t="n"/>
      <c r="AJ202" s="65" t="n"/>
      <c r="AK202" s="65" t="n"/>
      <c r="AL202" s="65" t="n"/>
      <c r="AM202" s="65" t="n"/>
      <c r="AN202" s="65" t="n"/>
      <c r="AO202" s="65" t="n"/>
      <c r="AP202" s="65" t="n"/>
      <c r="AQ202" s="65" t="n"/>
      <c r="AR202" s="65" t="n"/>
      <c r="AS202" s="65" t="n"/>
      <c r="AT202" s="65" t="n"/>
      <c r="AU202" s="65" t="n"/>
      <c r="AV202" s="65" t="n"/>
      <c r="AW202" s="65" t="n"/>
      <c r="AX202" s="65" t="n"/>
      <c r="AY202" s="65" t="n"/>
      <c r="AZ202" s="65" t="n"/>
      <c r="BA202" s="65" t="n"/>
      <c r="BB202" s="65" t="n"/>
      <c r="BC202" s="65" t="n"/>
      <c r="BD202" s="65" t="n"/>
      <c r="BE202" s="65" t="n"/>
      <c r="BF202" s="65" t="n"/>
      <c r="BG202" s="65" t="n"/>
    </row>
    <row r="203">
      <c r="B203" s="1" t="inlineStr">
        <is>
          <t>西ノ平 楠木亭</t>
        </is>
      </c>
      <c r="C203" s="1" t="inlineStr">
        <is>
          <t>サステム</t>
        </is>
      </c>
      <c r="D203" s="1" t="inlineStr">
        <is>
          <t>サステム　便所改造</t>
        </is>
      </c>
      <c r="E203" s="2" t="inlineStr">
        <is>
          <t>10月</t>
        </is>
      </c>
      <c r="F203" s="68" t="n">
        <v>167000</v>
      </c>
      <c r="G203" s="68">
        <f>IF(B203="","",F203-I203 )</f>
        <v/>
      </c>
      <c r="H203" s="5">
        <f>IF(G203="","",G203/F203)</f>
        <v/>
      </c>
      <c r="I203" s="62">
        <f>SUM(テーブル9[[#This Row],[五大]:[工場材]])</f>
        <v/>
      </c>
      <c r="J203" s="64" t="n"/>
      <c r="K203" s="64" t="n"/>
      <c r="L203" s="64" t="n"/>
      <c r="M203" s="64" t="n"/>
      <c r="N203" s="64" t="n"/>
      <c r="O203" s="65" t="n"/>
      <c r="P203" s="65" t="n"/>
      <c r="Q203" s="65" t="n"/>
      <c r="R203" s="65" t="n"/>
      <c r="S203" s="65" t="n"/>
      <c r="T203" s="65" t="n"/>
      <c r="U203" s="64" t="n"/>
      <c r="V203" s="64" t="n"/>
      <c r="W203" s="64" t="n">
        <v>90000</v>
      </c>
      <c r="X203" s="66" t="n"/>
      <c r="Y203" s="65" t="n"/>
      <c r="Z203" s="65" t="n"/>
      <c r="AA203" s="65" t="n"/>
      <c r="AB203" s="64" t="n">
        <v>18000</v>
      </c>
      <c r="AC203" s="65" t="n"/>
      <c r="AD203" s="65" t="n"/>
      <c r="AE203" s="65" t="n"/>
      <c r="AF203" s="65" t="n"/>
      <c r="AG203" s="65" t="n"/>
      <c r="AH203" s="65" t="n"/>
      <c r="AI203" s="65" t="n">
        <v>15000</v>
      </c>
      <c r="AJ203" s="65" t="n"/>
      <c r="AK203" s="65" t="n"/>
      <c r="AL203" s="65" t="n"/>
      <c r="AM203" s="65" t="n"/>
      <c r="AN203" s="65" t="n"/>
      <c r="AO203" s="65" t="n"/>
      <c r="AP203" s="65" t="n"/>
      <c r="AQ203" s="65" t="n"/>
      <c r="AR203" s="65" t="n"/>
      <c r="AS203" s="65" t="n"/>
      <c r="AT203" s="65" t="n"/>
      <c r="AU203" s="65" t="n"/>
      <c r="AV203" s="65" t="n"/>
      <c r="AW203" s="65" t="n"/>
      <c r="AX203" s="65" t="n"/>
      <c r="AY203" s="65" t="n"/>
      <c r="AZ203" s="65" t="n"/>
      <c r="BA203" s="65" t="n"/>
      <c r="BB203" s="65" t="n"/>
      <c r="BC203" s="65" t="n"/>
      <c r="BD203" s="65" t="n"/>
      <c r="BE203" s="65" t="n"/>
      <c r="BF203" s="65" t="n"/>
      <c r="BG203" s="65" t="n"/>
    </row>
    <row r="204">
      <c r="B204" s="22" t="inlineStr">
        <is>
          <t>合計</t>
        </is>
      </c>
      <c r="C204" s="22" t="n"/>
      <c r="F204" s="67">
        <f>SUBTOTAL(109,F200:F203)</f>
        <v/>
      </c>
      <c r="G204" s="67">
        <f>SUBTOTAL(109,G200:G203)</f>
        <v/>
      </c>
      <c r="H204" s="14">
        <f>IF(G204="","",G204/F204)</f>
        <v/>
      </c>
      <c r="I204" s="67">
        <f>SUBTOTAL(109,I200:I203)</f>
        <v/>
      </c>
      <c r="J204" s="65" t="n"/>
      <c r="K204" s="64" t="n"/>
      <c r="L204" s="64" t="n"/>
      <c r="M204" s="64" t="n"/>
      <c r="N204" s="64" t="n"/>
      <c r="O204" s="65" t="n"/>
      <c r="P204" s="65" t="n"/>
      <c r="Q204" s="65" t="n"/>
      <c r="R204" s="65" t="n"/>
      <c r="S204" s="64" t="n"/>
      <c r="T204" s="65" t="n"/>
      <c r="U204" s="64" t="n"/>
      <c r="V204" s="64" t="n"/>
      <c r="W204" s="65" t="n"/>
      <c r="X204" s="66" t="n"/>
      <c r="Y204" s="65" t="n"/>
      <c r="Z204" s="65" t="n"/>
      <c r="AA204" s="65" t="n"/>
      <c r="AB204" s="65" t="n"/>
      <c r="AC204" s="65" t="n"/>
      <c r="AD204" s="65" t="n"/>
      <c r="AE204" s="65" t="n"/>
      <c r="AF204" s="65" t="n"/>
      <c r="AG204" s="65" t="n"/>
      <c r="AH204" s="65" t="n"/>
      <c r="AI204" s="65" t="n"/>
      <c r="AJ204" s="65" t="n"/>
      <c r="AK204" s="65" t="n"/>
      <c r="AL204" s="65" t="n"/>
      <c r="AM204" s="65" t="n"/>
      <c r="AN204" s="65" t="n"/>
      <c r="AO204" s="65" t="n"/>
      <c r="AP204" s="65" t="n"/>
      <c r="AQ204" s="65" t="n"/>
      <c r="AR204" s="65" t="n"/>
      <c r="AS204" s="65" t="n"/>
      <c r="AT204" s="65" t="n"/>
      <c r="AU204" s="65" t="n"/>
      <c r="AV204" s="65" t="n"/>
      <c r="AW204" s="65" t="n"/>
      <c r="AX204" s="65" t="n"/>
      <c r="AY204" s="65" t="n"/>
      <c r="AZ204" s="65" t="n"/>
      <c r="BA204" s="65" t="n"/>
      <c r="BB204" s="65" t="n"/>
      <c r="BC204" s="65" t="n"/>
      <c r="BD204" s="65" t="n"/>
      <c r="BE204" s="65" t="n"/>
      <c r="BF204" s="65" t="n"/>
      <c r="BG204" s="65" t="n"/>
    </row>
    <row r="205">
      <c r="F205" s="68" t="n"/>
      <c r="G205" s="68">
        <f>IF(B205="","",F205-I205 )</f>
        <v/>
      </c>
      <c r="H205" s="5">
        <f>IF(G205="","",G205/F205)</f>
        <v/>
      </c>
      <c r="J205" s="64" t="n"/>
      <c r="K205" s="64" t="n"/>
      <c r="L205" s="64" t="n"/>
      <c r="M205" s="64" t="n"/>
      <c r="N205" s="64" t="n"/>
      <c r="O205" s="65" t="n"/>
      <c r="P205" s="65" t="n"/>
      <c r="Q205" s="65" t="n"/>
      <c r="R205" s="65" t="n"/>
      <c r="S205" s="65" t="n"/>
      <c r="T205" s="65" t="n"/>
      <c r="U205" s="64" t="n"/>
      <c r="V205" s="64" t="n"/>
      <c r="W205" s="64" t="n"/>
      <c r="X205" s="66" t="n"/>
      <c r="Y205" s="65" t="n"/>
      <c r="Z205" s="65" t="n"/>
      <c r="AA205" s="65" t="n"/>
      <c r="AB205" s="64" t="n"/>
      <c r="AC205" s="65" t="n"/>
      <c r="AD205" s="65" t="n"/>
      <c r="AE205" s="65" t="n"/>
      <c r="AF205" s="65" t="n"/>
      <c r="AG205" s="65" t="n"/>
      <c r="AH205" s="65" t="n"/>
      <c r="AI205" s="65" t="n"/>
      <c r="AJ205" s="65" t="n"/>
      <c r="AK205" s="65" t="n"/>
      <c r="AL205" s="65" t="n"/>
      <c r="AM205" s="65" t="n"/>
      <c r="AN205" s="65" t="n"/>
      <c r="AO205" s="65" t="n"/>
      <c r="AP205" s="65" t="n"/>
      <c r="AQ205" s="65" t="n"/>
      <c r="AR205" s="65" t="n"/>
      <c r="AS205" s="65" t="n"/>
      <c r="AT205" s="65" t="n"/>
      <c r="AU205" s="65" t="n"/>
      <c r="AV205" s="65" t="n"/>
      <c r="AW205" s="65" t="n"/>
      <c r="AX205" s="65" t="n"/>
      <c r="AY205" s="65" t="n"/>
      <c r="AZ205" s="65" t="n"/>
      <c r="BA205" s="65" t="n"/>
      <c r="BB205" s="65" t="n"/>
      <c r="BC205" s="65" t="n"/>
      <c r="BD205" s="65" t="n"/>
      <c r="BE205" s="65" t="n"/>
      <c r="BF205" s="65" t="n"/>
      <c r="BG205" s="65" t="n"/>
    </row>
    <row r="206">
      <c r="F206" s="68" t="n"/>
      <c r="G206" s="68">
        <f>IF(B206="","",F206-I206 )</f>
        <v/>
      </c>
      <c r="H206" s="5">
        <f>IF(G206="","",G206/F206)</f>
        <v/>
      </c>
      <c r="J206" s="65" t="n"/>
      <c r="K206" s="65" t="n"/>
      <c r="L206" s="65" t="n"/>
      <c r="M206" s="65" t="n"/>
      <c r="N206" s="65" t="n"/>
      <c r="O206" s="65" t="n"/>
      <c r="P206" s="65" t="n"/>
      <c r="Q206" s="65" t="n"/>
      <c r="R206" s="65" t="n"/>
      <c r="S206" s="65" t="n"/>
      <c r="T206" s="65" t="n"/>
      <c r="U206" s="64" t="n"/>
      <c r="V206" s="64" t="n"/>
      <c r="W206" s="65" t="n"/>
      <c r="X206" s="66" t="n"/>
      <c r="Y206" s="65" t="n"/>
      <c r="Z206" s="65" t="n"/>
      <c r="AA206" s="65" t="n"/>
      <c r="AB206" s="65" t="n"/>
      <c r="AC206" s="65" t="n"/>
      <c r="AD206" s="65" t="n"/>
      <c r="AE206" s="65" t="n"/>
      <c r="AF206" s="65" t="n"/>
      <c r="AG206" s="65" t="n"/>
      <c r="AH206" s="65" t="n"/>
      <c r="AI206" s="65" t="n"/>
      <c r="AJ206" s="65" t="n"/>
      <c r="AK206" s="65" t="n"/>
      <c r="AL206" s="65" t="n"/>
      <c r="AM206" s="65" t="n"/>
      <c r="AN206" s="65" t="n"/>
      <c r="AO206" s="65" t="n"/>
      <c r="AP206" s="65" t="n"/>
      <c r="AQ206" s="65" t="n"/>
      <c r="AR206" s="65" t="n"/>
      <c r="AS206" s="65" t="n"/>
      <c r="AT206" s="65" t="n"/>
      <c r="AU206" s="65" t="n"/>
      <c r="AV206" s="65" t="n"/>
      <c r="AW206" s="65" t="n"/>
      <c r="AX206" s="65" t="n"/>
      <c r="AY206" s="65" t="n"/>
      <c r="AZ206" s="65" t="n"/>
      <c r="BA206" s="65" t="n"/>
      <c r="BB206" s="65" t="n"/>
      <c r="BC206" s="65" t="n"/>
      <c r="BD206" s="65" t="n"/>
      <c r="BE206" s="65" t="n"/>
      <c r="BF206" s="65" t="n"/>
      <c r="BG206" s="65" t="n"/>
    </row>
    <row r="207">
      <c r="A207" s="0" t="inlineStr">
        <is>
          <t>R2.12</t>
        </is>
      </c>
      <c r="B207" s="1" t="inlineStr">
        <is>
          <t>名取 高橋邸</t>
        </is>
      </c>
      <c r="C207" s="1" t="inlineStr">
        <is>
          <t>サステム</t>
        </is>
      </c>
      <c r="D207" s="1" t="inlineStr">
        <is>
          <t>UB入替+外壁貼替</t>
        </is>
      </c>
      <c r="E207" s="2" t="inlineStr">
        <is>
          <t>11月</t>
        </is>
      </c>
      <c r="F207" s="68" t="n">
        <v>340000</v>
      </c>
      <c r="G207" s="68">
        <f>IF(B207="","",F207-I207 )</f>
        <v/>
      </c>
      <c r="H207" s="5">
        <f>IF(G207="","",G207/F207)</f>
        <v/>
      </c>
      <c r="I207" s="62">
        <f>SUM(テーブル9[[#This Row],[五大]:[工場材]])</f>
        <v/>
      </c>
      <c r="J207" s="65" t="n"/>
      <c r="K207" s="65" t="n"/>
      <c r="L207" s="65" t="n"/>
      <c r="M207" s="65" t="n"/>
      <c r="N207" s="65" t="n"/>
      <c r="O207" s="64" t="n">
        <v>40000</v>
      </c>
      <c r="P207" s="65" t="n"/>
      <c r="Q207" s="65" t="n"/>
      <c r="R207" s="65" t="n"/>
      <c r="S207" s="65" t="n"/>
      <c r="T207" s="65" t="n"/>
      <c r="U207" s="64" t="n"/>
      <c r="V207" s="64" t="n"/>
      <c r="W207" s="64" t="n">
        <v>170000</v>
      </c>
      <c r="X207" s="66" t="n">
        <v>17170</v>
      </c>
      <c r="Y207" s="65" t="n"/>
      <c r="Z207" s="65" t="n"/>
      <c r="AA207" s="64" t="n">
        <v>58000</v>
      </c>
      <c r="AB207" s="65" t="n"/>
      <c r="AC207" s="65" t="n"/>
      <c r="AD207" s="65" t="n"/>
      <c r="AE207" s="65" t="n"/>
      <c r="AF207" s="65" t="n"/>
      <c r="AG207" s="65" t="n"/>
      <c r="AH207" s="65" t="n"/>
      <c r="AI207" s="65" t="n"/>
      <c r="AJ207" s="65" t="n"/>
      <c r="AK207" s="65" t="n"/>
      <c r="AL207" s="65" t="n"/>
      <c r="AM207" s="65" t="n"/>
      <c r="AN207" s="65" t="n"/>
      <c r="AO207" s="64" t="n">
        <v>5000</v>
      </c>
      <c r="AP207" s="65" t="n"/>
      <c r="AQ207" s="65" t="n"/>
      <c r="AR207" s="65" t="n"/>
      <c r="AS207" s="65" t="n"/>
      <c r="AT207" s="65" t="n"/>
      <c r="AU207" s="65" t="n"/>
      <c r="AV207" s="65" t="n"/>
      <c r="AW207" s="65" t="n"/>
      <c r="AX207" s="65" t="n"/>
      <c r="AY207" s="65" t="n"/>
      <c r="AZ207" s="65" t="n"/>
      <c r="BA207" s="65" t="n"/>
      <c r="BB207" s="65" t="n"/>
      <c r="BC207" s="65" t="n"/>
      <c r="BD207" s="65" t="n"/>
      <c r="BE207" s="65" t="n"/>
      <c r="BF207" s="65" t="n"/>
      <c r="BG207" s="65" t="n"/>
    </row>
    <row r="208">
      <c r="B208" s="1" t="inlineStr">
        <is>
          <t>あけの平 今野邸</t>
        </is>
      </c>
      <c r="C208" s="1" t="inlineStr">
        <is>
          <t>LIXIL</t>
        </is>
      </c>
      <c r="D208" s="1" t="inlineStr">
        <is>
          <t>キッチン入替</t>
        </is>
      </c>
      <c r="E208" s="2" t="inlineStr">
        <is>
          <t>11月</t>
        </is>
      </c>
      <c r="F208" s="68" t="n">
        <v>216350</v>
      </c>
      <c r="G208" s="68">
        <f>IF(B208="","",F208-I208 )</f>
        <v/>
      </c>
      <c r="H208" s="5">
        <f>IF(G208="","",G208/F208)</f>
        <v/>
      </c>
      <c r="I208" s="62">
        <f>SUM(テーブル9[[#This Row],[五大]:[工場材]])</f>
        <v/>
      </c>
      <c r="J208" s="65" t="n"/>
      <c r="K208" s="65" t="n"/>
      <c r="L208" s="65" t="n"/>
      <c r="M208" s="65" t="n"/>
      <c r="N208" s="65" t="n"/>
      <c r="O208" s="65" t="n"/>
      <c r="P208" s="65" t="n"/>
      <c r="Q208" s="65" t="n"/>
      <c r="R208" s="65" t="n"/>
      <c r="S208" s="65" t="n"/>
      <c r="T208" s="65" t="n"/>
      <c r="U208" s="64" t="n"/>
      <c r="V208" s="64" t="n"/>
      <c r="W208" s="64" t="n">
        <v>45000</v>
      </c>
      <c r="X208" s="66" t="n">
        <v>2678</v>
      </c>
      <c r="Y208" s="65" t="n"/>
      <c r="Z208" s="65" t="n"/>
      <c r="AA208" s="64" t="n">
        <v>44000</v>
      </c>
      <c r="AB208" s="64" t="n">
        <v>65000</v>
      </c>
      <c r="AC208" s="65" t="n"/>
      <c r="AD208" s="65" t="n"/>
      <c r="AE208" s="65" t="n"/>
      <c r="AF208" s="65" t="n"/>
      <c r="AG208" s="65" t="n"/>
      <c r="AH208" s="65" t="n"/>
      <c r="AI208" s="65" t="n"/>
      <c r="AJ208" s="65" t="n"/>
      <c r="AK208" s="65" t="n"/>
      <c r="AL208" s="65" t="n"/>
      <c r="AM208" s="65" t="n"/>
      <c r="AN208" s="65" t="n"/>
      <c r="AO208" s="65" t="n"/>
      <c r="AP208" s="65" t="n"/>
      <c r="AQ208" s="65" t="n"/>
      <c r="AR208" s="65" t="n"/>
      <c r="AS208" s="65" t="n"/>
      <c r="AT208" s="65" t="n"/>
      <c r="AU208" s="65" t="n"/>
      <c r="AV208" s="65" t="n"/>
      <c r="AW208" s="65" t="n"/>
      <c r="AX208" s="65" t="n"/>
      <c r="AY208" s="65" t="n"/>
      <c r="AZ208" s="65" t="n"/>
      <c r="BA208" s="65" t="n"/>
      <c r="BB208" s="65" t="n"/>
      <c r="BC208" s="65" t="n"/>
      <c r="BD208" s="65" t="n"/>
      <c r="BE208" s="65" t="n"/>
      <c r="BF208" s="65" t="n"/>
      <c r="BG208" s="65" t="n"/>
    </row>
    <row r="209">
      <c r="B209" s="1" t="inlineStr">
        <is>
          <t>桂パークハウス東街区壱番館306</t>
        </is>
      </c>
      <c r="C209" s="1" t="inlineStr">
        <is>
          <t>山一</t>
        </is>
      </c>
      <c r="D209" s="1" t="inlineStr">
        <is>
          <t>UB入替</t>
        </is>
      </c>
      <c r="E209" s="2" t="inlineStr">
        <is>
          <t>11月</t>
        </is>
      </c>
      <c r="F209" s="68" t="n">
        <v>760000</v>
      </c>
      <c r="G209" s="68">
        <f>IF(B209="","",F209-I209 )</f>
        <v/>
      </c>
      <c r="H209" s="5">
        <f>IF(G209="","",G209/F209)</f>
        <v/>
      </c>
      <c r="I209" s="62">
        <f>SUM(テーブル9[[#This Row],[五大]:[工場材]])</f>
        <v/>
      </c>
      <c r="J209" s="65" t="n"/>
      <c r="K209" s="65" t="n"/>
      <c r="L209" s="65" t="n"/>
      <c r="M209" s="65" t="n"/>
      <c r="N209" s="65" t="n"/>
      <c r="O209" s="65" t="n"/>
      <c r="P209" s="65" t="n"/>
      <c r="Q209" s="65" t="n"/>
      <c r="R209" s="65" t="n"/>
      <c r="S209" s="65" t="n"/>
      <c r="T209" s="65" t="n"/>
      <c r="U209" s="64" t="n"/>
      <c r="V209" s="64" t="n"/>
      <c r="W209" s="64" t="n">
        <v>100000</v>
      </c>
      <c r="X209" s="66" t="n">
        <v>11719</v>
      </c>
      <c r="Y209" s="65" t="n"/>
      <c r="Z209" s="65" t="n"/>
      <c r="AA209" s="64" t="n">
        <v>40500</v>
      </c>
      <c r="AB209" s="64" t="n">
        <v>65000</v>
      </c>
      <c r="AC209" s="65" t="n"/>
      <c r="AD209" s="65" t="n"/>
      <c r="AE209" s="65" t="n"/>
      <c r="AF209" s="65" t="n"/>
      <c r="AG209" s="65" t="n"/>
      <c r="AH209" s="65" t="n"/>
      <c r="AI209" s="65" t="n"/>
      <c r="AJ209" s="65" t="n"/>
      <c r="AK209" s="65" t="n"/>
      <c r="AL209" s="65" t="n"/>
      <c r="AM209" s="65" t="n"/>
      <c r="AN209" s="65" t="n"/>
      <c r="AO209" s="65" t="n"/>
      <c r="AP209" s="64">
        <f>378680+66120</f>
        <v/>
      </c>
      <c r="AQ209" s="64" t="n"/>
      <c r="AR209" s="64" t="n"/>
      <c r="AS209" s="64" t="n"/>
      <c r="AT209" s="64" t="n"/>
      <c r="AU209" s="65" t="n"/>
      <c r="AV209" s="65" t="n"/>
      <c r="AW209" s="65" t="n"/>
      <c r="AX209" s="65" t="n"/>
      <c r="AY209" s="65" t="n"/>
      <c r="AZ209" s="65" t="n"/>
      <c r="BA209" s="65" t="n"/>
      <c r="BB209" s="65" t="n"/>
      <c r="BC209" s="65" t="n"/>
      <c r="BD209" s="65" t="n"/>
      <c r="BE209" s="65" t="n"/>
      <c r="BF209" s="65" t="n"/>
      <c r="BG209" s="65" t="n"/>
    </row>
    <row r="210">
      <c r="B210" s="1" t="inlineStr">
        <is>
          <t>台原4貸家</t>
        </is>
      </c>
      <c r="C210" s="1" t="inlineStr">
        <is>
          <t>積水不動産</t>
        </is>
      </c>
      <c r="D210" s="1" t="inlineStr">
        <is>
          <t>リフォーム</t>
        </is>
      </c>
      <c r="E210" s="2" t="inlineStr">
        <is>
          <t>11月</t>
        </is>
      </c>
      <c r="F210" s="68" t="n">
        <v>1510000</v>
      </c>
      <c r="G210" s="68">
        <f>IF(B210="","",F210-I210 )</f>
        <v/>
      </c>
      <c r="H210" s="5">
        <f>IF(G210="","",G210/F210)</f>
        <v/>
      </c>
      <c r="I210" s="62">
        <f>SUM(テーブル9[[#This Row],[五大]:[工場材]])</f>
        <v/>
      </c>
      <c r="J210" s="64" t="n"/>
      <c r="K210" s="64" t="n"/>
      <c r="L210" s="64" t="n"/>
      <c r="M210" s="64" t="n"/>
      <c r="N210" s="64" t="n"/>
      <c r="O210" s="64" t="n">
        <v>14000</v>
      </c>
      <c r="P210" s="64" t="n"/>
      <c r="Q210" s="65" t="n"/>
      <c r="R210" s="65" t="n"/>
      <c r="S210" s="65" t="n"/>
      <c r="T210" s="64" t="n">
        <v>35000</v>
      </c>
      <c r="U210" s="64" t="n"/>
      <c r="V210" s="64" t="n"/>
      <c r="W210" s="64" t="n">
        <v>73000</v>
      </c>
      <c r="X210" s="66" t="n"/>
      <c r="Y210" s="65" t="n"/>
      <c r="Z210" s="65" t="n"/>
      <c r="AA210" s="64" t="n">
        <v>205000</v>
      </c>
      <c r="AB210" s="64" t="n">
        <v>86000</v>
      </c>
      <c r="AC210" s="64" t="n"/>
      <c r="AD210" s="64" t="n"/>
      <c r="AE210" s="64" t="n">
        <v>30000</v>
      </c>
      <c r="AF210" s="64" t="n"/>
      <c r="AG210" s="73" t="n"/>
      <c r="AH210" s="64" t="n"/>
      <c r="AI210" s="73">
        <f>168000+50000</f>
        <v/>
      </c>
      <c r="AJ210" s="73" t="n"/>
      <c r="AK210" s="64" t="n">
        <v>24000</v>
      </c>
      <c r="AL210" s="64" t="n"/>
      <c r="AM210" s="64" t="n"/>
      <c r="AN210" s="64" t="n"/>
      <c r="AO210" s="64">
        <f>141810</f>
        <v/>
      </c>
      <c r="AP210" s="64" t="n"/>
      <c r="AQ210" s="64" t="n"/>
      <c r="AR210" s="64" t="n"/>
      <c r="AS210" s="64" t="n"/>
      <c r="AT210" s="64" t="n"/>
      <c r="AU210" s="64" t="n">
        <v>45000</v>
      </c>
      <c r="AV210" s="64" t="n"/>
      <c r="AW210" s="64" t="n"/>
      <c r="AX210" s="64" t="n"/>
      <c r="AY210" s="64" t="n"/>
      <c r="AZ210" s="65" t="n"/>
      <c r="BA210" s="65" t="n"/>
      <c r="BB210" s="65" t="n"/>
      <c r="BC210" s="65" t="n"/>
      <c r="BD210" s="65" t="n"/>
      <c r="BE210" s="65" t="n"/>
      <c r="BF210" s="65" t="n"/>
      <c r="BG210" s="65" t="n"/>
    </row>
    <row r="211">
      <c r="B211" s="1" t="inlineStr">
        <is>
          <t>東九番町パークマンション507</t>
        </is>
      </c>
      <c r="C211" s="1" t="inlineStr">
        <is>
          <t>日本ソービ</t>
        </is>
      </c>
      <c r="D211" s="1" t="inlineStr">
        <is>
          <t>リフォーム</t>
        </is>
      </c>
      <c r="E211" s="2" t="inlineStr">
        <is>
          <t>11月</t>
        </is>
      </c>
      <c r="F211" s="68" t="n">
        <v>3840000</v>
      </c>
      <c r="G211" s="68">
        <f>IF(B211="","",F211-I211 )</f>
        <v/>
      </c>
      <c r="H211" s="5">
        <f>IF(G211="","",G211/F211)</f>
        <v/>
      </c>
      <c r="I211" s="62">
        <f>SUM(テーブル9[[#This Row],[五大]:[工場材]])</f>
        <v/>
      </c>
      <c r="J211" s="64" t="n"/>
      <c r="K211" s="64" t="n"/>
      <c r="L211" s="64" t="n"/>
      <c r="M211" s="64" t="n"/>
      <c r="N211" s="64" t="n"/>
      <c r="O211" s="64" t="n">
        <v>41200</v>
      </c>
      <c r="P211" s="64" t="n"/>
      <c r="Q211" s="65" t="n"/>
      <c r="R211" s="65" t="n"/>
      <c r="S211" s="65" t="n"/>
      <c r="T211" s="65" t="n"/>
      <c r="U211" s="64" t="n"/>
      <c r="V211" s="64" t="n"/>
      <c r="W211" s="64" t="n">
        <v>600000</v>
      </c>
      <c r="X211" s="66" t="n">
        <v>76643</v>
      </c>
      <c r="Y211" s="64" t="n">
        <v>192000</v>
      </c>
      <c r="Z211" s="65" t="n"/>
      <c r="AA211" s="64" t="n">
        <v>200000</v>
      </c>
      <c r="AB211" s="64" t="n">
        <v>360000</v>
      </c>
      <c r="AC211" s="65" t="n"/>
      <c r="AD211" s="65" t="n"/>
      <c r="AE211" s="65" t="n"/>
      <c r="AF211" s="65" t="n"/>
      <c r="AG211" s="64">
        <f>152200+19250+3600+16560+17860+2000+4566+19800+6000</f>
        <v/>
      </c>
      <c r="AH211" s="65" t="n"/>
      <c r="AI211" s="65" t="n">
        <v>23000</v>
      </c>
      <c r="AJ211" s="65" t="n"/>
      <c r="AK211" s="65" t="n">
        <v>18000</v>
      </c>
      <c r="AL211" s="65" t="n"/>
      <c r="AM211" s="65" t="n"/>
      <c r="AN211" s="65" t="n"/>
      <c r="AO211" s="64">
        <f>2400+2800+5900+265000+60741+13500+115743+240000+26400+126000+2800+11835</f>
        <v/>
      </c>
      <c r="AP211" s="65" t="n"/>
      <c r="AQ211" s="65" t="n"/>
      <c r="AR211" s="65" t="n"/>
      <c r="AS211" s="65" t="n"/>
      <c r="AT211" s="65" t="n"/>
      <c r="AU211" s="65" t="n"/>
      <c r="AV211" s="65" t="n"/>
      <c r="AW211" s="65" t="n"/>
      <c r="AX211" s="65" t="n"/>
      <c r="AY211" s="65" t="n"/>
      <c r="AZ211" s="64">
        <f>13000*2.5</f>
        <v/>
      </c>
      <c r="BA211" s="64" t="n"/>
      <c r="BB211" s="64" t="n"/>
      <c r="BC211" s="64" t="n"/>
      <c r="BD211" s="64" t="n"/>
      <c r="BE211" s="64" t="n"/>
      <c r="BF211" s="64" t="n"/>
      <c r="BG211" s="65">
        <f>400000+384000</f>
        <v/>
      </c>
      <c r="BH211" s="0" t="inlineStr">
        <is>
          <t>←広手間+紫原さんバック分</t>
        </is>
      </c>
    </row>
    <row r="212">
      <c r="B212" s="1" t="inlineStr">
        <is>
          <t>メゾンアサノ</t>
        </is>
      </c>
      <c r="C212" s="1" t="inlineStr">
        <is>
          <t>積水不動産</t>
        </is>
      </c>
      <c r="D212" s="1" t="inlineStr">
        <is>
          <t>塗装</t>
        </is>
      </c>
      <c r="E212" s="2" t="inlineStr">
        <is>
          <t>11月</t>
        </is>
      </c>
      <c r="F212" s="68" t="n">
        <v>965000</v>
      </c>
      <c r="G212" s="68">
        <f>IF(B212="","",F212-I212 )</f>
        <v/>
      </c>
      <c r="H212" s="5">
        <f>IF(G212="","",G212/F212)</f>
        <v/>
      </c>
      <c r="I212" s="62">
        <f>SUM(テーブル9[[#This Row],[五大]:[工場材]])</f>
        <v/>
      </c>
      <c r="J212" s="65" t="n"/>
      <c r="K212" s="64" t="n">
        <v>154000</v>
      </c>
      <c r="L212" s="64" t="n"/>
      <c r="M212" s="65" t="n"/>
      <c r="N212" s="65" t="n"/>
      <c r="O212" s="65" t="n"/>
      <c r="P212" s="64" t="n">
        <v>500000</v>
      </c>
      <c r="Q212" s="65" t="n"/>
      <c r="R212" s="64" t="n">
        <v>35000</v>
      </c>
      <c r="S212" s="65" t="n"/>
      <c r="T212" s="65" t="n"/>
      <c r="U212" s="64" t="n">
        <v>42200</v>
      </c>
      <c r="V212" s="64" t="n"/>
      <c r="W212" s="65" t="n"/>
      <c r="X212" s="66" t="n"/>
      <c r="Y212" s="65" t="n"/>
      <c r="Z212" s="65" t="n"/>
      <c r="AA212" s="64" t="n"/>
      <c r="AB212" s="65" t="n"/>
      <c r="AC212" s="65" t="n"/>
      <c r="AD212" s="65" t="n"/>
      <c r="AE212" s="65" t="n"/>
      <c r="AF212" s="65" t="n"/>
      <c r="AG212" s="65" t="n"/>
      <c r="AH212" s="65" t="n"/>
      <c r="AI212" s="65" t="n"/>
      <c r="AJ212" s="65" t="n"/>
      <c r="AK212" s="65" t="n"/>
      <c r="AL212" s="65" t="n"/>
      <c r="AM212" s="65" t="n"/>
      <c r="AN212" s="65" t="n"/>
      <c r="AO212" s="65" t="n"/>
      <c r="AP212" s="65" t="n"/>
      <c r="AQ212" s="65" t="n"/>
      <c r="AR212" s="65" t="n"/>
      <c r="AS212" s="65" t="n"/>
      <c r="AT212" s="65" t="n"/>
      <c r="AU212" s="65" t="n"/>
      <c r="AV212" s="65" t="n"/>
      <c r="AW212" s="65" t="n"/>
      <c r="AX212" s="65" t="n"/>
      <c r="AY212" s="65" t="n"/>
      <c r="AZ212" s="65" t="n"/>
      <c r="BA212" s="65" t="n"/>
      <c r="BB212" s="65" t="n"/>
      <c r="BC212" s="65" t="n"/>
      <c r="BD212" s="65" t="n"/>
      <c r="BE212" s="65" t="n"/>
      <c r="BF212" s="65" t="n"/>
      <c r="BG212" s="65" t="n"/>
    </row>
    <row r="213">
      <c r="B213" s="1" t="inlineStr">
        <is>
          <t>ろりぽっぷ保育園</t>
        </is>
      </c>
      <c r="C213" s="1" t="inlineStr">
        <is>
          <t>LIFE　UP</t>
        </is>
      </c>
      <c r="D213" s="1" t="inlineStr">
        <is>
          <t>電気工事</t>
        </is>
      </c>
      <c r="E213" s="2" t="inlineStr">
        <is>
          <t>11月</t>
        </is>
      </c>
      <c r="F213" s="68" t="n">
        <v>500000</v>
      </c>
      <c r="G213" s="68">
        <f>IF(B213="","",F213-I213 )</f>
        <v/>
      </c>
      <c r="H213" s="5">
        <f>IF(G213="","",G213/F213)</f>
        <v/>
      </c>
      <c r="I213" s="62">
        <f>SUM(テーブル9[[#This Row],[五大]:[工場材]])</f>
        <v/>
      </c>
      <c r="J213" s="65" t="n"/>
      <c r="K213" s="65" t="n"/>
      <c r="L213" s="65" t="n"/>
      <c r="M213" s="65" t="n"/>
      <c r="N213" s="65" t="n"/>
      <c r="O213" s="65" t="n"/>
      <c r="P213" s="65" t="n"/>
      <c r="Q213" s="65" t="n"/>
      <c r="R213" s="65" t="n"/>
      <c r="S213" s="65" t="n"/>
      <c r="T213" s="65" t="n"/>
      <c r="U213" s="64" t="n"/>
      <c r="V213" s="64" t="n"/>
      <c r="W213" s="65" t="n"/>
      <c r="X213" s="66" t="n"/>
      <c r="Y213" s="65" t="n"/>
      <c r="Z213" s="65" t="n"/>
      <c r="AA213" s="64" t="n">
        <v>380000</v>
      </c>
      <c r="AB213" s="65" t="n"/>
      <c r="AC213" s="65" t="n"/>
      <c r="AD213" s="65" t="n"/>
      <c r="AE213" s="65" t="n"/>
      <c r="AF213" s="65" t="n"/>
      <c r="AG213" s="65" t="n"/>
      <c r="AH213" s="65" t="n"/>
      <c r="AI213" s="65" t="n"/>
      <c r="AJ213" s="65" t="n"/>
      <c r="AK213" s="65" t="n"/>
      <c r="AL213" s="65" t="n"/>
      <c r="AM213" s="65" t="n"/>
      <c r="AN213" s="65" t="n"/>
      <c r="AO213" s="65" t="n"/>
      <c r="AP213" s="65" t="n"/>
      <c r="AQ213" s="65" t="n"/>
      <c r="AR213" s="65" t="n"/>
      <c r="AS213" s="65" t="n"/>
      <c r="AT213" s="65" t="n"/>
      <c r="AU213" s="65" t="n"/>
      <c r="AV213" s="65" t="n"/>
      <c r="AW213" s="65" t="n"/>
      <c r="AX213" s="65" t="n"/>
      <c r="AY213" s="65" t="n"/>
      <c r="AZ213" s="65" t="n"/>
      <c r="BA213" s="65" t="n"/>
      <c r="BB213" s="65" t="n"/>
      <c r="BC213" s="65" t="n"/>
      <c r="BD213" s="65" t="n"/>
      <c r="BE213" s="65" t="n"/>
      <c r="BF213" s="65" t="n"/>
      <c r="BG213" s="65" t="n"/>
    </row>
    <row r="214">
      <c r="B214" s="1" t="inlineStr">
        <is>
          <t>みやぎ台　菅野邸</t>
        </is>
      </c>
      <c r="C214" s="1" t="inlineStr">
        <is>
          <t>サステム</t>
        </is>
      </c>
      <c r="D214" s="1" t="inlineStr">
        <is>
          <t>和洋改修</t>
        </is>
      </c>
      <c r="E214" s="2" t="inlineStr">
        <is>
          <t>11月</t>
        </is>
      </c>
      <c r="F214" s="68" t="n">
        <v>554692</v>
      </c>
      <c r="G214" s="68">
        <f>IF(B214="","",F214-I214 )</f>
        <v/>
      </c>
      <c r="H214" s="5">
        <f>IF(G214="","",G214/F214)</f>
        <v/>
      </c>
      <c r="I214" s="62">
        <f>SUM(テーブル9[[#This Row],[五大]:[工場材]])</f>
        <v/>
      </c>
      <c r="J214" s="65" t="n"/>
      <c r="K214" s="65" t="n"/>
      <c r="L214" s="65" t="n"/>
      <c r="M214" s="65" t="n"/>
      <c r="N214" s="65" t="n"/>
      <c r="O214" s="65" t="n"/>
      <c r="P214" s="65" t="n"/>
      <c r="Q214" s="65" t="n"/>
      <c r="R214" s="65" t="n"/>
      <c r="S214" s="65" t="n"/>
      <c r="T214" s="65" t="n"/>
      <c r="U214" s="64" t="n"/>
      <c r="V214" s="64" t="n"/>
      <c r="W214" s="64" t="n">
        <v>150000</v>
      </c>
      <c r="X214" s="66" t="n">
        <v>27398</v>
      </c>
      <c r="Y214" s="64" t="n"/>
      <c r="Z214" s="64" t="n"/>
      <c r="AA214" s="64" t="n">
        <v>18000</v>
      </c>
      <c r="AB214" s="65" t="n"/>
      <c r="AC214" s="65" t="n"/>
      <c r="AD214" s="65" t="n"/>
      <c r="AE214" s="65" t="n"/>
      <c r="AF214" s="65" t="n"/>
      <c r="AG214" s="65" t="n"/>
      <c r="AH214" s="65" t="n"/>
      <c r="AI214" s="65" t="n">
        <v>35000</v>
      </c>
      <c r="AJ214" s="65" t="n"/>
      <c r="AK214" s="65" t="n"/>
      <c r="AL214" s="65" t="n"/>
      <c r="AM214" s="65" t="n"/>
      <c r="AN214" s="65" t="n"/>
      <c r="AO214" s="64">
        <f>45740+30000+106435</f>
        <v/>
      </c>
      <c r="AP214" s="65" t="n"/>
      <c r="AQ214" s="65" t="n"/>
      <c r="AR214" s="65" t="n"/>
      <c r="AS214" s="65" t="n"/>
      <c r="AT214" s="65" t="n"/>
      <c r="AU214" s="65" t="n"/>
      <c r="AV214" s="65" t="n"/>
      <c r="AW214" s="65" t="n"/>
      <c r="AX214" s="65" t="n"/>
      <c r="AY214" s="65" t="n"/>
      <c r="AZ214" s="65">
        <f>13000*1.5</f>
        <v/>
      </c>
      <c r="BA214" s="65" t="n"/>
      <c r="BB214" s="65" t="n"/>
      <c r="BC214" s="65" t="n"/>
      <c r="BD214" s="65" t="n"/>
      <c r="BE214" s="65" t="n"/>
      <c r="BF214" s="65" t="n"/>
      <c r="BG214" s="65" t="n"/>
    </row>
    <row r="215">
      <c r="B215" s="22" t="inlineStr">
        <is>
          <t>合計</t>
        </is>
      </c>
      <c r="C215" s="22" t="n"/>
      <c r="F215" s="67">
        <f>SUBTOTAL(109,F207:F214)</f>
        <v/>
      </c>
      <c r="G215" s="67">
        <f>SUBTOTAL(109,G207:G214)</f>
        <v/>
      </c>
      <c r="H215" s="14">
        <f>IF(G215="","",G215/F215)</f>
        <v/>
      </c>
      <c r="I215" s="67">
        <f>SUBTOTAL(109,I207:I214)</f>
        <v/>
      </c>
      <c r="J215" s="65" t="n"/>
      <c r="K215" s="64" t="n"/>
      <c r="L215" s="64" t="n"/>
      <c r="M215" s="64" t="n"/>
      <c r="N215" s="64" t="n"/>
      <c r="O215" s="65" t="n"/>
      <c r="P215" s="65" t="n"/>
      <c r="Q215" s="65" t="n"/>
      <c r="R215" s="65" t="n"/>
      <c r="S215" s="64" t="n"/>
      <c r="T215" s="65" t="n"/>
      <c r="U215" s="64" t="n"/>
      <c r="V215" s="64" t="n"/>
      <c r="W215" s="65" t="n"/>
      <c r="X215" s="66" t="n"/>
      <c r="Y215" s="65" t="n"/>
      <c r="Z215" s="65" t="n"/>
      <c r="AA215" s="65" t="n"/>
      <c r="AB215" s="65" t="n"/>
      <c r="AC215" s="65" t="n"/>
      <c r="AD215" s="65" t="n"/>
      <c r="AE215" s="65" t="n"/>
      <c r="AF215" s="65" t="n"/>
      <c r="AG215" s="65" t="n"/>
      <c r="AH215" s="65" t="n"/>
      <c r="AI215" s="65" t="n"/>
      <c r="AJ215" s="65" t="n"/>
      <c r="AK215" s="65" t="n"/>
      <c r="AL215" s="65" t="n"/>
      <c r="AM215" s="65" t="n"/>
      <c r="AN215" s="65" t="n"/>
      <c r="AO215" s="65" t="n"/>
      <c r="AP215" s="65" t="n"/>
      <c r="AQ215" s="65" t="n"/>
      <c r="AR215" s="65" t="n"/>
      <c r="AS215" s="65" t="n"/>
      <c r="AT215" s="65" t="n"/>
      <c r="AU215" s="65" t="n"/>
      <c r="AV215" s="65" t="n"/>
      <c r="AW215" s="65" t="n"/>
      <c r="AX215" s="65" t="n"/>
      <c r="AY215" s="65" t="n"/>
      <c r="AZ215" s="65" t="n"/>
      <c r="BA215" s="65" t="n"/>
      <c r="BB215" s="65" t="n"/>
      <c r="BC215" s="65" t="n"/>
      <c r="BD215" s="65" t="n"/>
      <c r="BE215" s="65" t="n"/>
      <c r="BF215" s="65" t="n"/>
      <c r="BG215" s="65" t="n"/>
    </row>
    <row r="216">
      <c r="B216" s="22" t="n"/>
      <c r="C216" s="22" t="n"/>
      <c r="F216" s="70" t="n"/>
      <c r="G216" s="70">
        <f>IF(B216="","",F216-I216 )</f>
        <v/>
      </c>
      <c r="H216" s="16">
        <f>IF(G216="","",G216/F216)</f>
        <v/>
      </c>
      <c r="I216" s="67" t="n"/>
      <c r="J216" s="65" t="n"/>
      <c r="K216" s="64" t="n"/>
      <c r="L216" s="64" t="n"/>
      <c r="M216" s="64" t="n"/>
      <c r="N216" s="64" t="n"/>
      <c r="O216" s="65" t="n"/>
      <c r="P216" s="65" t="n"/>
      <c r="Q216" s="65" t="n"/>
      <c r="R216" s="65" t="n"/>
      <c r="S216" s="64" t="n"/>
      <c r="T216" s="65" t="n"/>
      <c r="U216" s="64" t="n"/>
      <c r="V216" s="64" t="n"/>
      <c r="W216" s="65" t="n"/>
      <c r="X216" s="66" t="n"/>
      <c r="Y216" s="65" t="n"/>
      <c r="Z216" s="65" t="n"/>
      <c r="AA216" s="65" t="n"/>
      <c r="AB216" s="65" t="n"/>
      <c r="AC216" s="65" t="n"/>
      <c r="AD216" s="65" t="n"/>
      <c r="AE216" s="65" t="n"/>
      <c r="AF216" s="65" t="n"/>
      <c r="AG216" s="65" t="n"/>
      <c r="AH216" s="65" t="n"/>
      <c r="AI216" s="65" t="n"/>
      <c r="AJ216" s="65" t="n"/>
      <c r="AK216" s="65" t="n"/>
      <c r="AL216" s="65" t="n"/>
      <c r="AM216" s="65" t="n"/>
      <c r="AN216" s="65" t="n"/>
      <c r="AO216" s="65" t="n"/>
      <c r="AP216" s="65" t="n"/>
      <c r="AQ216" s="65" t="n"/>
      <c r="AR216" s="65" t="n"/>
      <c r="AS216" s="65" t="n"/>
      <c r="AT216" s="65" t="n"/>
      <c r="AU216" s="65" t="n"/>
      <c r="AV216" s="65" t="n"/>
      <c r="AW216" s="65" t="n"/>
      <c r="AX216" s="65" t="n"/>
      <c r="AY216" s="65" t="n"/>
      <c r="AZ216" s="65" t="n"/>
      <c r="BA216" s="65" t="n"/>
      <c r="BB216" s="65" t="n"/>
      <c r="BC216" s="65" t="n"/>
      <c r="BD216" s="65" t="n"/>
      <c r="BE216" s="65" t="n"/>
      <c r="BF216" s="65" t="n"/>
      <c r="BG216" s="65" t="n"/>
    </row>
    <row r="217">
      <c r="A217" s="0" t="inlineStr">
        <is>
          <t>R3.1</t>
        </is>
      </c>
      <c r="F217" s="68" t="n"/>
      <c r="G217" s="68">
        <f>IF(B217="","",F217-I217 )</f>
        <v/>
      </c>
      <c r="H217" s="5">
        <f>IF(G217="","",G217/F217)</f>
        <v/>
      </c>
      <c r="J217" s="65" t="n"/>
      <c r="K217" s="65" t="n"/>
      <c r="L217" s="65" t="n"/>
      <c r="M217" s="65" t="n"/>
      <c r="N217" s="65" t="n"/>
      <c r="O217" s="65" t="n"/>
      <c r="P217" s="65" t="n"/>
      <c r="Q217" s="65" t="n"/>
      <c r="R217" s="65" t="n"/>
      <c r="S217" s="65" t="n"/>
      <c r="T217" s="65" t="n"/>
      <c r="U217" s="64" t="n"/>
      <c r="V217" s="64" t="n"/>
      <c r="W217" s="65" t="n"/>
      <c r="X217" s="66" t="n"/>
      <c r="Y217" s="65" t="n"/>
      <c r="Z217" s="65" t="n"/>
      <c r="AA217" s="65" t="n"/>
      <c r="AB217" s="65" t="n"/>
      <c r="AC217" s="65" t="n"/>
      <c r="AD217" s="65" t="n"/>
      <c r="AE217" s="65" t="n"/>
      <c r="AF217" s="65" t="n"/>
      <c r="AG217" s="65" t="n"/>
      <c r="AH217" s="65" t="n"/>
      <c r="AI217" s="65" t="n"/>
      <c r="AJ217" s="65" t="n"/>
      <c r="AK217" s="65" t="n"/>
      <c r="AL217" s="65" t="n"/>
      <c r="AM217" s="65" t="n"/>
      <c r="AN217" s="65" t="n"/>
      <c r="AO217" s="65" t="n"/>
      <c r="AP217" s="65" t="n"/>
      <c r="AQ217" s="65" t="n"/>
      <c r="AR217" s="65" t="n"/>
      <c r="AS217" s="65" t="n"/>
      <c r="AT217" s="65" t="n"/>
      <c r="AU217" s="65" t="n"/>
      <c r="AV217" s="65" t="n"/>
      <c r="AW217" s="65" t="n"/>
      <c r="AX217" s="65" t="n"/>
      <c r="AY217" s="65" t="n"/>
      <c r="AZ217" s="65" t="n"/>
      <c r="BA217" s="65" t="n"/>
      <c r="BB217" s="65" t="n"/>
      <c r="BC217" s="65" t="n"/>
      <c r="BD217" s="65" t="n"/>
      <c r="BE217" s="65" t="n"/>
      <c r="BF217" s="65" t="n"/>
      <c r="BG217" s="65" t="n"/>
    </row>
    <row r="218">
      <c r="B218" s="1" t="inlineStr">
        <is>
          <t>ロイヤルコート河原町　緑ウイング　406</t>
        </is>
      </c>
      <c r="C218" s="1" t="inlineStr">
        <is>
          <t>LIXIL</t>
        </is>
      </c>
      <c r="D218" s="1" t="inlineStr">
        <is>
          <t>UB+トイレ+給湯器工事</t>
        </is>
      </c>
      <c r="E218" s="2" t="inlineStr">
        <is>
          <t>12月</t>
        </is>
      </c>
      <c r="F218" s="68" t="n">
        <v>323000</v>
      </c>
      <c r="G218" s="68">
        <f>IF(B218="","",F218-I218 )</f>
        <v/>
      </c>
      <c r="H218" s="5">
        <f>IF(G218="","",G218/F218)</f>
        <v/>
      </c>
      <c r="I218" s="62">
        <f>SUM(テーブル9[[#This Row],[五大]:[工場材]])</f>
        <v/>
      </c>
      <c r="J218" s="65" t="n"/>
      <c r="K218" s="65" t="n"/>
      <c r="L218" s="65" t="n"/>
      <c r="M218" s="65" t="n"/>
      <c r="N218" s="65" t="n"/>
      <c r="O218" s="65" t="n"/>
      <c r="P218" s="65" t="n"/>
      <c r="Q218" s="65" t="n"/>
      <c r="R218" s="65" t="n"/>
      <c r="S218" s="65" t="n"/>
      <c r="T218" s="65" t="n"/>
      <c r="U218" s="64" t="n"/>
      <c r="V218" s="64" t="n"/>
      <c r="W218" s="65" t="n">
        <v>150000</v>
      </c>
      <c r="X218" s="66" t="n"/>
      <c r="Y218" s="65" t="n"/>
      <c r="Z218" s="65" t="n"/>
      <c r="AA218" s="65">
        <f>50000</f>
        <v/>
      </c>
      <c r="AB218" s="65" t="n">
        <v>20000</v>
      </c>
      <c r="AC218" s="65" t="n"/>
      <c r="AD218" s="65" t="n"/>
      <c r="AE218" s="65" t="n"/>
      <c r="AF218" s="65" t="n"/>
      <c r="AG218" s="65" t="n"/>
      <c r="AH218" s="65" t="n"/>
      <c r="AI218" s="65" t="n">
        <v>25000</v>
      </c>
      <c r="AJ218" s="65" t="n"/>
      <c r="AK218" s="65" t="n"/>
      <c r="AL218" s="65" t="n"/>
      <c r="AM218" s="65" t="n"/>
      <c r="AN218" s="65" t="n"/>
      <c r="AO218" s="65" t="n"/>
      <c r="AP218" s="65" t="n"/>
      <c r="AQ218" s="65" t="n"/>
      <c r="AR218" s="65" t="n"/>
      <c r="AS218" s="65" t="n"/>
      <c r="AT218" s="65" t="n"/>
      <c r="AU218" s="65" t="n"/>
      <c r="AV218" s="65" t="n"/>
      <c r="AW218" s="65" t="n"/>
      <c r="AX218" s="65" t="n"/>
      <c r="AY218" s="65" t="n"/>
      <c r="AZ218" s="65" t="n"/>
      <c r="BA218" s="65" t="n"/>
      <c r="BB218" s="65" t="n"/>
      <c r="BC218" s="65" t="n"/>
      <c r="BD218" s="65" t="n"/>
      <c r="BE218" s="65" t="n"/>
      <c r="BF218" s="65" t="n"/>
      <c r="BG218" s="65" t="n">
        <v>40000</v>
      </c>
    </row>
    <row r="219">
      <c r="B219" s="1" t="inlineStr">
        <is>
          <t>ファミール山手町　103</t>
        </is>
      </c>
      <c r="C219" s="1" t="inlineStr">
        <is>
          <t>サステム</t>
        </is>
      </c>
      <c r="D219" s="1" t="inlineStr">
        <is>
          <t>UB交換+給湯器</t>
        </is>
      </c>
      <c r="E219" s="2" t="inlineStr">
        <is>
          <t>12月</t>
        </is>
      </c>
      <c r="F219" s="68" t="n">
        <v>846000</v>
      </c>
      <c r="G219" s="68">
        <f>IF(B219="","",F219-I219 )</f>
        <v/>
      </c>
      <c r="H219" s="5">
        <f>IF(G219="","",G219/F219)</f>
        <v/>
      </c>
      <c r="I219" s="62">
        <f>SUM(テーブル9[[#This Row],[五大]:[工場材]])</f>
        <v/>
      </c>
      <c r="J219" s="65" t="n"/>
      <c r="K219" s="65" t="n"/>
      <c r="L219" s="65" t="n"/>
      <c r="M219" s="65" t="n"/>
      <c r="N219" s="65" t="n"/>
      <c r="O219" s="65" t="n"/>
      <c r="P219" s="65" t="n"/>
      <c r="Q219" s="65" t="n"/>
      <c r="R219" s="65" t="n"/>
      <c r="S219" s="65" t="n"/>
      <c r="T219" s="65" t="n"/>
      <c r="U219" s="64" t="n"/>
      <c r="V219" s="64" t="n"/>
      <c r="W219" s="65" t="n"/>
      <c r="X219" s="66" t="n"/>
      <c r="Y219" s="65" t="n"/>
      <c r="Z219" s="65" t="n"/>
      <c r="AA219" s="65" t="n"/>
      <c r="AB219" s="65" t="n">
        <v>295000</v>
      </c>
      <c r="AC219" s="65" t="n"/>
      <c r="AD219" s="65" t="n"/>
      <c r="AE219" s="65" t="n"/>
      <c r="AF219" s="65" t="n"/>
      <c r="AG219" s="65" t="n"/>
      <c r="AH219" s="65" t="n"/>
      <c r="AI219" s="65" t="n">
        <v>25000</v>
      </c>
      <c r="AJ219" s="65" t="n"/>
      <c r="AK219" s="65" t="n"/>
      <c r="AL219" s="65" t="n"/>
      <c r="AM219" s="65" t="n"/>
      <c r="AN219" s="65" t="n"/>
      <c r="AO219" s="65" t="n"/>
      <c r="AP219" s="65" t="n"/>
      <c r="AQ219" s="65" t="n"/>
      <c r="AR219" s="65" t="n"/>
      <c r="AS219" s="65" t="n"/>
      <c r="AT219" s="65" t="n"/>
      <c r="AU219" s="65" t="n"/>
      <c r="AV219" s="65" t="n"/>
      <c r="AW219" s="65" t="n"/>
      <c r="AX219" s="65" t="n"/>
      <c r="AY219" s="65" t="n"/>
      <c r="AZ219" s="65" t="n"/>
      <c r="BA219" s="65" t="n"/>
      <c r="BB219" s="65" t="n"/>
      <c r="BC219" s="65" t="n"/>
      <c r="BD219" s="65" t="n"/>
      <c r="BE219" s="65" t="n"/>
      <c r="BF219" s="65" t="n"/>
      <c r="BG219" s="65" t="n"/>
    </row>
    <row r="220">
      <c r="B220" s="1" t="inlineStr">
        <is>
          <t>芋沢 早坂邸</t>
        </is>
      </c>
      <c r="C220" s="1" t="inlineStr">
        <is>
          <t>サステム</t>
        </is>
      </c>
      <c r="D220" s="1" t="inlineStr">
        <is>
          <t>和・洋室改修</t>
        </is>
      </c>
      <c r="E220" s="2" t="inlineStr">
        <is>
          <t>12月</t>
        </is>
      </c>
      <c r="F220" s="68" t="n">
        <v>935100</v>
      </c>
      <c r="G220" s="68">
        <f>IF(B220="","",F220-I220 )</f>
        <v/>
      </c>
      <c r="H220" s="5">
        <f>IF(G220="","",G220/F220)</f>
        <v/>
      </c>
      <c r="I220" s="62">
        <f>SUM(テーブル9[[#This Row],[五大]:[工場材]])</f>
        <v/>
      </c>
      <c r="J220" s="65" t="n"/>
      <c r="K220" s="65" t="n"/>
      <c r="L220" s="65" t="n"/>
      <c r="M220" s="65" t="n"/>
      <c r="N220" s="65" t="n"/>
      <c r="O220" s="65" t="n"/>
      <c r="P220" s="65" t="n"/>
      <c r="Q220" s="65" t="n"/>
      <c r="R220" s="65" t="n"/>
      <c r="S220" s="65" t="n"/>
      <c r="T220" s="65" t="n"/>
      <c r="U220" s="65" t="n"/>
      <c r="V220" s="65" t="n"/>
      <c r="W220" s="65" t="n">
        <v>150000</v>
      </c>
      <c r="X220" s="66" t="n"/>
      <c r="Y220" s="65" t="n">
        <v>265000</v>
      </c>
      <c r="Z220" s="65" t="n"/>
      <c r="AA220" s="65" t="n">
        <v>50000</v>
      </c>
      <c r="AB220" s="65" t="n"/>
      <c r="AC220" s="65" t="n"/>
      <c r="AD220" s="65" t="n"/>
      <c r="AE220" s="65" t="n"/>
      <c r="AF220" s="65" t="n"/>
      <c r="AG220" s="65" t="n"/>
      <c r="AH220" s="65" t="n"/>
      <c r="AI220" s="65" t="n">
        <v>20000</v>
      </c>
      <c r="AJ220" s="65" t="n"/>
      <c r="AK220" s="65" t="n"/>
      <c r="AL220" s="65" t="n"/>
      <c r="AM220" s="65" t="n"/>
      <c r="AN220" s="65" t="n"/>
      <c r="AO220" s="65" t="n">
        <v>120000</v>
      </c>
      <c r="AP220" s="65" t="n"/>
      <c r="AQ220" s="65" t="n"/>
      <c r="AR220" s="65" t="n"/>
      <c r="AS220" s="65" t="n"/>
      <c r="AT220" s="65" t="n"/>
      <c r="AU220" s="65" t="n"/>
      <c r="AV220" s="65" t="n"/>
      <c r="AW220" s="65" t="n"/>
      <c r="AX220" s="65" t="n"/>
      <c r="AY220" s="65" t="n"/>
      <c r="AZ220" s="65" t="n"/>
      <c r="BA220" s="65" t="n"/>
      <c r="BB220" s="65" t="n"/>
      <c r="BC220" s="65" t="n"/>
      <c r="BD220" s="65" t="n"/>
      <c r="BE220" s="65" t="n"/>
      <c r="BF220" s="65" t="n"/>
      <c r="BG220" s="65" t="n"/>
    </row>
    <row r="221">
      <c r="B221" s="1" t="inlineStr">
        <is>
          <t>ﾋﾞｯｸﾏﾏ　ｺｲﾝﾗﾝﾄﾞﾘｰ</t>
        </is>
      </c>
      <c r="C221" s="1" t="inlineStr">
        <is>
          <t>一心</t>
        </is>
      </c>
      <c r="D221" s="1" t="inlineStr">
        <is>
          <t>内装。大工</t>
        </is>
      </c>
      <c r="E221" s="2" t="inlineStr">
        <is>
          <t>12月</t>
        </is>
      </c>
      <c r="F221" s="68" t="n">
        <v>488000</v>
      </c>
      <c r="G221" s="68">
        <f>IF(B221="","",F221-I221 )</f>
        <v/>
      </c>
      <c r="H221" s="5">
        <f>IF(G221="","",G221/F221)</f>
        <v/>
      </c>
      <c r="I221" s="62">
        <f>SUM(テーブル9[[#This Row],[五大]:[工場材]])</f>
        <v/>
      </c>
      <c r="J221" s="65" t="n"/>
      <c r="K221" s="65" t="n"/>
      <c r="L221" s="65" t="n"/>
      <c r="M221" s="65" t="n"/>
      <c r="N221" s="65" t="n"/>
      <c r="O221" s="65" t="n"/>
      <c r="P221" s="65" t="n"/>
      <c r="Q221" s="65" t="n"/>
      <c r="R221" s="65" t="n"/>
      <c r="S221" s="65" t="n"/>
      <c r="T221" s="65" t="n"/>
      <c r="U221" s="65" t="n"/>
      <c r="V221" s="65" t="n"/>
      <c r="W221" s="65" t="n">
        <v>80000</v>
      </c>
      <c r="X221" s="66" t="n">
        <v>10116</v>
      </c>
      <c r="Y221" s="65" t="n"/>
      <c r="Z221" s="65" t="n"/>
      <c r="AA221" s="65" t="n">
        <v>161000</v>
      </c>
      <c r="AB221" s="65" t="n"/>
      <c r="AC221" s="65" t="n"/>
      <c r="AD221" s="65" t="n"/>
      <c r="AE221" s="65" t="n">
        <v>25000</v>
      </c>
      <c r="AF221" s="65" t="n"/>
      <c r="AG221" s="65" t="n"/>
      <c r="AH221" s="65" t="n"/>
      <c r="AI221" s="65" t="n">
        <v>90000</v>
      </c>
      <c r="AJ221" s="65" t="n"/>
      <c r="AK221" s="65" t="n"/>
      <c r="AL221" s="65" t="n"/>
      <c r="AM221" s="65" t="n"/>
      <c r="AN221" s="65" t="n"/>
      <c r="AO221" s="65" t="n"/>
      <c r="AP221" s="65" t="n"/>
      <c r="AQ221" s="65" t="n"/>
      <c r="AR221" s="65" t="n"/>
      <c r="AS221" s="65" t="n"/>
      <c r="AT221" s="65" t="n"/>
      <c r="AU221" s="65" t="n"/>
      <c r="AV221" s="65" t="n"/>
      <c r="AW221" s="65" t="n"/>
      <c r="AX221" s="65" t="n"/>
      <c r="AY221" s="65" t="n"/>
      <c r="AZ221" s="65" t="n"/>
      <c r="BA221" s="65" t="n"/>
      <c r="BB221" s="65" t="n"/>
      <c r="BC221" s="65" t="n"/>
      <c r="BD221" s="65" t="n"/>
      <c r="BE221" s="65" t="n"/>
      <c r="BF221" s="65" t="n"/>
      <c r="BG221" s="65" t="n"/>
    </row>
    <row r="222">
      <c r="B222" s="1" t="inlineStr">
        <is>
          <t>うさちゃんモリヤ落合</t>
        </is>
      </c>
      <c r="C222" s="1" t="inlineStr">
        <is>
          <t>一心</t>
        </is>
      </c>
      <c r="D222" s="1" t="inlineStr">
        <is>
          <t>設備配管　大工</t>
        </is>
      </c>
      <c r="E222" s="2" t="inlineStr">
        <is>
          <t>12月</t>
        </is>
      </c>
      <c r="F222" s="68" t="n">
        <v>242000</v>
      </c>
      <c r="G222" s="68">
        <f>IF(B222="","",F222-I222 )</f>
        <v/>
      </c>
      <c r="H222" s="5">
        <f>IF(G222="","",G222/F222)</f>
        <v/>
      </c>
      <c r="I222" s="62">
        <f>SUM(テーブル9[[#This Row],[五大]:[工場材]])</f>
        <v/>
      </c>
      <c r="J222" s="65" t="n"/>
      <c r="K222" s="65" t="n"/>
      <c r="L222" s="65" t="n"/>
      <c r="M222" s="65" t="n"/>
      <c r="N222" s="65" t="n"/>
      <c r="O222" s="65" t="n"/>
      <c r="P222" s="65" t="n"/>
      <c r="Q222" s="65" t="n"/>
      <c r="R222" s="65" t="n"/>
      <c r="S222" s="65" t="n"/>
      <c r="T222" s="65" t="n"/>
      <c r="U222" s="65" t="n"/>
      <c r="V222" s="65" t="n"/>
      <c r="W222" s="65" t="n">
        <v>25000</v>
      </c>
      <c r="X222" s="66" t="n"/>
      <c r="Y222" s="65" t="n"/>
      <c r="Z222" s="65" t="n"/>
      <c r="AA222" s="65" t="n">
        <v>10000</v>
      </c>
      <c r="AB222" s="65" t="n">
        <v>150000</v>
      </c>
      <c r="AC222" s="65" t="n"/>
      <c r="AD222" s="65" t="n"/>
      <c r="AE222" s="65" t="n"/>
      <c r="AF222" s="65" t="n"/>
      <c r="AG222" s="65" t="n"/>
      <c r="AH222" s="65" t="n"/>
      <c r="AI222" s="65" t="n"/>
      <c r="AJ222" s="65" t="n"/>
      <c r="AK222" s="65" t="n"/>
      <c r="AL222" s="65" t="n"/>
      <c r="AM222" s="65" t="n"/>
      <c r="AN222" s="65" t="n"/>
      <c r="AO222" s="65" t="n"/>
      <c r="AP222" s="65" t="n"/>
      <c r="AQ222" s="65" t="n"/>
      <c r="AR222" s="65" t="n"/>
      <c r="AS222" s="65" t="n"/>
      <c r="AT222" s="65" t="n"/>
      <c r="AU222" s="65" t="n"/>
      <c r="AV222" s="65" t="n"/>
      <c r="AW222" s="65" t="n"/>
      <c r="AX222" s="65" t="n"/>
      <c r="AY222" s="65" t="n"/>
      <c r="AZ222" s="65" t="n"/>
      <c r="BA222" s="65" t="n"/>
      <c r="BB222" s="65" t="n"/>
      <c r="BC222" s="65" t="n"/>
      <c r="BD222" s="65" t="n"/>
      <c r="BE222" s="65" t="n"/>
      <c r="BF222" s="65" t="n"/>
      <c r="BG222" s="65" t="n"/>
    </row>
    <row r="223">
      <c r="B223" s="1" t="inlineStr">
        <is>
          <t>コーポ白鳥　105</t>
        </is>
      </c>
      <c r="C223" s="1" t="inlineStr">
        <is>
          <t>積水不動産</t>
        </is>
      </c>
      <c r="D223" s="1" t="inlineStr">
        <is>
          <t>リフォーム</t>
        </is>
      </c>
      <c r="E223" s="2" t="inlineStr">
        <is>
          <t>12月</t>
        </is>
      </c>
      <c r="F223" s="68" t="n">
        <v>730000</v>
      </c>
      <c r="G223" s="68">
        <f>IF(B223="","",F223-I223 )</f>
        <v/>
      </c>
      <c r="H223" s="5">
        <f>IF(G223="","",G223/F223)</f>
        <v/>
      </c>
      <c r="I223" s="62">
        <f>SUM(テーブル9[[#This Row],[五大]:[工場材]])</f>
        <v/>
      </c>
      <c r="J223" s="65" t="n"/>
      <c r="K223" s="65" t="n"/>
      <c r="L223" s="65" t="n"/>
      <c r="M223" s="65" t="n"/>
      <c r="N223" s="65" t="n"/>
      <c r="O223" s="65" t="n">
        <v>30000</v>
      </c>
      <c r="P223" s="65" t="n"/>
      <c r="Q223" s="65" t="n"/>
      <c r="R223" s="65" t="n"/>
      <c r="S223" s="65" t="n"/>
      <c r="T223" s="65" t="n"/>
      <c r="U223" s="65" t="n"/>
      <c r="V223" s="65" t="n"/>
      <c r="W223" s="65" t="n">
        <v>180000</v>
      </c>
      <c r="X223" s="66" t="n">
        <v>40203</v>
      </c>
      <c r="Y223" s="65" t="n"/>
      <c r="Z223" s="65" t="n"/>
      <c r="AA223" s="65" t="n"/>
      <c r="AB223" s="65" t="n"/>
      <c r="AC223" s="65" t="n"/>
      <c r="AD223" s="65" t="n"/>
      <c r="AE223" s="65" t="n"/>
      <c r="AF223" s="65" t="n"/>
      <c r="AG223" s="65" t="n"/>
      <c r="AH223" s="65" t="n"/>
      <c r="AI223" s="65" t="n"/>
      <c r="AJ223" s="65" t="n"/>
      <c r="AK223" s="65" t="n"/>
      <c r="AL223" s="65" t="n"/>
      <c r="AM223" s="65" t="n"/>
      <c r="AN223" s="65" t="n"/>
      <c r="AO223" s="65" t="n"/>
      <c r="AP223" s="65" t="n"/>
      <c r="AQ223" s="65" t="n"/>
      <c r="AR223" s="65" t="n"/>
      <c r="AS223" s="65" t="n"/>
      <c r="AT223" s="65" t="n"/>
      <c r="AU223" s="65" t="n"/>
      <c r="AV223" s="65" t="n"/>
      <c r="AW223" s="65" t="n"/>
      <c r="AX223" s="65" t="n"/>
      <c r="AY223" s="65" t="n"/>
      <c r="AZ223" s="65" t="n"/>
      <c r="BA223" s="65" t="n"/>
      <c r="BB223" s="65" t="n"/>
      <c r="BC223" s="65" t="n"/>
      <c r="BD223" s="65" t="n"/>
      <c r="BE223" s="65" t="n"/>
      <c r="BF223" s="65" t="n"/>
      <c r="BG223" s="65" t="n"/>
    </row>
    <row r="224">
      <c r="F224" s="67">
        <f>SUBTOTAL(109,F216:F223)</f>
        <v/>
      </c>
      <c r="G224" s="67">
        <f>SUBTOTAL(109,G216:G223)</f>
        <v/>
      </c>
      <c r="H224" s="14">
        <f>IF(G224="","",G224/F224)</f>
        <v/>
      </c>
      <c r="I224" s="67">
        <f>SUBTOTAL(109,I216:I223)</f>
        <v/>
      </c>
      <c r="J224" s="65" t="n"/>
      <c r="K224" s="65" t="n"/>
      <c r="L224" s="65" t="n"/>
      <c r="M224" s="65" t="n"/>
      <c r="N224" s="65" t="n"/>
      <c r="O224" s="65" t="n"/>
      <c r="P224" s="65" t="n"/>
      <c r="Q224" s="65" t="n"/>
      <c r="R224" s="65" t="n"/>
      <c r="S224" s="65" t="n"/>
      <c r="T224" s="65" t="n"/>
      <c r="U224" s="65" t="n"/>
      <c r="V224" s="65" t="n"/>
      <c r="W224" s="65" t="n"/>
      <c r="X224" s="66" t="n"/>
      <c r="Y224" s="65" t="n"/>
      <c r="Z224" s="65" t="n"/>
      <c r="AA224" s="65" t="n"/>
      <c r="AB224" s="65" t="n"/>
      <c r="AC224" s="65" t="n"/>
      <c r="AD224" s="65" t="n"/>
      <c r="AE224" s="65" t="n"/>
      <c r="AF224" s="65" t="n"/>
      <c r="AG224" s="65" t="n"/>
      <c r="AH224" s="65" t="n"/>
      <c r="AI224" s="65" t="n"/>
      <c r="AJ224" s="65" t="n"/>
      <c r="AK224" s="65" t="n"/>
      <c r="AL224" s="65" t="n"/>
      <c r="AM224" s="65" t="n"/>
      <c r="AN224" s="65" t="n"/>
      <c r="AO224" s="65" t="n"/>
      <c r="AP224" s="65" t="n"/>
      <c r="AQ224" s="65" t="n"/>
      <c r="AR224" s="65" t="n"/>
      <c r="AS224" s="65" t="n"/>
      <c r="AT224" s="65" t="n"/>
      <c r="AU224" s="65" t="n"/>
      <c r="AV224" s="65" t="n"/>
      <c r="AW224" s="65" t="n"/>
      <c r="AX224" s="65" t="n"/>
      <c r="AY224" s="65" t="n"/>
      <c r="AZ224" s="65" t="n"/>
      <c r="BA224" s="65" t="n"/>
      <c r="BB224" s="65" t="n"/>
      <c r="BC224" s="65" t="n"/>
      <c r="BD224" s="65" t="n"/>
      <c r="BE224" s="65" t="n"/>
      <c r="BF224" s="65" t="n"/>
      <c r="BG224" s="65" t="n"/>
    </row>
    <row r="225">
      <c r="F225" s="68" t="n"/>
      <c r="G225" s="68">
        <f>IF(B225="","",F225-I225 )</f>
        <v/>
      </c>
      <c r="H225" s="5">
        <f>IF(G225="","",G225/F225)</f>
        <v/>
      </c>
      <c r="J225" s="65" t="n"/>
      <c r="K225" s="65" t="n"/>
      <c r="L225" s="65" t="n"/>
      <c r="M225" s="65" t="n"/>
      <c r="N225" s="65" t="n"/>
      <c r="O225" s="65" t="n"/>
      <c r="P225" s="65" t="n"/>
      <c r="Q225" s="65" t="n"/>
      <c r="R225" s="65" t="n"/>
      <c r="S225" s="65" t="n"/>
      <c r="T225" s="65" t="n"/>
      <c r="U225" s="65" t="n"/>
      <c r="V225" s="65" t="n"/>
      <c r="W225" s="65" t="n"/>
      <c r="X225" s="66" t="n"/>
      <c r="Y225" s="65" t="n"/>
      <c r="Z225" s="65" t="n"/>
      <c r="AA225" s="65" t="n"/>
      <c r="AB225" s="65" t="n"/>
      <c r="AC225" s="65" t="n"/>
      <c r="AD225" s="65" t="n"/>
      <c r="AE225" s="65" t="n"/>
      <c r="AF225" s="65" t="n"/>
      <c r="AG225" s="65" t="n"/>
      <c r="AH225" s="65" t="n"/>
      <c r="AI225" s="65" t="n"/>
      <c r="AJ225" s="65" t="n"/>
      <c r="AK225" s="65" t="n"/>
      <c r="AL225" s="65" t="n"/>
      <c r="AM225" s="65" t="n"/>
      <c r="AN225" s="65" t="n"/>
      <c r="AO225" s="65" t="n"/>
      <c r="AP225" s="65" t="n"/>
      <c r="AQ225" s="65" t="n"/>
      <c r="AR225" s="65" t="n"/>
      <c r="AS225" s="65" t="n"/>
      <c r="AT225" s="65" t="n"/>
      <c r="AU225" s="65" t="n"/>
      <c r="AV225" s="65" t="n"/>
      <c r="AW225" s="65" t="n"/>
      <c r="AX225" s="65" t="n"/>
      <c r="AY225" s="65" t="n"/>
      <c r="AZ225" s="65" t="n"/>
      <c r="BA225" s="65" t="n"/>
      <c r="BB225" s="65" t="n"/>
      <c r="BC225" s="65" t="n"/>
      <c r="BD225" s="65" t="n"/>
      <c r="BE225" s="65" t="n"/>
      <c r="BF225" s="65" t="n"/>
      <c r="BG225" s="65" t="n"/>
    </row>
    <row r="226">
      <c r="A226" s="0" t="inlineStr">
        <is>
          <t>R3.2</t>
        </is>
      </c>
      <c r="F226" s="68" t="n"/>
      <c r="G226" s="68">
        <f>IF(B226="","",F226-I226 )</f>
        <v/>
      </c>
      <c r="H226" s="5">
        <f>IF(G226="","",G226/F226)</f>
        <v/>
      </c>
      <c r="J226" s="65" t="n"/>
      <c r="K226" s="65" t="n"/>
      <c r="L226" s="65" t="n"/>
      <c r="M226" s="65" t="n"/>
      <c r="N226" s="65" t="n"/>
      <c r="O226" s="65" t="n"/>
      <c r="P226" s="65" t="n"/>
      <c r="Q226" s="65" t="n"/>
      <c r="R226" s="65" t="n"/>
      <c r="S226" s="65" t="n"/>
      <c r="T226" s="65" t="n"/>
      <c r="U226" s="65" t="n"/>
      <c r="V226" s="65" t="n"/>
      <c r="W226" s="65" t="n"/>
      <c r="X226" s="66" t="n"/>
      <c r="Y226" s="65" t="n"/>
      <c r="Z226" s="65" t="n"/>
      <c r="AA226" s="65" t="n"/>
      <c r="AB226" s="65" t="n"/>
      <c r="AC226" s="65" t="n"/>
      <c r="AD226" s="65" t="n"/>
      <c r="AE226" s="65" t="n"/>
      <c r="AF226" s="65" t="n"/>
      <c r="AG226" s="65" t="n"/>
      <c r="AH226" s="65" t="n"/>
      <c r="AI226" s="65" t="n"/>
      <c r="AJ226" s="65" t="n"/>
      <c r="AK226" s="65" t="n"/>
      <c r="AL226" s="65" t="n"/>
      <c r="AM226" s="65" t="n"/>
      <c r="AN226" s="65" t="n"/>
      <c r="AO226" s="65" t="n"/>
      <c r="AP226" s="65" t="n"/>
      <c r="AQ226" s="65" t="n"/>
      <c r="AR226" s="65" t="n"/>
      <c r="AS226" s="65" t="n"/>
      <c r="AT226" s="65" t="n"/>
      <c r="AU226" s="65" t="n"/>
      <c r="AV226" s="65" t="n"/>
      <c r="AW226" s="65" t="n"/>
      <c r="AX226" s="65" t="n"/>
      <c r="AY226" s="65" t="n"/>
      <c r="AZ226" s="65" t="n"/>
      <c r="BA226" s="65" t="n"/>
      <c r="BB226" s="65" t="n"/>
      <c r="BC226" s="65" t="n"/>
      <c r="BD226" s="65" t="n"/>
      <c r="BE226" s="65" t="n"/>
      <c r="BF226" s="65" t="n"/>
      <c r="BG226" s="65" t="n"/>
    </row>
    <row r="227">
      <c r="B227" s="1" t="inlineStr">
        <is>
          <t>うさちゃんYM住吉台</t>
        </is>
      </c>
      <c r="C227" s="1" t="inlineStr">
        <is>
          <t>一心</t>
        </is>
      </c>
      <c r="D227" s="1" t="inlineStr">
        <is>
          <t>壁下地張替+店舗改装</t>
        </is>
      </c>
      <c r="E227" s="2" t="inlineStr">
        <is>
          <t>1月</t>
        </is>
      </c>
      <c r="F227" s="68">
        <f>268000+449000</f>
        <v/>
      </c>
      <c r="G227" s="68">
        <f>IF(B227="","",F227-I227 )</f>
        <v/>
      </c>
      <c r="H227" s="5">
        <f>IF(G227="","",G227/F227)</f>
        <v/>
      </c>
      <c r="I227" s="62">
        <f>SUM(テーブル9[[#This Row],[五大]:[工場材]])</f>
        <v/>
      </c>
      <c r="J227" s="65" t="n"/>
      <c r="K227" s="65" t="n"/>
      <c r="L227" s="65" t="n"/>
      <c r="M227" s="65" t="n"/>
      <c r="N227" s="65" t="n"/>
      <c r="O227" s="65" t="n"/>
      <c r="P227" s="65" t="n"/>
      <c r="Q227" s="65" t="n"/>
      <c r="R227" s="65" t="n"/>
      <c r="S227" s="65" t="n"/>
      <c r="T227" s="65" t="n"/>
      <c r="U227" s="65" t="n"/>
      <c r="V227" s="65" t="n"/>
      <c r="W227" s="64" t="n">
        <v>100000</v>
      </c>
      <c r="X227" s="66">
        <f>45000+17156</f>
        <v/>
      </c>
      <c r="Y227" s="65" t="n"/>
      <c r="Z227" s="65" t="n"/>
      <c r="AA227" s="65" t="n">
        <v>25000</v>
      </c>
      <c r="AB227" s="65" t="n"/>
      <c r="AC227" s="65" t="n"/>
      <c r="AD227" s="65" t="n"/>
      <c r="AE227" s="65" t="n">
        <v>120000</v>
      </c>
      <c r="AF227" s="65" t="n"/>
      <c r="AG227" s="65" t="n"/>
      <c r="AH227" s="65" t="n"/>
      <c r="AI227" s="65" t="n">
        <v>120000</v>
      </c>
      <c r="AJ227" s="65" t="n"/>
      <c r="AK227" s="65" t="n"/>
      <c r="AL227" s="65" t="n"/>
      <c r="AM227" s="65" t="n"/>
      <c r="AN227" s="65" t="n"/>
      <c r="AO227" s="65" t="n"/>
      <c r="AP227" s="65" t="n"/>
      <c r="AQ227" s="65" t="n"/>
      <c r="AR227" s="65" t="n"/>
      <c r="AS227" s="65" t="n"/>
      <c r="AT227" s="65" t="n"/>
      <c r="AU227" s="65" t="n"/>
      <c r="AV227" s="65" t="n"/>
      <c r="AW227" s="65" t="n"/>
      <c r="AX227" s="65" t="n"/>
      <c r="AY227" s="65" t="n"/>
      <c r="AZ227" s="65">
        <f>13000*3</f>
        <v/>
      </c>
      <c r="BA227" s="65" t="n"/>
      <c r="BB227" s="65" t="n"/>
      <c r="BC227" s="65" t="n"/>
      <c r="BD227" s="65" t="n"/>
      <c r="BE227" s="65" t="n"/>
      <c r="BF227" s="65" t="n"/>
      <c r="BG227" s="65" t="n"/>
    </row>
    <row r="228">
      <c r="B228" s="1" t="inlineStr">
        <is>
          <t>うさちゃんYB真美沢</t>
        </is>
      </c>
      <c r="C228" s="1" t="inlineStr">
        <is>
          <t>一心</t>
        </is>
      </c>
      <c r="D228" s="1" t="inlineStr">
        <is>
          <t>店舗改装</t>
        </is>
      </c>
      <c r="E228" s="2" t="inlineStr">
        <is>
          <t>1月</t>
        </is>
      </c>
      <c r="F228" s="68" t="n">
        <v>388000</v>
      </c>
      <c r="G228" s="68">
        <f>IF(B228="","",F228-I228 )</f>
        <v/>
      </c>
      <c r="H228" s="5">
        <f>IF(G228="","",G228/F228)</f>
        <v/>
      </c>
      <c r="I228" s="62">
        <f>SUM(テーブル9[[#This Row],[五大]:[工場材]])</f>
        <v/>
      </c>
      <c r="J228" s="65" t="n"/>
      <c r="K228" s="65" t="n"/>
      <c r="L228" s="65" t="n"/>
      <c r="M228" s="65" t="n"/>
      <c r="N228" s="65" t="n"/>
      <c r="O228" s="65" t="n">
        <v>20000</v>
      </c>
      <c r="P228" s="65" t="n"/>
      <c r="Q228" s="65" t="n"/>
      <c r="R228" s="65" t="n"/>
      <c r="S228" s="65" t="n"/>
      <c r="T228" s="65" t="n"/>
      <c r="U228" s="65" t="n"/>
      <c r="V228" s="65" t="n"/>
      <c r="W228" s="65" t="n"/>
      <c r="X228" s="66" t="n"/>
      <c r="Y228" s="65" t="n"/>
      <c r="Z228" s="65" t="n"/>
      <c r="AA228" s="65" t="n">
        <v>69920</v>
      </c>
      <c r="AB228" s="65" t="n"/>
      <c r="AC228" s="65" t="n"/>
      <c r="AD228" s="65" t="n"/>
      <c r="AE228" s="65" t="n">
        <v>120000</v>
      </c>
      <c r="AF228" s="65" t="n"/>
      <c r="AG228" s="65" t="n"/>
      <c r="AH228" s="65" t="n"/>
      <c r="AI228" s="65" t="n">
        <v>25000</v>
      </c>
      <c r="AJ228" s="65" t="n"/>
      <c r="AK228" s="65" t="n"/>
      <c r="AL228" s="65" t="n"/>
      <c r="AM228" s="65" t="n"/>
      <c r="AN228" s="65" t="n"/>
      <c r="AO228" s="65" t="n"/>
      <c r="AP228" s="65" t="n"/>
      <c r="AQ228" s="65" t="n"/>
      <c r="AR228" s="65" t="n"/>
      <c r="AS228" s="65" t="n"/>
      <c r="AT228" s="65" t="n"/>
      <c r="AU228" s="65" t="n"/>
      <c r="AV228" s="65" t="n"/>
      <c r="AW228" s="65" t="n"/>
      <c r="AX228" s="65" t="n"/>
      <c r="AY228" s="65" t="n"/>
      <c r="AZ228" s="65" t="n"/>
      <c r="BA228" s="65" t="n"/>
      <c r="BB228" s="65" t="n"/>
      <c r="BC228" s="65" t="n"/>
      <c r="BD228" s="65" t="n"/>
      <c r="BE228" s="65" t="n"/>
      <c r="BF228" s="65" t="n"/>
      <c r="BG228" s="65" t="n"/>
    </row>
    <row r="229">
      <c r="B229" s="1" t="inlineStr">
        <is>
          <t>うさちゃんYB愛島</t>
        </is>
      </c>
      <c r="C229" s="1" t="inlineStr">
        <is>
          <t>一心</t>
        </is>
      </c>
      <c r="D229" s="1" t="inlineStr">
        <is>
          <t>新築</t>
        </is>
      </c>
      <c r="E229" s="2" t="inlineStr">
        <is>
          <t>2月</t>
        </is>
      </c>
      <c r="F229" s="68" t="n">
        <v>422000</v>
      </c>
      <c r="G229" s="68">
        <f>IF(B229="","",F229-I229 )</f>
        <v/>
      </c>
      <c r="H229" s="5">
        <f>IF(G229="","",G229/F229)</f>
        <v/>
      </c>
      <c r="I229" s="62">
        <f>SUM(テーブル9[[#This Row],[五大]:[工場材]])</f>
        <v/>
      </c>
      <c r="J229" s="65" t="n"/>
      <c r="K229" s="65" t="n"/>
      <c r="L229" s="65" t="n"/>
      <c r="M229" s="65" t="n"/>
      <c r="N229" s="65" t="n"/>
      <c r="O229" s="65" t="n"/>
      <c r="P229" s="65" t="n"/>
      <c r="Q229" s="65" t="n"/>
      <c r="R229" s="65" t="n"/>
      <c r="S229" s="65" t="n"/>
      <c r="T229" s="65" t="n"/>
      <c r="U229" s="65" t="n"/>
      <c r="V229" s="65" t="n"/>
      <c r="W229" s="65" t="n"/>
      <c r="X229" s="66" t="n"/>
      <c r="Y229" s="65" t="n"/>
      <c r="Z229" s="65" t="n"/>
      <c r="AA229" s="64" t="n">
        <v>100000</v>
      </c>
      <c r="AB229" s="65" t="n"/>
      <c r="AC229" s="65" t="n"/>
      <c r="AD229" s="65" t="n"/>
      <c r="AE229" s="65" t="n">
        <v>130000</v>
      </c>
      <c r="AF229" s="65" t="n"/>
      <c r="AG229" s="65" t="n"/>
      <c r="AH229" s="65" t="n"/>
      <c r="AI229" s="64" t="n">
        <v>25000</v>
      </c>
      <c r="AJ229" s="64" t="n"/>
      <c r="AK229" s="65" t="n"/>
      <c r="AL229" s="65" t="n"/>
      <c r="AM229" s="65" t="n"/>
      <c r="AN229" s="65" t="n"/>
      <c r="AO229" s="65" t="n"/>
      <c r="AP229" s="65" t="n"/>
      <c r="AQ229" s="65" t="n"/>
      <c r="AR229" s="65" t="n"/>
      <c r="AS229" s="65" t="n"/>
      <c r="AT229" s="65" t="n"/>
      <c r="AU229" s="65" t="n"/>
      <c r="AV229" s="65" t="n"/>
      <c r="AW229" s="65" t="n"/>
      <c r="AX229" s="65" t="n"/>
      <c r="AY229" s="65" t="n"/>
      <c r="AZ229" s="65" t="n"/>
      <c r="BA229" s="65" t="n"/>
      <c r="BB229" s="65" t="n"/>
      <c r="BC229" s="65" t="n"/>
      <c r="BD229" s="65" t="n"/>
      <c r="BE229" s="65" t="n"/>
      <c r="BF229" s="65" t="n"/>
      <c r="BG229" s="65" t="n"/>
    </row>
    <row r="230">
      <c r="B230" s="1" t="inlineStr">
        <is>
          <t>セジュールつかさA102</t>
        </is>
      </c>
      <c r="C230" s="1" t="inlineStr">
        <is>
          <t>ビルクラ</t>
        </is>
      </c>
      <c r="D230" s="1" t="inlineStr">
        <is>
          <t>改修工事</t>
        </is>
      </c>
      <c r="E230" s="2" t="inlineStr">
        <is>
          <t>1月</t>
        </is>
      </c>
      <c r="F230" s="68" t="n">
        <v>1092281</v>
      </c>
      <c r="G230" s="68">
        <f>IF(B230="","",F230-I230 )</f>
        <v/>
      </c>
      <c r="H230" s="5">
        <f>IF(G230="","",G230/F230)</f>
        <v/>
      </c>
      <c r="I230" s="62">
        <f>SUM(テーブル9[[#This Row],[五大]:[工場材]])</f>
        <v/>
      </c>
      <c r="J230" s="65" t="n"/>
      <c r="K230" s="65" t="n"/>
      <c r="L230" s="65" t="n"/>
      <c r="M230" s="65" t="n"/>
      <c r="N230" s="65" t="n"/>
      <c r="O230" s="65">
        <f>12000+8000+55000</f>
        <v/>
      </c>
      <c r="P230" s="65" t="n"/>
      <c r="Q230" s="65" t="n"/>
      <c r="R230" s="65" t="n"/>
      <c r="S230" s="65" t="n"/>
      <c r="T230" s="65">
        <f>8000+17500</f>
        <v/>
      </c>
      <c r="U230" s="65" t="n"/>
      <c r="V230" s="65" t="n"/>
      <c r="W230" s="64">
        <f>20000+20000+10000+3000+15000+3000+10000</f>
        <v/>
      </c>
      <c r="X230" s="66" t="n">
        <v>41493</v>
      </c>
      <c r="Y230" s="65" t="n"/>
      <c r="Z230" s="65" t="n"/>
      <c r="AA230" s="65" t="n"/>
      <c r="AB230" s="65" t="n">
        <v>15000</v>
      </c>
      <c r="AC230" s="65" t="n"/>
      <c r="AD230" s="65" t="n"/>
      <c r="AE230" s="65" t="n">
        <v>80000</v>
      </c>
      <c r="AF230" s="65" t="n"/>
      <c r="AG230" s="65" t="n"/>
      <c r="AH230" s="65">
        <f>10800+25200+4550+5460+2500+8640+5760+2730+5760+11520+16560+6000+4000+29000+29000+66700+3500+3500+3500+1750+2000</f>
        <v/>
      </c>
      <c r="AI230" s="65" t="n"/>
      <c r="AJ230" s="65" t="n"/>
      <c r="AK230" s="65" t="n"/>
      <c r="AL230" s="65" t="n"/>
      <c r="AM230" s="65" t="n"/>
      <c r="AN230" s="65" t="n"/>
      <c r="AO230" s="65" t="n"/>
      <c r="AP230" s="65" t="n"/>
      <c r="AQ230" s="65" t="n"/>
      <c r="AR230" s="65" t="n"/>
      <c r="AS230" s="65" t="n"/>
      <c r="AT230" s="65" t="n"/>
      <c r="AU230" s="65" t="n">
        <v>50000</v>
      </c>
      <c r="AV230" s="65" t="n"/>
      <c r="AW230" s="65" t="n"/>
      <c r="AX230" s="65" t="n"/>
      <c r="AY230" s="65" t="n"/>
      <c r="AZ230" s="65" t="n"/>
      <c r="BA230" s="65" t="n"/>
      <c r="BB230" s="65" t="n"/>
      <c r="BC230" s="65" t="n"/>
      <c r="BD230" s="65" t="n"/>
      <c r="BE230" s="65" t="n"/>
      <c r="BF230" s="65" t="n"/>
      <c r="BG230" s="65" t="n"/>
    </row>
    <row r="231">
      <c r="B231" s="1" t="inlineStr">
        <is>
          <t>ティエラU102</t>
        </is>
      </c>
      <c r="D231" s="1" t="inlineStr">
        <is>
          <t>漏水事故</t>
        </is>
      </c>
      <c r="E231" s="2" t="inlineStr">
        <is>
          <t>1月</t>
        </is>
      </c>
      <c r="F231" s="68" t="n">
        <v>0</v>
      </c>
      <c r="G231" s="68">
        <f>IF(B231="","",F231-I231 )</f>
        <v/>
      </c>
      <c r="H231" s="5">
        <f>IF(OR(G231="",F231=0),"",G231/F231)</f>
        <v/>
      </c>
      <c r="I231" s="62">
        <f>SUM(テーブル9[[#This Row],[五大]:[工場材]])</f>
        <v/>
      </c>
      <c r="J231" s="65" t="n"/>
      <c r="K231" s="65" t="n"/>
      <c r="L231" s="65" t="n"/>
      <c r="M231" s="65" t="n"/>
      <c r="N231" s="65" t="n"/>
      <c r="O231" s="65" t="n"/>
      <c r="P231" s="65" t="n"/>
      <c r="Q231" s="65" t="n"/>
      <c r="R231" s="65" t="n"/>
      <c r="S231" s="65" t="n"/>
      <c r="T231" s="65" t="n"/>
      <c r="U231" s="65" t="n"/>
      <c r="V231" s="65" t="n"/>
      <c r="W231" s="64" t="n">
        <v>50000</v>
      </c>
      <c r="X231" s="66" t="n"/>
      <c r="Y231" s="65" t="n"/>
      <c r="Z231" s="65" t="n"/>
      <c r="AA231" s="65" t="n"/>
      <c r="AB231" s="65" t="n"/>
      <c r="AC231" s="65" t="n"/>
      <c r="AD231" s="65" t="n"/>
      <c r="AE231" s="65" t="n"/>
      <c r="AF231" s="65" t="n"/>
      <c r="AG231" s="65" t="n"/>
      <c r="AH231" s="65" t="n"/>
      <c r="AI231" s="65" t="n"/>
      <c r="AJ231" s="65" t="n"/>
      <c r="AK231" s="65" t="n"/>
      <c r="AL231" s="65" t="n"/>
      <c r="AM231" s="65" t="n"/>
      <c r="AN231" s="65" t="n"/>
      <c r="AO231" s="65" t="n"/>
      <c r="AP231" s="65" t="n"/>
      <c r="AQ231" s="65" t="n"/>
      <c r="AR231" s="65" t="n"/>
      <c r="AS231" s="65" t="n"/>
      <c r="AT231" s="65" t="n"/>
      <c r="AU231" s="65" t="n"/>
      <c r="AV231" s="65" t="n"/>
      <c r="AW231" s="65" t="n"/>
      <c r="AX231" s="65" t="n"/>
      <c r="AY231" s="65" t="n"/>
      <c r="AZ231" s="65" t="n"/>
      <c r="BA231" s="65" t="n"/>
      <c r="BB231" s="65" t="n"/>
      <c r="BC231" s="65" t="n"/>
      <c r="BD231" s="65" t="n"/>
      <c r="BE231" s="65" t="n"/>
      <c r="BF231" s="65" t="n"/>
      <c r="BG231" s="65" t="n"/>
    </row>
    <row r="232">
      <c r="B232" s="1" t="inlineStr">
        <is>
          <t>大町テナント</t>
        </is>
      </c>
      <c r="F232" s="68" t="n">
        <v>790000</v>
      </c>
      <c r="G232" s="68">
        <f>IF(B232="","",F232-I232 )</f>
        <v/>
      </c>
      <c r="H232" s="5">
        <f>IF(G232="","",G232/F232)</f>
        <v/>
      </c>
      <c r="I232" s="62">
        <f>SUM(テーブル9[[#This Row],[五大]:[工場材]])</f>
        <v/>
      </c>
      <c r="J232" s="65" t="n"/>
      <c r="K232" s="65" t="n"/>
      <c r="L232" s="65" t="n"/>
      <c r="M232" s="65" t="n"/>
      <c r="N232" s="65" t="n"/>
      <c r="O232" s="65" t="n">
        <v>70000</v>
      </c>
      <c r="P232" s="65" t="n"/>
      <c r="Q232" s="65" t="n"/>
      <c r="R232" s="65" t="n"/>
      <c r="S232" s="65" t="n"/>
      <c r="T232" s="65" t="n"/>
      <c r="U232" s="65" t="n"/>
      <c r="V232" s="65" t="n"/>
      <c r="W232" s="65" t="n">
        <v>25000</v>
      </c>
      <c r="X232" s="66" t="n">
        <v>42000</v>
      </c>
      <c r="Y232" s="65" t="n"/>
      <c r="Z232" s="65" t="n"/>
      <c r="AA232" s="65" t="n">
        <v>18000</v>
      </c>
      <c r="AB232" s="65" t="n"/>
      <c r="AC232" s="65" t="n"/>
      <c r="AD232" s="65" t="n"/>
      <c r="AE232" s="65" t="n"/>
      <c r="AF232" s="65" t="n"/>
      <c r="AG232" s="65" t="n"/>
      <c r="AH232" s="65" t="n"/>
      <c r="AI232" s="26" t="n">
        <v>112250</v>
      </c>
      <c r="AJ232" s="26" t="n"/>
      <c r="AK232" s="65" t="n"/>
      <c r="AL232" s="65" t="n"/>
      <c r="AM232" s="65" t="n"/>
      <c r="AN232" s="65" t="n"/>
      <c r="AO232" s="65" t="n"/>
      <c r="AP232" s="65" t="n"/>
      <c r="AQ232" s="65" t="n"/>
      <c r="AR232" s="65" t="n"/>
      <c r="AS232" s="65" t="n"/>
      <c r="AT232" s="65" t="n"/>
      <c r="AU232" s="65" t="n">
        <v>203900</v>
      </c>
      <c r="AV232" s="65" t="n"/>
      <c r="AW232" s="65" t="n"/>
      <c r="AX232" s="65" t="n"/>
      <c r="AY232" s="65" t="n"/>
      <c r="AZ232" s="65" t="n"/>
      <c r="BA232" s="65" t="n"/>
      <c r="BB232" s="65" t="n"/>
      <c r="BC232" s="65" t="n"/>
      <c r="BD232" s="65" t="n"/>
      <c r="BE232" s="65" t="n"/>
      <c r="BF232" s="65" t="n"/>
      <c r="BG232" s="65" t="n"/>
    </row>
    <row r="233">
      <c r="F233" s="67">
        <f>SUBTOTAL(109,F225:F232)</f>
        <v/>
      </c>
      <c r="G233" s="67">
        <f>SUBTOTAL(109,G225:G232)</f>
        <v/>
      </c>
      <c r="H233" s="14">
        <f>IF(G233="","",G233/F233)</f>
        <v/>
      </c>
      <c r="I233" s="67">
        <f>SUBTOTAL(109,I225:I232)</f>
        <v/>
      </c>
      <c r="J233" s="64" t="n"/>
      <c r="K233" s="64" t="n"/>
      <c r="L233" s="64" t="n"/>
      <c r="M233" s="64" t="n"/>
      <c r="N233" s="64" t="n"/>
      <c r="O233" s="73" t="n"/>
      <c r="P233" s="73" t="n"/>
      <c r="Q233" s="73" t="n"/>
      <c r="R233" s="73" t="n"/>
      <c r="S233" s="73" t="n"/>
      <c r="T233" s="65" t="n"/>
      <c r="U233" s="73" t="n"/>
      <c r="V233" s="73" t="n"/>
      <c r="W233" s="73" t="n"/>
      <c r="X233" s="66" t="n"/>
      <c r="Y233" s="73" t="n"/>
      <c r="Z233" s="73" t="n"/>
      <c r="AA233" s="73" t="n"/>
      <c r="AB233" s="73" t="n"/>
      <c r="AC233" s="73" t="n"/>
      <c r="AD233" s="73" t="n"/>
      <c r="AE233" s="73" t="n"/>
      <c r="AF233" s="73" t="n"/>
      <c r="AG233" s="73" t="n"/>
      <c r="AH233" s="73" t="n"/>
      <c r="AI233" s="26" t="n"/>
      <c r="AJ233" s="26" t="n"/>
      <c r="AK233" s="65" t="n"/>
      <c r="AL233" s="65" t="n"/>
      <c r="AM233" s="65" t="n"/>
      <c r="AN233" s="65" t="n"/>
      <c r="AO233" s="64" t="n"/>
      <c r="AP233" s="65" t="n"/>
      <c r="AQ233" s="65" t="n"/>
      <c r="AR233" s="65" t="n"/>
      <c r="AS233" s="65" t="n"/>
      <c r="AT233" s="65" t="n"/>
      <c r="AU233" s="65" t="n"/>
      <c r="AV233" s="65" t="n"/>
      <c r="AW233" s="65" t="n"/>
      <c r="AX233" s="65" t="n"/>
      <c r="AY233" s="65" t="n"/>
      <c r="AZ233" s="64" t="n"/>
      <c r="BA233" s="64" t="n"/>
      <c r="BB233" s="64" t="n"/>
      <c r="BC233" s="64" t="n"/>
      <c r="BD233" s="64" t="n"/>
      <c r="BE233" s="64" t="n"/>
      <c r="BF233" s="64" t="n"/>
      <c r="BG233" s="65" t="n"/>
    </row>
    <row r="234">
      <c r="F234" s="68" t="n"/>
      <c r="G234" s="68">
        <f>IF(B234="","",F234-I234 )</f>
        <v/>
      </c>
      <c r="H234" s="5">
        <f>IF(G234="","",G234/F234)</f>
        <v/>
      </c>
      <c r="J234" s="64" t="n"/>
      <c r="K234" s="64" t="n"/>
      <c r="L234" s="64" t="n"/>
      <c r="M234" s="64" t="n"/>
      <c r="N234" s="64" t="n"/>
      <c r="O234" s="73" t="n"/>
      <c r="P234" s="73" t="n"/>
      <c r="Q234" s="73" t="n"/>
      <c r="R234" s="73" t="n"/>
      <c r="S234" s="73" t="n"/>
      <c r="T234" s="65" t="n"/>
      <c r="U234" s="73" t="n"/>
      <c r="V234" s="73" t="n"/>
      <c r="W234" s="73" t="n"/>
      <c r="X234" s="66" t="n"/>
      <c r="Y234" s="73" t="n"/>
      <c r="Z234" s="73" t="n"/>
      <c r="AA234" s="73" t="n"/>
      <c r="AB234" s="73" t="n"/>
      <c r="AC234" s="73" t="n"/>
      <c r="AD234" s="73" t="n"/>
      <c r="AE234" s="73" t="n"/>
      <c r="AF234" s="73" t="n"/>
      <c r="AG234" s="73" t="n"/>
      <c r="AH234" s="73" t="n"/>
      <c r="AI234" s="74" t="n"/>
      <c r="AJ234" s="74" t="n"/>
      <c r="AK234" s="65" t="n"/>
      <c r="AL234" s="65" t="n"/>
      <c r="AM234" s="65" t="n"/>
      <c r="AN234" s="65" t="n"/>
      <c r="AO234" s="64" t="n"/>
      <c r="AP234" s="65" t="n"/>
      <c r="AQ234" s="65" t="n"/>
      <c r="AR234" s="65" t="n"/>
      <c r="AS234" s="65" t="n"/>
      <c r="AT234" s="65" t="n"/>
      <c r="AU234" s="65" t="n"/>
      <c r="AV234" s="65" t="n"/>
      <c r="AW234" s="65" t="n"/>
      <c r="AX234" s="65" t="n"/>
      <c r="AY234" s="65" t="n"/>
      <c r="AZ234" s="64" t="n"/>
      <c r="BA234" s="64" t="n"/>
      <c r="BB234" s="64" t="n"/>
      <c r="BC234" s="64" t="n"/>
      <c r="BD234" s="64" t="n"/>
      <c r="BE234" s="64" t="n"/>
      <c r="BF234" s="64" t="n"/>
      <c r="BG234" s="65" t="n"/>
    </row>
    <row r="235">
      <c r="A235" s="0" t="inlineStr">
        <is>
          <t>R3.3</t>
        </is>
      </c>
      <c r="F235" s="68" t="n"/>
      <c r="G235" s="68">
        <f>IF(B235="","",F235-I235 )</f>
        <v/>
      </c>
      <c r="H235" s="5">
        <f>IF(G235="","",G235/F235)</f>
        <v/>
      </c>
      <c r="J235" s="64" t="n"/>
      <c r="K235" s="64" t="n"/>
      <c r="L235" s="64" t="n"/>
      <c r="M235" s="64" t="n"/>
      <c r="N235" s="64" t="n"/>
      <c r="O235" s="73" t="n"/>
      <c r="P235" s="73" t="n"/>
      <c r="Q235" s="73" t="n"/>
      <c r="R235" s="73" t="n"/>
      <c r="S235" s="73" t="n"/>
      <c r="T235" s="65" t="n"/>
      <c r="U235" s="73" t="n"/>
      <c r="V235" s="73" t="n"/>
      <c r="W235" s="73" t="n"/>
      <c r="X235" s="66" t="n"/>
      <c r="Y235" s="73" t="n"/>
      <c r="Z235" s="73" t="n"/>
      <c r="AA235" s="73" t="n"/>
      <c r="AB235" s="73" t="n"/>
      <c r="AC235" s="73" t="n"/>
      <c r="AD235" s="73" t="n"/>
      <c r="AE235" s="73" t="n"/>
      <c r="AF235" s="73" t="n"/>
      <c r="AG235" s="73" t="n"/>
      <c r="AH235" s="73" t="n"/>
      <c r="AI235" s="74" t="n"/>
      <c r="AJ235" s="74" t="n"/>
      <c r="AK235" s="65" t="n"/>
      <c r="AL235" s="65" t="n"/>
      <c r="AM235" s="65" t="n"/>
      <c r="AN235" s="65" t="n"/>
      <c r="AO235" s="64" t="n"/>
      <c r="AP235" s="65" t="n"/>
      <c r="AQ235" s="65" t="n"/>
      <c r="AR235" s="65" t="n"/>
      <c r="AS235" s="65" t="n"/>
      <c r="AT235" s="65" t="n"/>
      <c r="AU235" s="65" t="n"/>
      <c r="AV235" s="65" t="n"/>
      <c r="AW235" s="65" t="n"/>
      <c r="AX235" s="65" t="n"/>
      <c r="AY235" s="65" t="n"/>
      <c r="AZ235" s="64" t="n"/>
      <c r="BA235" s="64" t="n"/>
      <c r="BB235" s="64" t="n"/>
      <c r="BC235" s="64" t="n"/>
      <c r="BD235" s="64" t="n"/>
      <c r="BE235" s="64" t="n"/>
      <c r="BF235" s="64" t="n"/>
      <c r="BG235" s="65" t="n"/>
    </row>
    <row r="236">
      <c r="B236" s="1" t="inlineStr">
        <is>
          <t>チサンマンション富沢駅前Ⅲ403</t>
        </is>
      </c>
      <c r="C236" s="1" t="inlineStr">
        <is>
          <t>サステム</t>
        </is>
      </c>
      <c r="D236" s="1" t="inlineStr">
        <is>
          <t>全室クロス+畳+収納取付け</t>
        </is>
      </c>
      <c r="E236" s="2" t="inlineStr">
        <is>
          <t>2月</t>
        </is>
      </c>
      <c r="F236" s="68" t="n">
        <v>1120000</v>
      </c>
      <c r="G236" s="68">
        <f>IF(B236="","",F236-I236 )</f>
        <v/>
      </c>
      <c r="H236" s="5">
        <f>IF(G236="","",G236/F236)</f>
        <v/>
      </c>
      <c r="I236" s="62">
        <f>SUM(テーブル9[[#This Row],[五大]:[工場材]])</f>
        <v/>
      </c>
      <c r="J236" s="65" t="n"/>
      <c r="K236" s="65" t="n"/>
      <c r="L236" s="65" t="n"/>
      <c r="M236" s="65" t="n"/>
      <c r="N236" s="65" t="n"/>
      <c r="O236" s="65" t="n"/>
      <c r="P236" s="65" t="n"/>
      <c r="Q236" s="65" t="n"/>
      <c r="R236" s="65" t="n"/>
      <c r="S236" s="65" t="n"/>
      <c r="T236" s="65" t="n"/>
      <c r="U236" s="65" t="n"/>
      <c r="V236" s="65" t="n"/>
      <c r="W236" s="64" t="n">
        <v>250000</v>
      </c>
      <c r="X236" s="66" t="n">
        <v>53371</v>
      </c>
      <c r="Y236" s="65" t="n"/>
      <c r="Z236" s="65" t="n"/>
      <c r="AA236" s="64" t="n">
        <v>90000</v>
      </c>
      <c r="AB236" s="64" t="n">
        <v>70000</v>
      </c>
      <c r="AC236" s="65" t="n"/>
      <c r="AD236" s="65" t="n"/>
      <c r="AE236" s="64" t="n">
        <v>6000</v>
      </c>
      <c r="AF236" s="64" t="n"/>
      <c r="AG236" s="65" t="n"/>
      <c r="AH236" s="65" t="n"/>
      <c r="AI236" s="65" t="n">
        <v>300000</v>
      </c>
      <c r="AJ236" s="65" t="n"/>
      <c r="AK236" s="65">
        <f>54000+6600+24000+4800</f>
        <v/>
      </c>
      <c r="AL236" s="65" t="n"/>
      <c r="AM236" s="65" t="n"/>
      <c r="AN236" s="65" t="n"/>
      <c r="AO236" s="65" t="n"/>
      <c r="AP236" s="65" t="n"/>
      <c r="AQ236" s="65" t="n"/>
      <c r="AR236" s="65" t="n"/>
      <c r="AS236" s="65" t="n"/>
      <c r="AT236" s="65" t="n"/>
      <c r="AU236" s="65" t="n"/>
      <c r="AV236" s="65" t="n"/>
      <c r="AW236" s="65" t="n"/>
      <c r="AX236" s="65" t="n"/>
      <c r="AY236" s="65" t="n"/>
      <c r="AZ236" s="65" t="n"/>
      <c r="BA236" s="65" t="n"/>
      <c r="BB236" s="65" t="n"/>
      <c r="BC236" s="65" t="n"/>
      <c r="BD236" s="65" t="n"/>
      <c r="BE236" s="65" t="n"/>
      <c r="BF236" s="65" t="n"/>
      <c r="BG236" s="65" t="n"/>
    </row>
    <row r="237">
      <c r="B237" s="1" t="inlineStr">
        <is>
          <t>サンハイツ</t>
        </is>
      </c>
      <c r="C237" s="1" t="inlineStr">
        <is>
          <t>JA</t>
        </is>
      </c>
      <c r="D237" s="1" t="inlineStr">
        <is>
          <t>外壁塗装　外壁交換</t>
        </is>
      </c>
      <c r="E237" s="2" t="inlineStr">
        <is>
          <t>3月</t>
        </is>
      </c>
      <c r="F237" s="68" t="n">
        <v>2565000</v>
      </c>
      <c r="G237" s="68">
        <f>IF(B237="","",F237-I237 )</f>
        <v/>
      </c>
      <c r="H237" s="5">
        <f>IF(G237="","",G237/F237)</f>
        <v/>
      </c>
      <c r="I237" s="62">
        <f>SUM(テーブル9[[#This Row],[五大]:[工場材]])</f>
        <v/>
      </c>
      <c r="J237" s="64" t="n">
        <v>270000</v>
      </c>
      <c r="K237" s="65" t="n"/>
      <c r="L237" s="65" t="n"/>
      <c r="M237" s="65" t="n"/>
      <c r="N237" s="65" t="n"/>
      <c r="O237" s="64" t="n">
        <v>900000</v>
      </c>
      <c r="P237" s="65" t="n"/>
      <c r="Q237" s="65" t="n"/>
      <c r="R237" s="64" t="n">
        <v>250000</v>
      </c>
      <c r="S237" s="65" t="n"/>
      <c r="T237" s="65" t="n"/>
      <c r="U237" s="64" t="n">
        <v>133950</v>
      </c>
      <c r="V237" s="64" t="n"/>
      <c r="W237" s="64" t="n">
        <v>250000</v>
      </c>
      <c r="X237" s="66" t="n">
        <v>14434</v>
      </c>
      <c r="Y237" s="65" t="n"/>
      <c r="Z237" s="65" t="n"/>
      <c r="AA237" s="64" t="n">
        <v>20000</v>
      </c>
      <c r="AB237" s="65" t="n"/>
      <c r="AC237" s="65" t="n"/>
      <c r="AD237" s="65" t="n"/>
      <c r="AE237" s="65" t="n"/>
      <c r="AF237" s="65" t="n"/>
      <c r="AG237" s="65" t="n"/>
      <c r="AH237" s="65" t="n"/>
      <c r="AI237" s="65" t="n"/>
      <c r="AJ237" s="65" t="n"/>
      <c r="AK237" s="65" t="n"/>
      <c r="AL237" s="65" t="n"/>
      <c r="AM237" s="65" t="n"/>
      <c r="AN237" s="65" t="n"/>
      <c r="AO237" s="64">
        <f>41400+8000+5760+5760</f>
        <v/>
      </c>
      <c r="AP237" s="65" t="n"/>
      <c r="AQ237" s="65" t="n"/>
      <c r="AR237" s="65" t="n"/>
      <c r="AS237" s="65" t="n"/>
      <c r="AT237" s="65" t="n"/>
      <c r="AU237" s="65" t="n"/>
      <c r="AV237" s="65" t="n"/>
      <c r="AW237" s="65" t="n"/>
      <c r="AX237" s="65" t="n"/>
      <c r="AY237" s="65" t="n"/>
      <c r="AZ237" s="64" t="n">
        <v>32500</v>
      </c>
      <c r="BA237" s="64" t="n"/>
      <c r="BB237" s="64" t="n"/>
      <c r="BC237" s="64" t="n"/>
      <c r="BD237" s="64" t="n"/>
      <c r="BE237" s="64" t="n"/>
      <c r="BF237" s="64" t="n"/>
      <c r="BG237" s="65" t="n"/>
    </row>
    <row r="238">
      <c r="B238" s="1" t="inlineStr">
        <is>
          <t>東九番町ﾊﾟｰｸﾏﾝｼｮﾝ703</t>
        </is>
      </c>
      <c r="C238" s="1" t="inlineStr">
        <is>
          <t>日本ソービ</t>
        </is>
      </c>
      <c r="E238" s="2" t="inlineStr">
        <is>
          <t>3月</t>
        </is>
      </c>
      <c r="F238" s="68" t="n">
        <v>3800000</v>
      </c>
      <c r="G238" s="68">
        <f>IF(B238="","",F238-I238 )</f>
        <v/>
      </c>
      <c r="H238" s="5">
        <f>IF(G238="","",G238/F238)</f>
        <v/>
      </c>
      <c r="I238" s="62">
        <f>SUM(テーブル9[[#This Row],[五大]:[工場材]])</f>
        <v/>
      </c>
      <c r="J238" s="65" t="n"/>
      <c r="K238" s="65" t="n"/>
      <c r="L238" s="65" t="n"/>
      <c r="M238" s="65" t="n"/>
      <c r="N238" s="65" t="n"/>
      <c r="O238" s="65" t="n"/>
      <c r="P238" s="65" t="n"/>
      <c r="Q238" s="65" t="n"/>
      <c r="R238" s="65" t="n"/>
      <c r="S238" s="65" t="n"/>
      <c r="T238" s="65" t="n"/>
      <c r="U238" s="65" t="n"/>
      <c r="V238" s="65" t="n"/>
      <c r="W238" s="64" t="n">
        <v>650000</v>
      </c>
      <c r="X238" s="66" t="n">
        <v>97897</v>
      </c>
      <c r="Y238" s="64" t="n">
        <v>133000</v>
      </c>
      <c r="Z238" s="65" t="n"/>
      <c r="AA238" s="64" t="n">
        <v>220000</v>
      </c>
      <c r="AB238" s="64" t="n">
        <v>405000</v>
      </c>
      <c r="AC238" s="65" t="n"/>
      <c r="AD238" s="65" t="n"/>
      <c r="AE238" s="65" t="n"/>
      <c r="AF238" s="65" t="n"/>
      <c r="AG238" s="64">
        <f>114000+7000+12160+2000+5400+8400+5400+2000+1200+7200</f>
        <v/>
      </c>
      <c r="AH238" s="65" t="n"/>
      <c r="AI238" s="64" t="n">
        <v>23000</v>
      </c>
      <c r="AJ238" s="64" t="n"/>
      <c r="AK238" s="65" t="n"/>
      <c r="AL238" s="65" t="n"/>
      <c r="AM238" s="65" t="n"/>
      <c r="AN238" s="65" t="n"/>
      <c r="AO238" s="64">
        <f>148772+65590+34000+126498+164200+198000+2100+260000+2580</f>
        <v/>
      </c>
      <c r="AP238" s="65" t="n"/>
      <c r="AQ238" s="65" t="n"/>
      <c r="AR238" s="65" t="n"/>
      <c r="AS238" s="65" t="n"/>
      <c r="AT238" s="65" t="n"/>
      <c r="AU238" s="65" t="n"/>
      <c r="AV238" s="65" t="n"/>
      <c r="AW238" s="65" t="n"/>
      <c r="AX238" s="65" t="n"/>
      <c r="AY238" s="65" t="n"/>
      <c r="AZ238" s="64" t="n">
        <v>32500</v>
      </c>
      <c r="BA238" s="64" t="n"/>
      <c r="BB238" s="64" t="n"/>
      <c r="BC238" s="64" t="n"/>
      <c r="BD238" s="64" t="n"/>
      <c r="BE238" s="64" t="n"/>
      <c r="BF238" s="64" t="n"/>
      <c r="BG238" s="65">
        <f>400000+380000</f>
        <v/>
      </c>
    </row>
    <row r="239">
      <c r="B239" s="1" t="inlineStr">
        <is>
          <t>荒巻中央パークマンション306</t>
        </is>
      </c>
      <c r="C239" s="1" t="inlineStr">
        <is>
          <t>LIXIL</t>
        </is>
      </c>
      <c r="D239" s="1" t="inlineStr">
        <is>
          <t>キッチン入替</t>
        </is>
      </c>
      <c r="E239" s="2" t="inlineStr">
        <is>
          <t>3月</t>
        </is>
      </c>
      <c r="F239" s="68" t="n">
        <v>338000</v>
      </c>
      <c r="G239" s="68">
        <f>IF(B239="","",F239-I239 )</f>
        <v/>
      </c>
      <c r="H239" s="5">
        <f>IF(G239="","",G239/F239)</f>
        <v/>
      </c>
      <c r="I239" s="62">
        <f>SUM(テーブル9[[#This Row],[五大]:[工場材]])</f>
        <v/>
      </c>
      <c r="J239" s="65" t="n"/>
      <c r="K239" s="65" t="n"/>
      <c r="L239" s="65" t="n"/>
      <c r="M239" s="65" t="n"/>
      <c r="N239" s="65" t="n"/>
      <c r="O239" s="65" t="n"/>
      <c r="P239" s="65" t="n"/>
      <c r="Q239" s="65" t="n"/>
      <c r="R239" s="65" t="n"/>
      <c r="S239" s="65" t="n"/>
      <c r="T239" s="65" t="n"/>
      <c r="U239" s="65" t="n"/>
      <c r="V239" s="65" t="n"/>
      <c r="W239" s="64" t="n">
        <v>30000</v>
      </c>
      <c r="X239" s="66" t="n">
        <v>6241</v>
      </c>
      <c r="Y239" s="64" t="n"/>
      <c r="Z239" s="65" t="n"/>
      <c r="AA239" s="64" t="n">
        <v>20000</v>
      </c>
      <c r="AB239" s="64" t="n"/>
      <c r="AC239" s="64" t="n">
        <v>59000</v>
      </c>
      <c r="AD239" s="64" t="n"/>
      <c r="AE239" s="65" t="n"/>
      <c r="AF239" s="65" t="n"/>
      <c r="AG239" s="65" t="n"/>
      <c r="AH239" s="65" t="n"/>
      <c r="AI239" s="64" t="n">
        <v>50000</v>
      </c>
      <c r="AJ239" s="64" t="n"/>
      <c r="AK239" s="65" t="n"/>
      <c r="AL239" s="65" t="n"/>
      <c r="AM239" s="65" t="n"/>
      <c r="AN239" s="65" t="n"/>
      <c r="AO239" s="65" t="n"/>
      <c r="AP239" s="65" t="n"/>
      <c r="AQ239" s="65" t="n"/>
      <c r="AR239" s="65" t="n"/>
      <c r="AS239" s="65" t="n"/>
      <c r="AT239" s="65" t="n"/>
      <c r="AU239" s="65" t="n"/>
      <c r="AV239" s="65" t="n"/>
      <c r="AW239" s="65" t="n"/>
      <c r="AX239" s="65" t="n"/>
      <c r="AY239" s="65" t="n"/>
      <c r="AZ239" s="65" t="n"/>
      <c r="BA239" s="65" t="n"/>
      <c r="BB239" s="65" t="n"/>
      <c r="BC239" s="65" t="n"/>
      <c r="BD239" s="65" t="n"/>
      <c r="BE239" s="65" t="n"/>
      <c r="BF239" s="65" t="n"/>
      <c r="BG239" s="65" t="n"/>
    </row>
    <row r="240">
      <c r="B240" s="1" t="inlineStr">
        <is>
          <t>ネバーランド</t>
        </is>
      </c>
      <c r="C240" s="1" t="inlineStr">
        <is>
          <t>積水不動産</t>
        </is>
      </c>
      <c r="D240" s="1" t="inlineStr">
        <is>
          <t>アスロック交換</t>
        </is>
      </c>
      <c r="E240" s="2" t="inlineStr">
        <is>
          <t>3月</t>
        </is>
      </c>
      <c r="F240" s="68" t="n">
        <v>453200</v>
      </c>
      <c r="G240" s="68">
        <f>IF(B240="","",F240-I240 )</f>
        <v/>
      </c>
      <c r="H240" s="5">
        <f>IF(G240="","",G240/F240)</f>
        <v/>
      </c>
      <c r="I240" s="62">
        <f>SUM(テーブル9[[#This Row],[五大]:[工場材]])</f>
        <v/>
      </c>
      <c r="J240" s="65" t="n"/>
      <c r="K240" s="65" t="n"/>
      <c r="L240" s="65" t="n"/>
      <c r="M240" s="65" t="n"/>
      <c r="N240" s="65" t="n"/>
      <c r="O240" s="65" t="n"/>
      <c r="P240" s="65" t="n">
        <v>20000</v>
      </c>
      <c r="Q240" s="65" t="n"/>
      <c r="R240" s="64">
        <f>700*57.5</f>
        <v/>
      </c>
      <c r="S240" s="65" t="n"/>
      <c r="T240" s="65" t="n"/>
      <c r="U240" s="65" t="n"/>
      <c r="V240" s="65" t="n"/>
      <c r="W240" s="65" t="n"/>
      <c r="X240" s="66" t="n">
        <v>15000</v>
      </c>
      <c r="Y240" s="65" t="n"/>
      <c r="Z240" s="65" t="n"/>
      <c r="AA240" s="65" t="n"/>
      <c r="AB240" s="65" t="n"/>
      <c r="AC240" s="65" t="n"/>
      <c r="AD240" s="65" t="n"/>
      <c r="AE240" s="65" t="n"/>
      <c r="AF240" s="65" t="n"/>
      <c r="AG240" s="65" t="n"/>
      <c r="AH240" s="65" t="n"/>
      <c r="AI240" s="65" t="n"/>
      <c r="AJ240" s="65" t="n"/>
      <c r="AK240" s="65" t="n"/>
      <c r="AL240" s="65" t="n"/>
      <c r="AM240" s="65" t="n"/>
      <c r="AN240" s="65" t="n"/>
      <c r="AO240" s="65" t="n"/>
      <c r="AP240" s="65" t="n"/>
      <c r="AQ240" s="65" t="n"/>
      <c r="AR240" s="65" t="n"/>
      <c r="AS240" s="65" t="n"/>
      <c r="AT240" s="65" t="n"/>
      <c r="AU240" s="65" t="n"/>
      <c r="AV240" s="65" t="n"/>
      <c r="AW240" s="65" t="n"/>
      <c r="AX240" s="65" t="n"/>
      <c r="AY240" s="65" t="n"/>
      <c r="AZ240" s="65" t="n"/>
      <c r="BA240" s="65" t="n"/>
      <c r="BB240" s="65" t="n"/>
      <c r="BC240" s="65" t="n"/>
      <c r="BD240" s="65" t="n"/>
      <c r="BE240" s="65" t="n"/>
      <c r="BF240" s="65" t="n"/>
      <c r="BG240" s="64" t="n">
        <v>102015</v>
      </c>
    </row>
    <row r="241">
      <c r="B241" s="1" t="inlineStr">
        <is>
          <t>松森　テナント</t>
        </is>
      </c>
      <c r="C241" s="1" t="inlineStr">
        <is>
          <t>山田</t>
        </is>
      </c>
      <c r="D241" s="1" t="inlineStr">
        <is>
          <t>テナント改修工事</t>
        </is>
      </c>
      <c r="E241" s="2" t="inlineStr">
        <is>
          <t>3月</t>
        </is>
      </c>
      <c r="F241" s="68">
        <f>740910+1460000+60000+632200</f>
        <v/>
      </c>
      <c r="G241" s="68">
        <f>IF(B241="","",F241-I241 )</f>
        <v/>
      </c>
      <c r="H241" s="5">
        <f>IF(G241="","",G241/F241)</f>
        <v/>
      </c>
      <c r="I241" s="62">
        <f>SUM(テーブル9[[#This Row],[五大]:[工場材]])</f>
        <v/>
      </c>
      <c r="J241" s="64" t="n"/>
      <c r="K241" s="65" t="n"/>
      <c r="L241" s="65" t="n"/>
      <c r="M241" s="65" t="n"/>
      <c r="N241" s="65" t="n"/>
      <c r="O241" s="65" t="n"/>
      <c r="P241" s="65" t="n"/>
      <c r="Q241" s="65" t="n"/>
      <c r="R241" s="65" t="n"/>
      <c r="S241" s="65" t="n"/>
      <c r="T241" s="65" t="n"/>
      <c r="U241" s="65" t="n"/>
      <c r="V241" s="65" t="n"/>
      <c r="W241" s="65" t="n">
        <v>400000</v>
      </c>
      <c r="X241" s="66" t="n">
        <v>66922</v>
      </c>
      <c r="Y241" s="65" t="n"/>
      <c r="Z241" s="65" t="n"/>
      <c r="AA241" s="64" t="n">
        <v>453500</v>
      </c>
      <c r="AB241" s="69" t="n">
        <v>235000</v>
      </c>
      <c r="AC241" s="65" t="n"/>
      <c r="AD241" s="65" t="n"/>
      <c r="AE241" s="65" t="n"/>
      <c r="AF241" s="65" t="n"/>
      <c r="AG241" s="65" t="n"/>
      <c r="AH241" s="69" t="n">
        <v>683600</v>
      </c>
      <c r="AI241" s="65" t="n"/>
      <c r="AJ241" s="65" t="n"/>
      <c r="AK241" s="65" t="n"/>
      <c r="AL241" s="65" t="n"/>
      <c r="AM241" s="65" t="n"/>
      <c r="AN241" s="65" t="n"/>
      <c r="AO241" s="65" t="n"/>
      <c r="AP241" s="65" t="n"/>
      <c r="AQ241" s="65" t="n"/>
      <c r="AR241" s="65" t="n"/>
      <c r="AS241" s="65" t="n"/>
      <c r="AT241" s="65" t="n"/>
      <c r="AU241" s="65" t="n"/>
      <c r="AV241" s="65" t="n"/>
      <c r="AW241" s="65" t="n"/>
      <c r="AX241" s="65" t="n"/>
      <c r="AY241" s="65" t="n"/>
      <c r="AZ241" s="65" t="n"/>
      <c r="BA241" s="65" t="n"/>
      <c r="BB241" s="65" t="n"/>
      <c r="BC241" s="65" t="n"/>
      <c r="BD241" s="65" t="n"/>
      <c r="BE241" s="65" t="n"/>
      <c r="BF241" s="65" t="n"/>
      <c r="BG241" s="65" t="n"/>
    </row>
    <row r="242">
      <c r="B242" s="1" t="inlineStr">
        <is>
          <t>うさちゃん長命ヶ丘</t>
        </is>
      </c>
      <c r="C242" s="1" t="inlineStr">
        <is>
          <t>一心</t>
        </is>
      </c>
      <c r="D242" s="1" t="inlineStr">
        <is>
          <t>テナント改修工事（事故）</t>
        </is>
      </c>
      <c r="E242" s="2" t="inlineStr">
        <is>
          <t>3月</t>
        </is>
      </c>
      <c r="F242" s="68">
        <f>254000+447000+1631000+118000+816630</f>
        <v/>
      </c>
      <c r="G242" s="68">
        <f>IF(B242="","",F242-I242 )</f>
        <v/>
      </c>
      <c r="H242" s="5">
        <f>IF(G242="","",G242/F242)</f>
        <v/>
      </c>
      <c r="I242" s="62">
        <f>SUM(テーブル9[[#This Row],[五大]:[工場材]])</f>
        <v/>
      </c>
      <c r="J242" s="69" t="n"/>
      <c r="K242" s="65" t="n"/>
      <c r="L242" s="65" t="n"/>
      <c r="M242" s="65" t="n"/>
      <c r="N242" s="65" t="n"/>
      <c r="O242" s="65" t="n">
        <v>60000</v>
      </c>
      <c r="P242" s="65" t="n"/>
      <c r="Q242" s="65" t="n"/>
      <c r="R242" s="65" t="n"/>
      <c r="S242" s="65" t="n"/>
      <c r="T242" s="65" t="n"/>
      <c r="U242" s="65" t="n"/>
      <c r="V242" s="65" t="n"/>
      <c r="W242" s="65" t="n"/>
      <c r="X242" s="66" t="n"/>
      <c r="Y242" s="65" t="n"/>
      <c r="Z242" s="65" t="n"/>
      <c r="AA242" s="69" t="n">
        <v>25000</v>
      </c>
      <c r="AB242" s="65" t="n"/>
      <c r="AC242" s="65" t="n"/>
      <c r="AD242" s="65" t="n"/>
      <c r="AE242" s="69" t="n">
        <v>2575000</v>
      </c>
      <c r="AF242" s="69" t="n"/>
      <c r="AG242" s="65" t="n"/>
      <c r="AH242" s="65" t="n"/>
      <c r="AI242" s="65" t="n"/>
      <c r="AJ242" s="65" t="n"/>
      <c r="AK242" s="65" t="n"/>
      <c r="AL242" s="65" t="n"/>
      <c r="AM242" s="65" t="n"/>
      <c r="AN242" s="65" t="n"/>
      <c r="AO242" s="65" t="n"/>
      <c r="AP242" s="65" t="n"/>
      <c r="AQ242" s="65" t="n"/>
      <c r="AR242" s="65" t="n"/>
      <c r="AS242" s="65" t="n"/>
      <c r="AT242" s="65" t="n"/>
      <c r="AU242" s="65" t="n"/>
      <c r="AV242" s="65" t="n"/>
      <c r="AW242" s="65" t="n"/>
      <c r="AX242" s="65" t="n"/>
      <c r="AY242" s="65" t="n"/>
      <c r="AZ242" s="65" t="n"/>
      <c r="BA242" s="65" t="n"/>
      <c r="BB242" s="65" t="n"/>
      <c r="BC242" s="65" t="n"/>
      <c r="BD242" s="65" t="n"/>
      <c r="BE242" s="65" t="n"/>
      <c r="BF242" s="65" t="n"/>
      <c r="BG242" s="65" t="n"/>
    </row>
    <row r="243">
      <c r="B243" s="1" t="inlineStr">
        <is>
          <t>うさちゃん住吉台工場</t>
        </is>
      </c>
      <c r="C243" s="1" t="inlineStr">
        <is>
          <t>一心</t>
        </is>
      </c>
      <c r="E243" s="2" t="inlineStr">
        <is>
          <t>3月</t>
        </is>
      </c>
      <c r="F243" s="68" t="n">
        <v>288000</v>
      </c>
      <c r="G243" s="68">
        <f>IF(B243="","",F243-I243 )</f>
        <v/>
      </c>
      <c r="H243" s="5">
        <f>IF(G243="","",G243/F243)</f>
        <v/>
      </c>
      <c r="I243" s="62">
        <f>SUM(テーブル9[[#This Row],[五大]:[工場材]])</f>
        <v/>
      </c>
      <c r="J243" s="69" t="n"/>
      <c r="K243" s="65" t="n"/>
      <c r="L243" s="65" t="n"/>
      <c r="M243" s="65" t="n"/>
      <c r="N243" s="65" t="n"/>
      <c r="O243" s="65" t="n"/>
      <c r="P243" s="65" t="n"/>
      <c r="Q243" s="65" t="n"/>
      <c r="R243" s="65" t="n"/>
      <c r="S243" s="65" t="n"/>
      <c r="T243" s="65" t="n"/>
      <c r="U243" s="65" t="n"/>
      <c r="V243" s="65" t="n"/>
      <c r="W243" s="65" t="n"/>
      <c r="X243" s="66" t="n"/>
      <c r="Y243" s="65" t="n"/>
      <c r="Z243" s="65" t="n"/>
      <c r="AA243" s="69" t="n"/>
      <c r="AB243" s="65" t="n"/>
      <c r="AC243" s="65" t="n"/>
      <c r="AD243" s="65" t="n"/>
      <c r="AE243" s="65" t="n">
        <v>150000</v>
      </c>
      <c r="AF243" s="65" t="n"/>
      <c r="AG243" s="65" t="n"/>
      <c r="AH243" s="65" t="n"/>
      <c r="AI243" s="65" t="n"/>
      <c r="AJ243" s="65" t="n"/>
      <c r="AK243" s="65" t="n"/>
      <c r="AL243" s="65" t="n"/>
      <c r="AM243" s="65" t="n"/>
      <c r="AN243" s="65" t="n"/>
      <c r="AO243" s="65" t="n"/>
      <c r="AP243" s="65" t="n"/>
      <c r="AQ243" s="65" t="n"/>
      <c r="AR243" s="65" t="n"/>
      <c r="AS243" s="65" t="n"/>
      <c r="AT243" s="65" t="n"/>
      <c r="AU243" s="65" t="n"/>
      <c r="AV243" s="65" t="n"/>
      <c r="AW243" s="65" t="n"/>
      <c r="AX243" s="65" t="n"/>
      <c r="AY243" s="65" t="n"/>
      <c r="AZ243" s="65" t="n">
        <v>39000</v>
      </c>
      <c r="BA243" s="65" t="n"/>
      <c r="BB243" s="65" t="n"/>
      <c r="BC243" s="65" t="n"/>
      <c r="BD243" s="65" t="n"/>
      <c r="BE243" s="65" t="n"/>
      <c r="BF243" s="65" t="n"/>
      <c r="BG243" s="65" t="n"/>
    </row>
    <row r="244">
      <c r="B244" s="1" t="inlineStr">
        <is>
          <t>ベルージュ</t>
        </is>
      </c>
      <c r="C244" s="1" t="inlineStr">
        <is>
          <t>積水不動産</t>
        </is>
      </c>
      <c r="D244" s="1" t="inlineStr">
        <is>
          <t>塗装</t>
        </is>
      </c>
      <c r="E244" s="2" t="inlineStr">
        <is>
          <t>3月</t>
        </is>
      </c>
      <c r="F244" s="68" t="n">
        <v>2485000</v>
      </c>
      <c r="G244" s="68">
        <f>IF(B244="","",F244-I244 )</f>
        <v/>
      </c>
      <c r="H244" s="5">
        <f>IF(G244="","",G244/F244)</f>
        <v/>
      </c>
      <c r="I244" s="62">
        <f>SUM(テーブル9[[#This Row],[五大]:[工場材]])</f>
        <v/>
      </c>
      <c r="J244" s="69" t="n">
        <v>350000</v>
      </c>
      <c r="K244" s="65" t="n"/>
      <c r="L244" s="65" t="n"/>
      <c r="M244" s="65" t="n"/>
      <c r="N244" s="65" t="n"/>
      <c r="O244" s="69" t="n">
        <v>1000000</v>
      </c>
      <c r="P244" s="65" t="n"/>
      <c r="Q244" s="65" t="n"/>
      <c r="R244" s="69">
        <f>21000+37100</f>
        <v/>
      </c>
      <c r="S244" s="69" t="n">
        <v>35000</v>
      </c>
      <c r="T244" s="65" t="n"/>
      <c r="U244" s="69">
        <f>195300</f>
        <v/>
      </c>
      <c r="V244" s="69" t="n"/>
      <c r="W244" s="65" t="n"/>
      <c r="X244" s="66" t="n"/>
      <c r="Y244" s="65" t="n"/>
      <c r="Z244" s="65" t="n"/>
      <c r="AA244" s="69" t="n">
        <v>35000</v>
      </c>
      <c r="AB244" s="65" t="n"/>
      <c r="AC244" s="65" t="n"/>
      <c r="AD244" s="65" t="n"/>
      <c r="AE244" s="65" t="n"/>
      <c r="AF244" s="65" t="n"/>
      <c r="AG244" s="65" t="n"/>
      <c r="AH244" s="65" t="n"/>
      <c r="AI244" s="65" t="n"/>
      <c r="AJ244" s="65" t="n"/>
      <c r="AK244" s="65" t="n"/>
      <c r="AL244" s="65" t="n"/>
      <c r="AM244" s="65" t="n"/>
      <c r="AN244" s="65" t="n"/>
      <c r="AO244" s="65" t="n"/>
      <c r="AP244" s="65" t="n"/>
      <c r="AQ244" s="65" t="n"/>
      <c r="AR244" s="65" t="n"/>
      <c r="AS244" s="65" t="n"/>
      <c r="AT244" s="65" t="n"/>
      <c r="AU244" s="65" t="n"/>
      <c r="AV244" s="65" t="n"/>
      <c r="AW244" s="65" t="n"/>
      <c r="AX244" s="65" t="n"/>
      <c r="AY244" s="65" t="n"/>
      <c r="AZ244" s="65" t="n"/>
      <c r="BA244" s="65" t="n"/>
      <c r="BB244" s="65" t="n"/>
      <c r="BC244" s="65" t="n"/>
      <c r="BD244" s="65" t="n"/>
      <c r="BE244" s="65" t="n"/>
      <c r="BF244" s="65" t="n"/>
      <c r="BG244" s="65" t="n"/>
    </row>
    <row r="245">
      <c r="B245" s="1" t="inlineStr">
        <is>
          <t>泉ヶ丘戸建て</t>
        </is>
      </c>
      <c r="C245" s="1" t="inlineStr">
        <is>
          <t>積水不動産</t>
        </is>
      </c>
      <c r="D245" s="1" t="inlineStr">
        <is>
          <t>フェンス・土間洗浄</t>
        </is>
      </c>
      <c r="E245" s="2" t="inlineStr">
        <is>
          <t>3月</t>
        </is>
      </c>
      <c r="F245" s="68" t="n">
        <v>595000</v>
      </c>
      <c r="G245" s="68">
        <f>IF(B245="","",F245-I245 )</f>
        <v/>
      </c>
      <c r="H245" s="5">
        <f>IF(G245="","",G245/F245)</f>
        <v/>
      </c>
      <c r="I245" s="62">
        <f>SUM(テーブル9[[#This Row],[五大]:[工場材]])</f>
        <v/>
      </c>
      <c r="J245" s="69" t="n"/>
      <c r="K245" s="65" t="n"/>
      <c r="L245" s="65" t="n"/>
      <c r="M245" s="65" t="n"/>
      <c r="N245" s="65" t="n"/>
      <c r="O245" s="69" t="n">
        <v>25000</v>
      </c>
      <c r="P245" s="65" t="n"/>
      <c r="Q245" s="65" t="n"/>
      <c r="R245" s="65" t="n"/>
      <c r="S245" s="65" t="n"/>
      <c r="T245" s="65" t="n"/>
      <c r="U245" s="65" t="n"/>
      <c r="V245" s="65" t="n"/>
      <c r="W245" s="65" t="n"/>
      <c r="X245" s="66" t="n"/>
      <c r="Y245" s="65" t="n"/>
      <c r="Z245" s="65" t="n"/>
      <c r="AA245" s="65" t="n"/>
      <c r="AB245" s="65" t="n"/>
      <c r="AC245" s="65" t="n"/>
      <c r="AD245" s="65" t="n"/>
      <c r="AE245" s="69" t="n">
        <v>370000</v>
      </c>
      <c r="AF245" s="69" t="n"/>
      <c r="AG245" s="65" t="n"/>
      <c r="AH245" s="65" t="n"/>
      <c r="AI245" s="65" t="n"/>
      <c r="AJ245" s="65" t="n"/>
      <c r="AK245" s="65" t="n"/>
      <c r="AL245" s="65" t="n"/>
      <c r="AM245" s="65" t="n"/>
      <c r="AN245" s="65" t="n"/>
      <c r="AO245" s="65" t="n"/>
      <c r="AP245" s="65" t="n"/>
      <c r="AQ245" s="65" t="n"/>
      <c r="AR245" s="65" t="n"/>
      <c r="AS245" s="65" t="n"/>
      <c r="AT245" s="65" t="n"/>
      <c r="AU245" s="65" t="n"/>
      <c r="AV245" s="65" t="n"/>
      <c r="AW245" s="65" t="n"/>
      <c r="AX245" s="65" t="n"/>
      <c r="AY245" s="65" t="n"/>
      <c r="AZ245" s="65" t="n">
        <v>20000</v>
      </c>
      <c r="BA245" s="65" t="n"/>
      <c r="BB245" s="65" t="n"/>
      <c r="BC245" s="65" t="n"/>
      <c r="BD245" s="65" t="n"/>
      <c r="BE245" s="65" t="n"/>
      <c r="BF245" s="65" t="n"/>
      <c r="BG245" s="65" t="n"/>
    </row>
    <row r="246">
      <c r="B246" s="1" t="inlineStr">
        <is>
          <t>宮城スバル</t>
        </is>
      </c>
      <c r="C246" s="1" t="inlineStr">
        <is>
          <t>一心</t>
        </is>
      </c>
      <c r="D246" s="1" t="inlineStr">
        <is>
          <t>ランドリー室工事+防炎仕様</t>
        </is>
      </c>
      <c r="E246" s="2" t="inlineStr">
        <is>
          <t>3月</t>
        </is>
      </c>
      <c r="F246" s="68">
        <f>965000+394000</f>
        <v/>
      </c>
      <c r="G246" s="68">
        <f>IF(B246="","",F246-I246 )</f>
        <v/>
      </c>
      <c r="H246" s="5">
        <f>IF(G246="","",G246/F246)</f>
        <v/>
      </c>
      <c r="I246" s="62">
        <f>SUM(テーブル9[[#This Row],[五大]:[工場材]])</f>
        <v/>
      </c>
      <c r="J246" s="69" t="n"/>
      <c r="K246" s="65" t="n"/>
      <c r="L246" s="65" t="n"/>
      <c r="M246" s="65" t="n"/>
      <c r="N246" s="65" t="n"/>
      <c r="O246" s="65" t="n">
        <v>28000</v>
      </c>
      <c r="P246" s="65" t="n"/>
      <c r="Q246" s="65" t="n"/>
      <c r="R246" s="65" t="n"/>
      <c r="S246" s="65" t="n"/>
      <c r="T246" s="65" t="n"/>
      <c r="U246" s="65" t="n"/>
      <c r="V246" s="65" t="n"/>
      <c r="W246" s="65" t="n"/>
      <c r="X246" s="66" t="n">
        <v>59734</v>
      </c>
      <c r="Y246" s="65" t="n"/>
      <c r="Z246" s="65" t="n"/>
      <c r="AA246" s="69" t="n">
        <v>278000</v>
      </c>
      <c r="AB246" s="69" t="n">
        <v>135400</v>
      </c>
      <c r="AC246" s="65" t="n"/>
      <c r="AD246" s="65" t="n"/>
      <c r="AE246" s="69">
        <f>70000+206490</f>
        <v/>
      </c>
      <c r="AF246" s="69" t="n"/>
      <c r="AG246" s="65" t="n"/>
      <c r="AH246" s="65" t="n"/>
      <c r="AI246" s="65" t="n"/>
      <c r="AJ246" s="65" t="n"/>
      <c r="AK246" s="65" t="n"/>
      <c r="AL246" s="65" t="n"/>
      <c r="AM246" s="65" t="n"/>
      <c r="AN246" s="65" t="n"/>
      <c r="AO246" s="65" t="n"/>
      <c r="AP246" s="65" t="n"/>
      <c r="AQ246" s="65" t="n"/>
      <c r="AR246" s="65" t="n"/>
      <c r="AS246" s="65" t="n"/>
      <c r="AT246" s="65" t="n"/>
      <c r="AU246" s="65" t="n"/>
      <c r="AV246" s="65" t="n"/>
      <c r="AW246" s="65" t="n"/>
      <c r="AX246" s="65" t="n"/>
      <c r="AY246" s="65" t="n"/>
      <c r="AZ246" s="65" t="n"/>
      <c r="BA246" s="65" t="n"/>
      <c r="BB246" s="65" t="n"/>
      <c r="BC246" s="65" t="n"/>
      <c r="BD246" s="65" t="n"/>
      <c r="BE246" s="65" t="n"/>
      <c r="BF246" s="65" t="n"/>
      <c r="BG246" s="65" t="n"/>
    </row>
    <row r="247">
      <c r="B247" s="1" t="inlineStr">
        <is>
          <t>グリンヒルズCHIDA</t>
        </is>
      </c>
      <c r="E247" s="2" t="inlineStr">
        <is>
          <t>3月</t>
        </is>
      </c>
      <c r="F247" s="68" t="n">
        <v>173000</v>
      </c>
      <c r="G247" s="68">
        <f>IF(B247="","",F247-I247 )</f>
        <v/>
      </c>
      <c r="H247" s="5">
        <f>IF(G247="","",G247/F247)</f>
        <v/>
      </c>
      <c r="I247" s="62">
        <f>SUM(テーブル9[[#This Row],[五大]:[工場材]])</f>
        <v/>
      </c>
      <c r="J247" s="69" t="n">
        <v>80000</v>
      </c>
      <c r="K247" s="65" t="n"/>
      <c r="L247" s="65" t="n"/>
      <c r="M247" s="65" t="n"/>
      <c r="N247" s="65" t="n"/>
      <c r="O247" s="65" t="n"/>
      <c r="P247" s="65" t="n"/>
      <c r="Q247" s="65" t="n"/>
      <c r="R247" s="69" t="n">
        <v>30000</v>
      </c>
      <c r="S247" s="65" t="n"/>
      <c r="T247" s="65" t="n"/>
      <c r="U247" s="65" t="n"/>
      <c r="V247" s="65" t="n"/>
      <c r="W247" s="65" t="n"/>
      <c r="X247" s="66" t="n"/>
      <c r="Y247" s="65" t="n"/>
      <c r="Z247" s="65" t="n"/>
      <c r="AA247" s="65" t="n"/>
      <c r="AB247" s="65" t="n"/>
      <c r="AC247" s="65" t="n"/>
      <c r="AD247" s="65" t="n"/>
      <c r="AE247" s="65" t="n"/>
      <c r="AF247" s="65" t="n"/>
      <c r="AG247" s="65" t="n"/>
      <c r="AH247" s="65" t="n"/>
      <c r="AI247" s="65" t="n"/>
      <c r="AJ247" s="65" t="n"/>
      <c r="AK247" s="65" t="n"/>
      <c r="AL247" s="65" t="n"/>
      <c r="AM247" s="65" t="n"/>
      <c r="AN247" s="65" t="n"/>
      <c r="AO247" s="65" t="n"/>
      <c r="AP247" s="65" t="n"/>
      <c r="AQ247" s="65" t="n"/>
      <c r="AR247" s="65" t="n"/>
      <c r="AS247" s="65" t="n"/>
      <c r="AT247" s="65" t="n"/>
      <c r="AU247" s="65" t="n"/>
      <c r="AV247" s="65" t="n"/>
      <c r="AW247" s="65" t="n"/>
      <c r="AX247" s="65" t="n"/>
      <c r="AY247" s="65" t="n"/>
      <c r="AZ247" s="65" t="n"/>
      <c r="BA247" s="65" t="n"/>
      <c r="BB247" s="65" t="n"/>
      <c r="BC247" s="65" t="n"/>
      <c r="BD247" s="65" t="n"/>
      <c r="BE247" s="65" t="n"/>
      <c r="BF247" s="65" t="n"/>
      <c r="BG247" s="65" t="n"/>
    </row>
    <row r="248">
      <c r="B248" s="1" t="inlineStr">
        <is>
          <t>南光台　佐々木邸</t>
        </is>
      </c>
      <c r="C248" s="1" t="inlineStr">
        <is>
          <t>光和工業</t>
        </is>
      </c>
      <c r="E248" s="2" t="inlineStr">
        <is>
          <t>3月</t>
        </is>
      </c>
      <c r="F248" s="68" t="n">
        <v>170000</v>
      </c>
      <c r="G248" s="68">
        <f>IF(B248="","",F248-I248 )</f>
        <v/>
      </c>
      <c r="H248" s="5">
        <f>IF(G248="","",G248/F248)</f>
        <v/>
      </c>
      <c r="I248" s="62">
        <f>SUM(テーブル9[[#This Row],[五大]:[工場材]])</f>
        <v/>
      </c>
      <c r="J248" s="69" t="n">
        <v>40000</v>
      </c>
      <c r="K248" s="65" t="n"/>
      <c r="L248" s="65" t="n"/>
      <c r="M248" s="65" t="n"/>
      <c r="N248" s="65" t="n"/>
      <c r="O248" s="69" t="n">
        <v>25000</v>
      </c>
      <c r="P248" s="65" t="n"/>
      <c r="Q248" s="65" t="n"/>
      <c r="R248" s="65" t="n"/>
      <c r="S248" s="65" t="n"/>
      <c r="T248" s="65" t="n"/>
      <c r="U248" s="65" t="n"/>
      <c r="V248" s="65" t="n"/>
      <c r="W248" s="65" t="n"/>
      <c r="X248" s="66" t="n"/>
      <c r="Y248" s="65" t="n"/>
      <c r="Z248" s="65" t="n"/>
      <c r="AA248" s="69" t="n">
        <v>54000</v>
      </c>
      <c r="AB248" s="65" t="n"/>
      <c r="AC248" s="65" t="n"/>
      <c r="AD248" s="65" t="n"/>
      <c r="AE248" s="65" t="n"/>
      <c r="AF248" s="65" t="n"/>
      <c r="AG248" s="65" t="n"/>
      <c r="AH248" s="65" t="n"/>
      <c r="AI248" s="65" t="n"/>
      <c r="AJ248" s="65" t="n"/>
      <c r="AK248" s="65" t="n"/>
      <c r="AL248" s="65" t="n"/>
      <c r="AM248" s="65" t="n"/>
      <c r="AN248" s="65" t="n"/>
      <c r="AO248" s="65" t="n"/>
      <c r="AP248" s="65" t="n"/>
      <c r="AQ248" s="65" t="n"/>
      <c r="AR248" s="65" t="n"/>
      <c r="AS248" s="65" t="n"/>
      <c r="AT248" s="65" t="n"/>
      <c r="AU248" s="65" t="n"/>
      <c r="AV248" s="65" t="n"/>
      <c r="AW248" s="65" t="n"/>
      <c r="AX248" s="65" t="n"/>
      <c r="AY248" s="65" t="n"/>
      <c r="AZ248" s="65" t="n"/>
      <c r="BA248" s="65" t="n"/>
      <c r="BB248" s="65" t="n"/>
      <c r="BC248" s="65" t="n"/>
      <c r="BD248" s="65" t="n"/>
      <c r="BE248" s="65" t="n"/>
      <c r="BF248" s="65" t="n"/>
      <c r="BG248" s="65" t="n"/>
    </row>
    <row r="249">
      <c r="B249" s="1" t="inlineStr">
        <is>
          <t>ハイツミカミ</t>
        </is>
      </c>
      <c r="C249" s="1" t="inlineStr">
        <is>
          <t>光和工業</t>
        </is>
      </c>
      <c r="D249" s="1" t="inlineStr">
        <is>
          <t>フェンス工事</t>
        </is>
      </c>
      <c r="E249" s="2" t="inlineStr">
        <is>
          <t>3月</t>
        </is>
      </c>
      <c r="F249" s="68" t="n">
        <v>410000</v>
      </c>
      <c r="G249" s="68">
        <f>IF(B249="","",F249-I249 )</f>
        <v/>
      </c>
      <c r="H249" s="5">
        <f>IF(G249="","",G249/F249)</f>
        <v/>
      </c>
      <c r="I249" s="62">
        <f>SUM(テーブル9[[#This Row],[五大]:[工場材]])</f>
        <v/>
      </c>
      <c r="J249" s="69" t="n"/>
      <c r="K249" s="65" t="n"/>
      <c r="L249" s="65" t="n"/>
      <c r="M249" s="65" t="n"/>
      <c r="N249" s="65" t="n"/>
      <c r="O249" s="65" t="n"/>
      <c r="P249" s="65" t="n"/>
      <c r="Q249" s="65" t="n"/>
      <c r="R249" s="65" t="n"/>
      <c r="S249" s="65" t="n"/>
      <c r="T249" s="65" t="n"/>
      <c r="U249" s="65" t="n"/>
      <c r="V249" s="65" t="n"/>
      <c r="W249" s="65" t="n"/>
      <c r="X249" s="66" t="n"/>
      <c r="Y249" s="65" t="n"/>
      <c r="Z249" s="65" t="n"/>
      <c r="AA249" s="65" t="n"/>
      <c r="AB249" s="65" t="n"/>
      <c r="AC249" s="65" t="n"/>
      <c r="AD249" s="65" t="n"/>
      <c r="AE249" s="65" t="n"/>
      <c r="AF249" s="65" t="n"/>
      <c r="AG249" s="65" t="n"/>
      <c r="AH249" s="65" t="n"/>
      <c r="AI249" s="65" t="n"/>
      <c r="AJ249" s="65" t="n"/>
      <c r="AK249" s="65" t="n"/>
      <c r="AL249" s="65" t="n"/>
      <c r="AM249" s="65" t="n"/>
      <c r="AN249" s="65" t="n"/>
      <c r="AO249" s="65" t="n"/>
      <c r="AP249" s="65" t="n"/>
      <c r="AQ249" s="65" t="n"/>
      <c r="AR249" s="65" t="n"/>
      <c r="AS249" s="65" t="n"/>
      <c r="AT249" s="65" t="n"/>
      <c r="AU249" s="65" t="n"/>
      <c r="AV249" s="65" t="n"/>
      <c r="AW249" s="65" t="n"/>
      <c r="AX249" s="65" t="n"/>
      <c r="AY249" s="65" t="n"/>
      <c r="AZ249" s="65" t="n"/>
      <c r="BA249" s="69" t="n">
        <v>330000</v>
      </c>
      <c r="BB249" s="69" t="n"/>
      <c r="BC249" s="69" t="n"/>
      <c r="BD249" s="69" t="n"/>
      <c r="BE249" s="69" t="n"/>
      <c r="BF249" s="64" t="n"/>
      <c r="BG249" s="65" t="n"/>
    </row>
    <row r="250">
      <c r="B250" s="1" t="inlineStr">
        <is>
          <t>アリストコート小田原801</t>
        </is>
      </c>
      <c r="C250" s="1" t="inlineStr">
        <is>
          <t>山一</t>
        </is>
      </c>
      <c r="D250" s="1" t="inlineStr">
        <is>
          <t>キッチン入替</t>
        </is>
      </c>
      <c r="E250" s="2" t="inlineStr">
        <is>
          <t>3月</t>
        </is>
      </c>
      <c r="F250" s="68" t="n">
        <v>390000</v>
      </c>
      <c r="G250" s="68">
        <f>IF(B250="","",F250-I250 )</f>
        <v/>
      </c>
      <c r="H250" s="5">
        <f>IF(G250="","",G250/F250)</f>
        <v/>
      </c>
      <c r="I250" s="62">
        <f>SUM(テーブル9[[#This Row],[五大]:[工場材]])</f>
        <v/>
      </c>
      <c r="J250" s="69" t="n"/>
      <c r="K250" s="65" t="n"/>
      <c r="L250" s="65" t="n"/>
      <c r="M250" s="65" t="n"/>
      <c r="N250" s="65" t="n"/>
      <c r="O250" s="65" t="n"/>
      <c r="P250" s="65" t="n"/>
      <c r="Q250" s="65" t="n"/>
      <c r="R250" s="65" t="n"/>
      <c r="S250" s="65" t="n"/>
      <c r="T250" s="65" t="n"/>
      <c r="U250" s="65" t="n"/>
      <c r="V250" s="65" t="n"/>
      <c r="W250" s="69" t="n">
        <v>25000</v>
      </c>
      <c r="X250" s="66" t="n"/>
      <c r="Y250" s="65" t="n"/>
      <c r="Z250" s="65" t="n"/>
      <c r="AA250" s="65" t="n"/>
      <c r="AB250" s="69">
        <f>52000-15000</f>
        <v/>
      </c>
      <c r="AC250" s="69" t="n">
        <v>18000</v>
      </c>
      <c r="AD250" s="69" t="n"/>
      <c r="AE250" s="65" t="n"/>
      <c r="AF250" s="65" t="n"/>
      <c r="AG250" s="65" t="n"/>
      <c r="AH250" s="65" t="n"/>
      <c r="AI250" s="65" t="n"/>
      <c r="AJ250" s="65" t="n"/>
      <c r="AK250" s="65" t="n"/>
      <c r="AL250" s="65" t="n"/>
      <c r="AM250" s="65" t="n"/>
      <c r="AN250" s="65" t="n"/>
      <c r="AO250" s="65" t="n"/>
      <c r="AP250" s="69">
        <f>153576+58000+15000</f>
        <v/>
      </c>
      <c r="AQ250" s="69" t="n"/>
      <c r="AR250" s="69" t="n"/>
      <c r="AS250" s="69" t="n"/>
      <c r="AT250" s="69" t="n"/>
      <c r="AU250" s="65" t="n"/>
      <c r="AV250" s="65" t="n"/>
      <c r="AW250" s="65" t="n"/>
      <c r="AX250" s="65" t="n"/>
      <c r="AY250" s="65" t="n"/>
      <c r="AZ250" s="65" t="n"/>
      <c r="BA250" s="65" t="n"/>
      <c r="BB250" s="65" t="n"/>
      <c r="BC250" s="65" t="n"/>
      <c r="BD250" s="65" t="n"/>
      <c r="BE250" s="65" t="n"/>
      <c r="BF250" s="65" t="n"/>
      <c r="BG250" s="65" t="n">
        <v>13000</v>
      </c>
    </row>
    <row r="251">
      <c r="B251" s="1" t="inlineStr">
        <is>
          <t>八木山　小野邸</t>
        </is>
      </c>
      <c r="C251" s="1" t="inlineStr">
        <is>
          <t>LIXIL</t>
        </is>
      </c>
      <c r="D251" s="1" t="inlineStr">
        <is>
          <t>キッチン下地・設備工事</t>
        </is>
      </c>
      <c r="E251" s="2" t="inlineStr">
        <is>
          <t>3月</t>
        </is>
      </c>
      <c r="F251" s="68">
        <f>186600+9000</f>
        <v/>
      </c>
      <c r="G251" s="68">
        <f>IF(B251="","",F251-I251 )</f>
        <v/>
      </c>
      <c r="H251" s="5">
        <f>IF(G251="","",G251/F251)</f>
        <v/>
      </c>
      <c r="I251" s="62">
        <f>SUM(テーブル9[[#This Row],[五大]:[工場材]])</f>
        <v/>
      </c>
      <c r="J251" s="69" t="n"/>
      <c r="K251" s="65" t="n"/>
      <c r="L251" s="65" t="n"/>
      <c r="M251" s="65" t="n"/>
      <c r="N251" s="65" t="n"/>
      <c r="O251" s="65" t="n"/>
      <c r="P251" s="65" t="n"/>
      <c r="Q251" s="65" t="n"/>
      <c r="R251" s="65" t="n"/>
      <c r="S251" s="65" t="n"/>
      <c r="T251" s="65" t="n"/>
      <c r="U251" s="65" t="n"/>
      <c r="V251" s="65" t="n"/>
      <c r="W251" s="69" t="n">
        <v>45000</v>
      </c>
      <c r="X251" s="66" t="n">
        <v>9589</v>
      </c>
      <c r="Y251" s="65" t="n"/>
      <c r="Z251" s="65" t="n"/>
      <c r="AA251" s="65" t="n"/>
      <c r="AB251" s="69" t="n">
        <v>85000</v>
      </c>
      <c r="AC251" s="65" t="n"/>
      <c r="AD251" s="65" t="n"/>
      <c r="AE251" s="65" t="n"/>
      <c r="AF251" s="65" t="n"/>
      <c r="AG251" s="65" t="n"/>
      <c r="AH251" s="65" t="n"/>
      <c r="AI251" s="65" t="n"/>
      <c r="AJ251" s="65" t="n"/>
      <c r="AK251" s="65" t="n"/>
      <c r="AL251" s="65" t="n"/>
      <c r="AM251" s="65" t="n"/>
      <c r="AN251" s="65" t="n"/>
      <c r="AO251" s="65" t="n"/>
      <c r="AP251" s="65" t="n"/>
      <c r="AQ251" s="65" t="n"/>
      <c r="AR251" s="65" t="n"/>
      <c r="AS251" s="65" t="n"/>
      <c r="AT251" s="65" t="n"/>
      <c r="AU251" s="65" t="n"/>
      <c r="AV251" s="65" t="n"/>
      <c r="AW251" s="65" t="n"/>
      <c r="AX251" s="65" t="n"/>
      <c r="AY251" s="65" t="n"/>
      <c r="AZ251" s="65" t="n"/>
      <c r="BA251" s="65" t="n"/>
      <c r="BB251" s="65" t="n"/>
      <c r="BC251" s="65" t="n"/>
      <c r="BD251" s="65" t="n"/>
      <c r="BE251" s="65" t="n"/>
      <c r="BF251" s="65" t="n"/>
      <c r="BG251" s="65" t="n"/>
    </row>
    <row r="252">
      <c r="F252" s="75">
        <f>SUBTOTAL(109,F236:F251)</f>
        <v/>
      </c>
      <c r="G252" s="75">
        <f>SUBTOTAL(109,G236:G251)</f>
        <v/>
      </c>
      <c r="H252" s="41">
        <f>IF(G252="","",G252/F252)</f>
        <v/>
      </c>
      <c r="I252" s="75">
        <f>SUBTOTAL(109,I236:I251)</f>
        <v/>
      </c>
      <c r="J252" s="69" t="n"/>
      <c r="K252" s="65" t="n"/>
      <c r="L252" s="65" t="n"/>
      <c r="M252" s="65" t="n"/>
      <c r="N252" s="65" t="n"/>
      <c r="O252" s="65" t="n"/>
      <c r="P252" s="65" t="n"/>
      <c r="Q252" s="65" t="n"/>
      <c r="R252" s="65" t="n"/>
      <c r="S252" s="65" t="n"/>
      <c r="T252" s="65" t="n"/>
      <c r="U252" s="65" t="n"/>
      <c r="V252" s="65" t="n"/>
      <c r="W252" s="65" t="n"/>
      <c r="X252" s="66" t="n"/>
      <c r="Y252" s="65" t="n"/>
      <c r="Z252" s="65" t="n"/>
      <c r="AA252" s="65" t="n"/>
      <c r="AB252" s="65" t="n"/>
      <c r="AC252" s="65" t="n"/>
      <c r="AD252" s="65" t="n"/>
      <c r="AE252" s="65" t="n"/>
      <c r="AF252" s="65" t="n"/>
      <c r="AG252" s="65" t="n"/>
      <c r="AH252" s="65" t="n"/>
      <c r="AI252" s="65" t="n"/>
      <c r="AJ252" s="65" t="n"/>
      <c r="AK252" s="65" t="n"/>
      <c r="AL252" s="65" t="n"/>
      <c r="AM252" s="65" t="n"/>
      <c r="AN252" s="65" t="n"/>
      <c r="AO252" s="65" t="n"/>
      <c r="AP252" s="65" t="n"/>
      <c r="AQ252" s="65" t="n"/>
      <c r="AR252" s="65" t="n"/>
      <c r="AS252" s="65" t="n"/>
      <c r="AT252" s="65" t="n"/>
      <c r="AU252" s="65" t="n"/>
      <c r="AV252" s="65" t="n"/>
      <c r="AW252" s="65" t="n"/>
      <c r="AX252" s="65" t="n"/>
      <c r="AY252" s="65" t="n"/>
      <c r="AZ252" s="65" t="n"/>
      <c r="BA252" s="65" t="n"/>
      <c r="BB252" s="65" t="n"/>
      <c r="BC252" s="65" t="n"/>
      <c r="BD252" s="65" t="n"/>
      <c r="BE252" s="65" t="n"/>
      <c r="BF252" s="65" t="n"/>
      <c r="BG252" s="65" t="n"/>
    </row>
    <row r="253">
      <c r="F253" s="68" t="n"/>
      <c r="G253" s="68">
        <f>IF(B253="","",F253-I253 )</f>
        <v/>
      </c>
      <c r="H253" s="5">
        <f>IF(G253="","",G253/F253)</f>
        <v/>
      </c>
      <c r="I253" s="62">
        <f>SUM(テーブル9[[#This Row],[五大]:[工場材]])</f>
        <v/>
      </c>
      <c r="J253" s="69" t="n"/>
      <c r="K253" s="65" t="n"/>
      <c r="L253" s="65" t="n"/>
      <c r="M253" s="65" t="n"/>
      <c r="N253" s="65" t="n"/>
      <c r="O253" s="65" t="n"/>
      <c r="P253" s="65" t="n"/>
      <c r="Q253" s="65" t="n"/>
      <c r="R253" s="65" t="n"/>
      <c r="S253" s="65" t="n"/>
      <c r="T253" s="65" t="n"/>
      <c r="U253" s="65" t="n"/>
      <c r="V253" s="65" t="n"/>
      <c r="W253" s="65" t="n"/>
      <c r="X253" s="66" t="n"/>
      <c r="Y253" s="65" t="n"/>
      <c r="Z253" s="65" t="n"/>
      <c r="AA253" s="65" t="n"/>
      <c r="AB253" s="65" t="n"/>
      <c r="AC253" s="65" t="n"/>
      <c r="AD253" s="65" t="n"/>
      <c r="AE253" s="65" t="n"/>
      <c r="AF253" s="65" t="n"/>
      <c r="AG253" s="65" t="n"/>
      <c r="AH253" s="65" t="n"/>
      <c r="AI253" s="65" t="n"/>
      <c r="AJ253" s="65" t="n"/>
      <c r="AK253" s="65" t="n"/>
      <c r="AL253" s="65" t="n"/>
      <c r="AM253" s="65" t="n"/>
      <c r="AN253" s="65" t="n"/>
      <c r="AO253" s="65" t="n"/>
      <c r="AP253" s="65" t="n"/>
      <c r="AQ253" s="65" t="n"/>
      <c r="AR253" s="65" t="n"/>
      <c r="AS253" s="65" t="n"/>
      <c r="AT253" s="65" t="n"/>
      <c r="AU253" s="65" t="n"/>
      <c r="AV253" s="65" t="n"/>
      <c r="AW253" s="65" t="n"/>
      <c r="AX253" s="65" t="n"/>
      <c r="AY253" s="65" t="n"/>
      <c r="AZ253" s="65" t="n"/>
      <c r="BA253" s="65" t="n"/>
      <c r="BB253" s="65" t="n"/>
      <c r="BC253" s="65" t="n"/>
      <c r="BD253" s="65" t="n"/>
      <c r="BE253" s="65" t="n"/>
      <c r="BF253" s="65" t="n"/>
      <c r="BG253" s="65" t="n"/>
    </row>
    <row r="254">
      <c r="F254" s="68" t="n"/>
      <c r="G254" s="68">
        <f>IF(B254="","",F254-I254 )</f>
        <v/>
      </c>
      <c r="H254" s="5">
        <f>IF(G254="","",G254/F254)</f>
        <v/>
      </c>
      <c r="I254" s="62">
        <f>SUM(テーブル9[[#This Row],[五大]:[工場材]])</f>
        <v/>
      </c>
      <c r="J254" s="69" t="n"/>
      <c r="K254" s="65" t="n"/>
      <c r="L254" s="65" t="n"/>
      <c r="M254" s="65" t="n"/>
      <c r="N254" s="65" t="n"/>
      <c r="O254" s="65" t="n"/>
      <c r="P254" s="65" t="n"/>
      <c r="Q254" s="65" t="n"/>
      <c r="R254" s="65" t="n"/>
      <c r="S254" s="65" t="n"/>
      <c r="T254" s="65" t="n"/>
      <c r="U254" s="65" t="n"/>
      <c r="V254" s="65" t="n"/>
      <c r="W254" s="65" t="n"/>
      <c r="X254" s="66" t="n"/>
      <c r="Y254" s="65" t="n"/>
      <c r="Z254" s="65" t="n"/>
      <c r="AA254" s="65" t="n"/>
      <c r="AB254" s="65" t="n"/>
      <c r="AC254" s="65" t="n"/>
      <c r="AD254" s="65" t="n"/>
      <c r="AE254" s="65" t="n"/>
      <c r="AF254" s="65" t="n"/>
      <c r="AG254" s="65" t="n"/>
      <c r="AH254" s="65" t="n"/>
      <c r="AI254" s="65" t="n"/>
      <c r="AJ254" s="65" t="n"/>
      <c r="AK254" s="65" t="n"/>
      <c r="AL254" s="65" t="n"/>
      <c r="AM254" s="65" t="n"/>
      <c r="AN254" s="65" t="n"/>
      <c r="AO254" s="65" t="n"/>
      <c r="AP254" s="65" t="n"/>
      <c r="AQ254" s="65" t="n"/>
      <c r="AR254" s="65" t="n"/>
      <c r="AS254" s="65" t="n"/>
      <c r="AT254" s="65" t="n"/>
      <c r="AU254" s="65" t="n"/>
      <c r="AV254" s="65" t="n"/>
      <c r="AW254" s="65" t="n"/>
      <c r="AX254" s="65" t="n"/>
      <c r="AY254" s="65" t="n"/>
      <c r="AZ254" s="65" t="n"/>
      <c r="BA254" s="65" t="n"/>
      <c r="BB254" s="65" t="n"/>
      <c r="BC254" s="65" t="n"/>
      <c r="BD254" s="65" t="n"/>
      <c r="BE254" s="65" t="n"/>
      <c r="BF254" s="65" t="n"/>
      <c r="BG254" s="65" t="n"/>
    </row>
    <row r="255">
      <c r="A255" s="0" t="inlineStr">
        <is>
          <t>R3.4</t>
        </is>
      </c>
      <c r="B255" s="1" t="inlineStr">
        <is>
          <t>グランドール小松島</t>
        </is>
      </c>
      <c r="C255" s="1" t="inlineStr">
        <is>
          <t>積水不動産</t>
        </is>
      </c>
      <c r="D255" s="1" t="inlineStr">
        <is>
          <t>天井断熱材入替+消臭</t>
        </is>
      </c>
      <c r="E255" s="2" t="inlineStr">
        <is>
          <t>4月</t>
        </is>
      </c>
      <c r="F255" s="68" t="n">
        <v>795000</v>
      </c>
      <c r="G255" s="68">
        <f>IF(B255="","",F255-I255 )</f>
        <v/>
      </c>
      <c r="H255" s="5">
        <f>IF(G255="","",G255/F255)</f>
        <v/>
      </c>
      <c r="I255" s="62">
        <f>SUM(テーブル9[[#This Row],[五大]:[工場材]])</f>
        <v/>
      </c>
      <c r="J255" s="65" t="n"/>
      <c r="K255" s="65" t="n"/>
      <c r="L255" s="65" t="n"/>
      <c r="M255" s="65" t="n"/>
      <c r="N255" s="65" t="n"/>
      <c r="O255" s="65" t="n"/>
      <c r="P255" s="65" t="n"/>
      <c r="Q255" s="65" t="n"/>
      <c r="R255" s="65" t="n"/>
      <c r="S255" s="65" t="n"/>
      <c r="T255" s="65" t="n"/>
      <c r="U255" s="65" t="n"/>
      <c r="V255" s="69" t="n">
        <v>50000</v>
      </c>
      <c r="W255" s="69" t="n">
        <v>150000</v>
      </c>
      <c r="X255" s="66" t="n"/>
      <c r="Y255" s="65" t="n"/>
      <c r="Z255" s="65" t="n"/>
      <c r="AA255" s="65" t="n"/>
      <c r="AB255" s="65" t="n"/>
      <c r="AC255" s="65" t="n"/>
      <c r="AD255" s="65" t="n"/>
      <c r="AE255" s="65" t="n"/>
      <c r="AF255" s="65" t="n"/>
      <c r="AG255" s="65" t="n"/>
      <c r="AH255" s="65" t="n"/>
      <c r="AI255" s="65" t="n"/>
      <c r="AJ255" s="65" t="n"/>
      <c r="AK255" s="65" t="n"/>
      <c r="AL255" s="65" t="n"/>
      <c r="AM255" s="65" t="n"/>
      <c r="AN255" s="65" t="n"/>
      <c r="AO255" s="65">
        <f>8250*10+72800</f>
        <v/>
      </c>
      <c r="AP255" s="65" t="n"/>
      <c r="AQ255" s="65" t="n"/>
      <c r="AR255" s="65" t="n"/>
      <c r="AS255" s="65" t="n"/>
      <c r="AT255" s="65" t="n"/>
      <c r="AU255" s="65" t="n"/>
      <c r="AV255" s="65" t="n"/>
      <c r="AW255" s="65" t="n"/>
      <c r="AX255" s="65" t="n"/>
      <c r="AY255" s="65" t="n"/>
      <c r="AZ255" s="65" t="n"/>
      <c r="BA255" s="65" t="n"/>
      <c r="BB255" s="65" t="n"/>
      <c r="BC255" s="65" t="n"/>
      <c r="BD255" s="65" t="n"/>
      <c r="BE255" s="65" t="n"/>
      <c r="BF255" s="65" t="n"/>
      <c r="BG255" s="65" t="n"/>
    </row>
    <row r="256">
      <c r="B256" s="1" t="inlineStr">
        <is>
          <t>大和町　三橋邸</t>
        </is>
      </c>
      <c r="C256" s="1" t="inlineStr">
        <is>
          <t>JA</t>
        </is>
      </c>
      <c r="D256" s="1" t="inlineStr">
        <is>
          <t>樋交換+塗装+桝設置</t>
        </is>
      </c>
      <c r="E256" s="2" t="inlineStr">
        <is>
          <t>4月</t>
        </is>
      </c>
      <c r="F256" s="68" t="n">
        <v>599000</v>
      </c>
      <c r="G256" s="68">
        <f>IF(B256="","",F256-I256 )</f>
        <v/>
      </c>
      <c r="H256" s="5">
        <f>IF(G256="","",G256/F256)</f>
        <v/>
      </c>
      <c r="I256" s="62">
        <f>SUM(テーブル9[[#This Row],[五大]:[工場材]])</f>
        <v/>
      </c>
      <c r="J256" s="69" t="n">
        <v>120000</v>
      </c>
      <c r="K256" s="65" t="n"/>
      <c r="L256" s="65" t="n"/>
      <c r="M256" s="65" t="n"/>
      <c r="N256" s="65" t="n"/>
      <c r="O256" s="69" t="n">
        <v>40000</v>
      </c>
      <c r="P256" s="65" t="n"/>
      <c r="Q256" s="65" t="n"/>
      <c r="R256" s="65" t="n"/>
      <c r="S256" s="65" t="n"/>
      <c r="T256" s="65" t="n"/>
      <c r="U256" s="65" t="n"/>
      <c r="V256" s="65" t="n"/>
      <c r="W256" s="69" t="n">
        <v>80000</v>
      </c>
      <c r="X256" s="66" t="n">
        <v>7504</v>
      </c>
      <c r="Y256" s="65" t="n"/>
      <c r="Z256" s="65" t="n"/>
      <c r="AA256" s="65" t="n"/>
      <c r="AB256" s="69" t="n">
        <v>79000</v>
      </c>
      <c r="AC256" s="65" t="n"/>
      <c r="AD256" s="65" t="n"/>
      <c r="AE256" s="65" t="n">
        <v>8800</v>
      </c>
      <c r="AF256" s="65" t="n"/>
      <c r="AG256" s="65" t="n"/>
      <c r="AH256" s="65" t="n"/>
      <c r="AI256" s="64" t="n"/>
      <c r="AJ256" s="69" t="n"/>
      <c r="AK256" s="65" t="n"/>
      <c r="AL256" s="65" t="n"/>
      <c r="AM256" s="65" t="n"/>
      <c r="AN256" s="65" t="n"/>
      <c r="AO256" s="65" t="n"/>
      <c r="AP256" s="65" t="n">
        <v>43892</v>
      </c>
      <c r="AQ256" s="65" t="n"/>
      <c r="AR256" s="65" t="n"/>
      <c r="AS256" s="65" t="n"/>
      <c r="AT256" s="65" t="n"/>
      <c r="AU256" s="65" t="n"/>
      <c r="AV256" s="65" t="n"/>
      <c r="AW256" s="65" t="n"/>
      <c r="AX256" s="65" t="n"/>
      <c r="AY256" s="65" t="n"/>
      <c r="AZ256" s="65">
        <f>30000</f>
        <v/>
      </c>
      <c r="BA256" s="65" t="n"/>
      <c r="BB256" s="65" t="n"/>
      <c r="BC256" s="65" t="n"/>
      <c r="BD256" s="65" t="n"/>
      <c r="BE256" s="65" t="n"/>
      <c r="BF256" s="65" t="n"/>
      <c r="BG256" s="65" t="n"/>
    </row>
    <row r="257">
      <c r="B257" s="1" t="inlineStr">
        <is>
          <t>吉岡 和泉様邸</t>
        </is>
      </c>
      <c r="C257" s="1" t="inlineStr">
        <is>
          <t>LIXIL</t>
        </is>
      </c>
      <c r="D257" s="1" t="inlineStr">
        <is>
          <t>タイル→UB　キッチントイレ交換</t>
        </is>
      </c>
      <c r="E257" s="2" t="inlineStr">
        <is>
          <t>4月</t>
        </is>
      </c>
      <c r="F257" s="68">
        <f>340000+135000+320000</f>
        <v/>
      </c>
      <c r="G257" s="68">
        <f>IF(B257="","",F257-I257 )</f>
        <v/>
      </c>
      <c r="H257" s="5">
        <f>IF(G257="","",G257/F257)</f>
        <v/>
      </c>
      <c r="I257" s="62">
        <f>SUM(テーブル9[[#This Row],[五大]:[工場材]])</f>
        <v/>
      </c>
      <c r="J257" s="65" t="n"/>
      <c r="K257" s="65" t="n"/>
      <c r="L257" s="65" t="n"/>
      <c r="M257" s="65" t="n"/>
      <c r="N257" s="65" t="n"/>
      <c r="O257" s="65" t="n"/>
      <c r="P257" s="65" t="n"/>
      <c r="Q257" s="65" t="n"/>
      <c r="R257" s="65" t="n"/>
      <c r="S257" s="65" t="n"/>
      <c r="T257" s="65" t="n"/>
      <c r="U257" s="65" t="n"/>
      <c r="V257" s="65" t="n"/>
      <c r="W257" s="69" t="n">
        <v>200000</v>
      </c>
      <c r="X257" s="66" t="n">
        <v>58693</v>
      </c>
      <c r="Y257" s="65" t="n"/>
      <c r="Z257" s="65" t="n"/>
      <c r="AA257" s="69" t="n">
        <v>140000</v>
      </c>
      <c r="AB257" s="69" t="n">
        <v>235000</v>
      </c>
      <c r="AC257" s="65" t="n"/>
      <c r="AD257" s="65" t="n"/>
      <c r="AE257" s="65" t="n"/>
      <c r="AF257" s="65" t="n"/>
      <c r="AG257" s="65" t="n"/>
      <c r="AH257" s="65" t="n"/>
      <c r="AI257" s="64" t="n">
        <v>80000</v>
      </c>
      <c r="AJ257" s="69" t="n"/>
      <c r="AK257" s="65" t="n"/>
      <c r="AL257" s="65" t="n"/>
      <c r="AM257" s="65" t="n"/>
      <c r="AN257" s="65" t="n"/>
      <c r="AO257" s="65" t="n"/>
      <c r="AP257" s="65" t="n"/>
      <c r="AQ257" s="65" t="n"/>
      <c r="AR257" s="65" t="n"/>
      <c r="AS257" s="65" t="n"/>
      <c r="AT257" s="65" t="n"/>
      <c r="AU257" s="65" t="n"/>
      <c r="AV257" s="65" t="n"/>
      <c r="AW257" s="65" t="n"/>
      <c r="AX257" s="65" t="n"/>
      <c r="AY257" s="65" t="n"/>
      <c r="AZ257" s="65" t="n"/>
      <c r="BA257" s="65" t="n"/>
      <c r="BB257" s="65" t="n"/>
      <c r="BC257" s="65" t="n"/>
      <c r="BD257" s="65" t="n"/>
      <c r="BE257" s="65" t="n"/>
      <c r="BF257" s="65" t="n"/>
      <c r="BG257" s="65" t="n"/>
    </row>
    <row r="258">
      <c r="B258" s="1" t="inlineStr">
        <is>
          <t>八乙女 コインランドリー</t>
        </is>
      </c>
      <c r="C258" s="1" t="inlineStr">
        <is>
          <t>一心</t>
        </is>
      </c>
      <c r="D258" s="1" t="inlineStr">
        <is>
          <t>内装工事</t>
        </is>
      </c>
      <c r="E258" s="2" t="inlineStr">
        <is>
          <t>4月</t>
        </is>
      </c>
      <c r="F258" s="68" t="n">
        <v>403000</v>
      </c>
      <c r="G258" s="68">
        <f>IF(B258="","",F258-I258 )</f>
        <v/>
      </c>
      <c r="H258" s="5">
        <f>IF(G258="","",G258/F258)</f>
        <v/>
      </c>
      <c r="I258" s="62">
        <f>SUM(テーブル9[[#This Row],[五大]:[工場材]])</f>
        <v/>
      </c>
      <c r="J258" s="65" t="n"/>
      <c r="K258" s="65" t="n"/>
      <c r="L258" s="65" t="n"/>
      <c r="M258" s="65" t="n"/>
      <c r="N258" s="65" t="n"/>
      <c r="O258" s="65" t="n"/>
      <c r="P258" s="65" t="n"/>
      <c r="Q258" s="65" t="n"/>
      <c r="R258" s="65" t="n"/>
      <c r="S258" s="65" t="n"/>
      <c r="T258" s="65" t="n"/>
      <c r="U258" s="65" t="n"/>
      <c r="V258" s="65" t="n"/>
      <c r="W258" s="65" t="n"/>
      <c r="X258" s="66" t="n"/>
      <c r="Y258" s="65" t="n"/>
      <c r="Z258" s="65" t="n"/>
      <c r="AA258" s="65" t="n"/>
      <c r="AB258" s="65" t="n"/>
      <c r="AC258" s="65" t="n"/>
      <c r="AD258" s="65" t="n"/>
      <c r="AE258" s="65" t="n"/>
      <c r="AF258" s="65" t="n"/>
      <c r="AG258" s="65" t="n"/>
      <c r="AH258" s="65" t="n"/>
      <c r="AI258" s="64" t="n"/>
      <c r="AJ258" s="69" t="n"/>
      <c r="AK258" s="65" t="n"/>
      <c r="AL258" s="65" t="n"/>
      <c r="AM258" s="65" t="n"/>
      <c r="AN258" s="65" t="n">
        <v>38000</v>
      </c>
      <c r="AO258" s="65" t="n"/>
      <c r="AP258" s="65" t="n"/>
      <c r="AQ258" s="65" t="n"/>
      <c r="AR258" s="65" t="n"/>
      <c r="AS258" s="65" t="n"/>
      <c r="AT258" s="65" t="n"/>
      <c r="AU258" s="65" t="n"/>
      <c r="AV258" s="65" t="n"/>
      <c r="AW258" s="65" t="n"/>
      <c r="AX258" s="65" t="n"/>
      <c r="AY258" s="65" t="n"/>
      <c r="AZ258" s="65" t="n"/>
      <c r="BA258" s="65" t="n"/>
      <c r="BB258" s="65" t="n"/>
      <c r="BC258" s="65" t="n"/>
      <c r="BD258" s="65" t="n"/>
      <c r="BE258" s="65" t="n"/>
      <c r="BF258" s="65" t="n"/>
      <c r="BG258" s="65" t="n"/>
    </row>
    <row r="259">
      <c r="F259" s="75">
        <f>SUBTOTAL(109,F255:F258)</f>
        <v/>
      </c>
      <c r="G259" s="75">
        <f>SUBTOTAL(109,G255:G258)</f>
        <v/>
      </c>
      <c r="H259" s="41">
        <f>IF(G259="","",G259/F259)</f>
        <v/>
      </c>
      <c r="I259" s="75">
        <f>SUBTOTAL(109,I255:I258)</f>
        <v/>
      </c>
      <c r="J259" s="65" t="n"/>
      <c r="K259" s="65" t="n"/>
      <c r="L259" s="65" t="n"/>
      <c r="M259" s="65" t="n"/>
      <c r="N259" s="65" t="n"/>
      <c r="O259" s="65" t="n"/>
      <c r="P259" s="65" t="n"/>
      <c r="Q259" s="65" t="n"/>
      <c r="R259" s="65" t="n"/>
      <c r="S259" s="65" t="n"/>
      <c r="T259" s="65" t="n"/>
      <c r="U259" s="65" t="n"/>
      <c r="V259" s="65" t="n"/>
      <c r="W259" s="65" t="n"/>
      <c r="X259" s="66" t="n"/>
      <c r="Y259" s="65" t="n"/>
      <c r="Z259" s="65" t="n"/>
      <c r="AA259" s="65" t="n"/>
      <c r="AB259" s="65" t="n"/>
      <c r="AC259" s="65" t="n"/>
      <c r="AD259" s="65" t="n"/>
      <c r="AE259" s="65" t="n"/>
      <c r="AF259" s="65" t="n"/>
      <c r="AG259" s="65" t="n"/>
      <c r="AH259" s="65" t="n"/>
      <c r="AI259" s="64" t="n"/>
      <c r="AJ259" s="69" t="n"/>
      <c r="AK259" s="65" t="n"/>
      <c r="AL259" s="65" t="n"/>
      <c r="AM259" s="65" t="n"/>
      <c r="AN259" s="65" t="n"/>
      <c r="AO259" s="65" t="n"/>
      <c r="AP259" s="65" t="n"/>
      <c r="AQ259" s="65" t="n"/>
      <c r="AR259" s="65" t="n"/>
      <c r="AS259" s="65" t="n"/>
      <c r="AT259" s="65" t="n"/>
      <c r="AU259" s="65" t="n"/>
      <c r="AV259" s="65" t="n"/>
      <c r="AW259" s="65" t="n"/>
      <c r="AX259" s="65" t="n"/>
      <c r="AY259" s="65" t="n"/>
      <c r="AZ259" s="65" t="n"/>
      <c r="BA259" s="65" t="n"/>
      <c r="BB259" s="65" t="n"/>
      <c r="BC259" s="65" t="n"/>
      <c r="BD259" s="65" t="n"/>
      <c r="BE259" s="65" t="n"/>
      <c r="BF259" s="65" t="n"/>
      <c r="BG259" s="65" t="n"/>
    </row>
    <row r="260">
      <c r="F260" s="68" t="n"/>
      <c r="G260" s="68">
        <f>IF(B260="","",F260-I260 )</f>
        <v/>
      </c>
      <c r="H260" s="5">
        <f>IF(G260="","",G260/F260)</f>
        <v/>
      </c>
      <c r="I260" s="62">
        <f>SUM(テーブル9[[#This Row],[五大]:[工場材]])</f>
        <v/>
      </c>
      <c r="J260" s="65" t="n"/>
      <c r="K260" s="65" t="n"/>
      <c r="L260" s="65" t="n"/>
      <c r="M260" s="65" t="n"/>
      <c r="N260" s="65" t="n"/>
      <c r="O260" s="65" t="n"/>
      <c r="P260" s="65" t="n"/>
      <c r="Q260" s="65" t="n"/>
      <c r="R260" s="65" t="n"/>
      <c r="S260" s="65" t="n"/>
      <c r="T260" s="65" t="n"/>
      <c r="U260" s="65" t="n"/>
      <c r="V260" s="65" t="n"/>
      <c r="W260" s="69" t="n"/>
      <c r="X260" s="66" t="n"/>
      <c r="Y260" s="65" t="n"/>
      <c r="Z260" s="65" t="n"/>
      <c r="AA260" s="65" t="n"/>
      <c r="AB260" s="65" t="n"/>
      <c r="AC260" s="65" t="n"/>
      <c r="AD260" s="65" t="n"/>
      <c r="AE260" s="65" t="n"/>
      <c r="AF260" s="65" t="n"/>
      <c r="AG260" s="65" t="n"/>
      <c r="AH260" s="65" t="n"/>
      <c r="AI260" s="64" t="n"/>
      <c r="AJ260" s="69" t="n"/>
      <c r="AK260" s="65" t="n"/>
      <c r="AL260" s="65" t="n"/>
      <c r="AM260" s="65" t="n"/>
      <c r="AN260" s="65" t="n"/>
      <c r="AO260" s="65" t="n"/>
      <c r="AP260" s="65" t="n"/>
      <c r="AQ260" s="65" t="n"/>
      <c r="AR260" s="65" t="n"/>
      <c r="AS260" s="65" t="n"/>
      <c r="AT260" s="65" t="n"/>
      <c r="AU260" s="65" t="n"/>
      <c r="AV260" s="65" t="n"/>
      <c r="AW260" s="65" t="n"/>
      <c r="AX260" s="65" t="n"/>
      <c r="AY260" s="65" t="n"/>
      <c r="AZ260" s="65" t="n"/>
      <c r="BA260" s="65" t="n"/>
      <c r="BB260" s="65" t="n"/>
      <c r="BC260" s="65" t="n"/>
      <c r="BD260" s="65" t="n"/>
      <c r="BE260" s="65" t="n"/>
      <c r="BF260" s="65" t="n"/>
      <c r="BG260" s="65" t="n"/>
    </row>
    <row r="261">
      <c r="A261" s="0" t="inlineStr">
        <is>
          <t>R3.5</t>
        </is>
      </c>
      <c r="B261" s="1" t="inlineStr">
        <is>
          <t>鶴ケ谷 菊池邸</t>
        </is>
      </c>
      <c r="C261" s="1" t="inlineStr">
        <is>
          <t>LIXIL</t>
        </is>
      </c>
      <c r="D261" s="1" t="inlineStr">
        <is>
          <t>トイレ交換 建具交換　手すり取付け</t>
        </is>
      </c>
      <c r="E261" s="2" t="inlineStr">
        <is>
          <t>5月</t>
        </is>
      </c>
      <c r="F261" s="68" t="n">
        <v>176570</v>
      </c>
      <c r="G261" s="68">
        <f>IF(B261="","",F261-I261 )</f>
        <v/>
      </c>
      <c r="H261" s="5">
        <f>IF(G261="","",G261/F261)</f>
        <v/>
      </c>
      <c r="I261" s="62">
        <f>SUM(テーブル9[[#This Row],[五大]:[工場材]])</f>
        <v/>
      </c>
      <c r="J261" s="65" t="n"/>
      <c r="K261" s="65" t="n"/>
      <c r="L261" s="65" t="n"/>
      <c r="M261" s="65" t="n"/>
      <c r="N261" s="65" t="n"/>
      <c r="O261" s="65" t="n"/>
      <c r="P261" s="65" t="n"/>
      <c r="Q261" s="65" t="n"/>
      <c r="R261" s="65" t="n"/>
      <c r="S261" s="65" t="n"/>
      <c r="T261" s="65" t="n"/>
      <c r="U261" s="65" t="n"/>
      <c r="V261" s="65" t="n"/>
      <c r="W261" s="69" t="n">
        <v>50000</v>
      </c>
      <c r="X261" s="66" t="n">
        <v>7719</v>
      </c>
      <c r="Y261" s="65" t="n"/>
      <c r="Z261" s="65" t="n"/>
      <c r="AA261" s="65" t="n">
        <v>33000</v>
      </c>
      <c r="AB261" s="65" t="n">
        <v>19000</v>
      </c>
      <c r="AC261" s="65" t="n"/>
      <c r="AD261" s="65" t="n"/>
      <c r="AE261" s="65" t="n"/>
      <c r="AF261" s="65" t="n"/>
      <c r="AG261" s="65" t="n"/>
      <c r="AH261" s="65" t="n"/>
      <c r="AI261" s="64" t="n">
        <v>20000</v>
      </c>
      <c r="AJ261" s="69" t="n"/>
      <c r="AK261" s="65" t="n"/>
      <c r="AL261" s="65" t="n"/>
      <c r="AM261" s="65" t="n"/>
      <c r="AN261" s="65" t="n"/>
      <c r="AO261" s="65" t="n"/>
      <c r="AP261" s="65" t="n"/>
      <c r="AQ261" s="65" t="n"/>
      <c r="AR261" s="65" t="n"/>
      <c r="AS261" s="65" t="n"/>
      <c r="AT261" s="65" t="n"/>
      <c r="AU261" s="65" t="n"/>
      <c r="AV261" s="65" t="n"/>
      <c r="AW261" s="65" t="n"/>
      <c r="AX261" s="65" t="n"/>
      <c r="AY261" s="65" t="n"/>
      <c r="AZ261" s="65" t="n"/>
      <c r="BA261" s="65" t="n"/>
      <c r="BB261" s="65" t="n"/>
      <c r="BC261" s="65" t="n"/>
      <c r="BD261" s="65" t="n"/>
      <c r="BE261" s="65" t="n"/>
      <c r="BF261" s="65" t="n"/>
      <c r="BG261" s="65" t="n"/>
    </row>
    <row r="262">
      <c r="B262" s="1" t="inlineStr">
        <is>
          <t>利府 遠藤邸</t>
        </is>
      </c>
      <c r="C262" s="1" t="inlineStr">
        <is>
          <t>光和工業</t>
        </is>
      </c>
      <c r="D262" s="1" t="inlineStr">
        <is>
          <t>押入改修</t>
        </is>
      </c>
      <c r="E262" s="2" t="inlineStr">
        <is>
          <t>5月</t>
        </is>
      </c>
      <c r="F262" s="68" t="n">
        <v>168000</v>
      </c>
      <c r="G262" s="68">
        <f>IF(B262="","",F262-I262 )</f>
        <v/>
      </c>
      <c r="H262" s="5">
        <f>IF(G262="","",G262/F262)</f>
        <v/>
      </c>
      <c r="I262" s="62">
        <f>SUM(テーブル9[[#This Row],[五大]:[工場材]])</f>
        <v/>
      </c>
      <c r="J262" s="65" t="n"/>
      <c r="K262" s="65" t="n"/>
      <c r="L262" s="65" t="n"/>
      <c r="M262" s="65" t="n"/>
      <c r="N262" s="65" t="n"/>
      <c r="O262" s="65" t="n"/>
      <c r="P262" s="65" t="n"/>
      <c r="Q262" s="65" t="n"/>
      <c r="R262" s="65" t="n"/>
      <c r="S262" s="65" t="n"/>
      <c r="T262" s="65" t="n"/>
      <c r="U262" s="65" t="n"/>
      <c r="V262" s="65" t="n"/>
      <c r="W262" s="69" t="n">
        <v>40000</v>
      </c>
      <c r="X262" s="66" t="n">
        <v>18499</v>
      </c>
      <c r="Y262" s="65" t="n"/>
      <c r="Z262" s="65" t="n"/>
      <c r="AA262" s="65" t="n"/>
      <c r="AB262" s="65" t="n"/>
      <c r="AC262" s="65" t="n"/>
      <c r="AD262" s="65" t="n"/>
      <c r="AE262" s="65" t="n"/>
      <c r="AF262" s="65" t="n"/>
      <c r="AG262" s="65" t="n"/>
      <c r="AH262" s="65" t="n"/>
      <c r="AI262" s="64" t="n">
        <v>20000</v>
      </c>
      <c r="AJ262" s="69" t="n"/>
      <c r="AK262" s="65" t="n"/>
      <c r="AL262" s="65" t="n"/>
      <c r="AM262" s="65" t="n"/>
      <c r="AN262" s="65" t="n"/>
      <c r="AO262" s="65" t="n"/>
      <c r="AP262" s="65" t="n"/>
      <c r="AQ262" s="65" t="n"/>
      <c r="AR262" s="65" t="n"/>
      <c r="AS262" s="65" t="n"/>
      <c r="AT262" s="65" t="n"/>
      <c r="AU262" s="65" t="n"/>
      <c r="AV262" s="65" t="n"/>
      <c r="AW262" s="65" t="n"/>
      <c r="AX262" s="65" t="n"/>
      <c r="AY262" s="65" t="n"/>
      <c r="AZ262" s="65" t="n"/>
      <c r="BA262" s="65" t="n"/>
      <c r="BB262" s="65" t="n"/>
      <c r="BC262" s="65" t="n"/>
      <c r="BD262" s="65" t="n"/>
      <c r="BE262" s="65" t="n"/>
      <c r="BF262" s="65" t="n"/>
      <c r="BG262" s="65" t="n"/>
    </row>
    <row r="263">
      <c r="B263" s="1" t="inlineStr">
        <is>
          <t>利府 遠藤邸</t>
        </is>
      </c>
      <c r="C263" s="1" t="inlineStr">
        <is>
          <t>光和工業</t>
        </is>
      </c>
      <c r="D263" s="1" t="inlineStr">
        <is>
          <t>床の間改修</t>
        </is>
      </c>
      <c r="E263" s="2" t="inlineStr">
        <is>
          <t>6月</t>
        </is>
      </c>
      <c r="F263" s="68" t="n">
        <v>153000</v>
      </c>
      <c r="G263" s="68">
        <f>IF(B263="","",F263-I263 )</f>
        <v/>
      </c>
      <c r="H263" s="5">
        <f>IF(G263="","",G263/F263)</f>
        <v/>
      </c>
      <c r="I263" s="62">
        <f>SUM(テーブル9[[#This Row],[五大]:[工場材]])</f>
        <v/>
      </c>
      <c r="J263" s="65" t="n"/>
      <c r="K263" s="65" t="n"/>
      <c r="L263" s="65" t="n"/>
      <c r="M263" s="65" t="n"/>
      <c r="N263" s="65" t="n"/>
      <c r="O263" s="65" t="n"/>
      <c r="P263" s="65" t="n"/>
      <c r="Q263" s="65" t="n"/>
      <c r="R263" s="65" t="n"/>
      <c r="S263" s="65" t="n"/>
      <c r="T263" s="65" t="n"/>
      <c r="U263" s="65" t="n"/>
      <c r="V263" s="65" t="n"/>
      <c r="W263" s="69" t="n">
        <v>40000</v>
      </c>
      <c r="X263" s="66" t="n"/>
      <c r="Y263" s="65" t="n">
        <v>40000</v>
      </c>
      <c r="Z263" s="65" t="n"/>
      <c r="AA263" s="65" t="n">
        <v>8000</v>
      </c>
      <c r="AB263" s="65" t="n"/>
      <c r="AC263" s="65" t="n"/>
      <c r="AD263" s="65" t="n"/>
      <c r="AE263" s="65" t="n"/>
      <c r="AF263" s="65" t="n"/>
      <c r="AG263" s="65" t="n"/>
      <c r="AH263" s="65" t="n"/>
      <c r="AI263" s="64" t="n">
        <v>30000</v>
      </c>
      <c r="AJ263" s="69" t="n"/>
      <c r="AK263" s="65" t="n"/>
      <c r="AL263" s="65" t="n"/>
      <c r="AM263" s="65" t="n"/>
      <c r="AN263" s="65" t="n"/>
      <c r="AO263" s="65" t="n"/>
      <c r="AP263" s="65" t="n"/>
      <c r="AQ263" s="65" t="n"/>
      <c r="AR263" s="65" t="n"/>
      <c r="AS263" s="65" t="n"/>
      <c r="AT263" s="65" t="n"/>
      <c r="AU263" s="65" t="n"/>
      <c r="AV263" s="65" t="n"/>
      <c r="AW263" s="65" t="n"/>
      <c r="AX263" s="65" t="n"/>
      <c r="AY263" s="65" t="n"/>
      <c r="AZ263" s="65" t="n"/>
      <c r="BA263" s="65" t="n"/>
      <c r="BB263" s="65" t="n"/>
      <c r="BC263" s="65" t="n"/>
      <c r="BD263" s="65" t="n"/>
      <c r="BE263" s="65" t="n"/>
      <c r="BF263" s="65" t="n"/>
      <c r="BG263" s="65" t="n"/>
    </row>
    <row r="264">
      <c r="B264" s="1" t="inlineStr">
        <is>
          <t>アービス向陽台</t>
        </is>
      </c>
      <c r="C264" s="1" t="inlineStr">
        <is>
          <t>積水不動産</t>
        </is>
      </c>
      <c r="D264" s="1" t="inlineStr">
        <is>
          <t>101漏水工事</t>
        </is>
      </c>
      <c r="E264" s="2" t="inlineStr">
        <is>
          <t>5月</t>
        </is>
      </c>
      <c r="F264" s="68" t="n">
        <v>163000</v>
      </c>
      <c r="G264" s="68">
        <f>IF(B264="","",F264-I264 )</f>
        <v/>
      </c>
      <c r="H264" s="5">
        <f>IF(G264="","",G264/F264)</f>
        <v/>
      </c>
      <c r="I264" s="62">
        <f>SUM(テーブル9[[#This Row],[五大]:[工場材]])</f>
        <v/>
      </c>
      <c r="J264" s="65" t="n"/>
      <c r="K264" s="65" t="n"/>
      <c r="L264" s="65" t="n"/>
      <c r="M264" s="65" t="n"/>
      <c r="N264" s="65" t="n"/>
      <c r="O264" s="65" t="n"/>
      <c r="P264" s="65" t="n"/>
      <c r="Q264" s="65" t="n"/>
      <c r="R264" s="65" t="n"/>
      <c r="S264" s="65" t="n"/>
      <c r="T264" s="65" t="n"/>
      <c r="U264" s="65" t="n"/>
      <c r="V264" s="65" t="n"/>
      <c r="W264" s="69" t="n">
        <v>30000</v>
      </c>
      <c r="X264" s="66" t="n">
        <v>8872</v>
      </c>
      <c r="Y264" s="65" t="n"/>
      <c r="Z264" s="65" t="n"/>
      <c r="AA264" s="65" t="n"/>
      <c r="AB264" s="65" t="n">
        <v>10000</v>
      </c>
      <c r="AC264" s="65" t="n"/>
      <c r="AD264" s="65" t="n"/>
      <c r="AE264" s="65" t="n"/>
      <c r="AF264" s="65" t="n"/>
      <c r="AG264" s="65" t="n"/>
      <c r="AH264" s="65" t="n"/>
      <c r="AI264" s="64" t="n">
        <v>28000</v>
      </c>
      <c r="AJ264" s="69" t="n"/>
      <c r="AK264" s="65" t="n"/>
      <c r="AL264" s="65" t="n"/>
      <c r="AM264" s="65" t="n"/>
      <c r="AN264" s="65" t="n"/>
      <c r="AO264" s="65" t="n"/>
      <c r="AP264" s="65" t="n"/>
      <c r="AQ264" s="65" t="n"/>
      <c r="AR264" s="65" t="n"/>
      <c r="AS264" s="65" t="n"/>
      <c r="AT264" s="65" t="n"/>
      <c r="AU264" s="65" t="n"/>
      <c r="AV264" s="65" t="n"/>
      <c r="AW264" s="65" t="n"/>
      <c r="AX264" s="65" t="n"/>
      <c r="AY264" s="65" t="n"/>
      <c r="AZ264" s="65" t="n"/>
      <c r="BA264" s="65" t="n"/>
      <c r="BB264" s="65" t="n"/>
      <c r="BC264" s="65" t="n"/>
      <c r="BD264" s="65" t="n"/>
      <c r="BE264" s="65" t="n"/>
      <c r="BF264" s="65" t="n"/>
      <c r="BG264" s="65" t="n"/>
    </row>
    <row r="265">
      <c r="B265" s="1" t="inlineStr">
        <is>
          <t>シャーメゾンドルチェ</t>
        </is>
      </c>
      <c r="C265" s="1" t="inlineStr">
        <is>
          <t>積水不動産</t>
        </is>
      </c>
      <c r="D265" s="1" t="inlineStr">
        <is>
          <t>塗装</t>
        </is>
      </c>
      <c r="E265" s="2" t="inlineStr">
        <is>
          <t>5月</t>
        </is>
      </c>
      <c r="F265" s="68" t="n">
        <v>2400000</v>
      </c>
      <c r="G265" s="68">
        <f>IF(B265="","",F265-I265 )</f>
        <v/>
      </c>
      <c r="H265" s="5">
        <f>IF(G265="","",G265/F265)</f>
        <v/>
      </c>
      <c r="I265" s="62">
        <f>SUM(テーブル9[[#This Row],[五大]:[工場材]])</f>
        <v/>
      </c>
      <c r="J265" s="69" t="n">
        <v>360000</v>
      </c>
      <c r="K265" s="65" t="n"/>
      <c r="L265" s="65" t="n"/>
      <c r="M265" s="65" t="n"/>
      <c r="N265" s="65" t="n"/>
      <c r="O265" s="69" t="n">
        <v>800000</v>
      </c>
      <c r="P265" s="69" t="n"/>
      <c r="Q265" s="69" t="n"/>
      <c r="R265" s="69">
        <f>75*700</f>
        <v/>
      </c>
      <c r="S265" s="65" t="n"/>
      <c r="T265" s="65" t="n"/>
      <c r="U265" s="69" t="n">
        <v>146800</v>
      </c>
      <c r="V265" s="65" t="n"/>
      <c r="W265" s="65" t="n"/>
      <c r="X265" s="66" t="n"/>
      <c r="Y265" s="65" t="n"/>
      <c r="Z265" s="65" t="n"/>
      <c r="AA265" s="65" t="n"/>
      <c r="AB265" s="65" t="n"/>
      <c r="AC265" s="65" t="n"/>
      <c r="AD265" s="65" t="n"/>
      <c r="AE265" s="65" t="n">
        <v>51400</v>
      </c>
      <c r="AF265" s="65" t="n"/>
      <c r="AG265" s="65" t="n"/>
      <c r="AH265" s="65" t="n"/>
      <c r="AI265" s="64" t="n"/>
      <c r="AJ265" s="69" t="n"/>
      <c r="AK265" s="65" t="n"/>
      <c r="AL265" s="65" t="n"/>
      <c r="AM265" s="69" t="n">
        <v>15000</v>
      </c>
      <c r="AN265" s="65" t="n"/>
      <c r="AO265" s="65" t="n"/>
      <c r="AP265" s="65" t="n"/>
      <c r="AQ265" s="65" t="n"/>
      <c r="AR265" s="65" t="n"/>
      <c r="AS265" s="65" t="n"/>
      <c r="AT265" s="65" t="n"/>
      <c r="AU265" s="65" t="n"/>
      <c r="AV265" s="65" t="n"/>
      <c r="AW265" s="65" t="n"/>
      <c r="AX265" s="65" t="n"/>
      <c r="AY265" s="65" t="n"/>
      <c r="AZ265" s="65" t="n"/>
      <c r="BA265" s="65" t="n"/>
      <c r="BB265" s="65" t="n"/>
      <c r="BC265" s="65" t="n"/>
      <c r="BD265" s="65" t="n"/>
      <c r="BE265" s="65" t="n"/>
      <c r="BF265" s="65" t="n"/>
      <c r="BG265" s="65" t="n"/>
    </row>
    <row r="266">
      <c r="B266" s="1" t="inlineStr">
        <is>
          <t>ウエストフレグランスD102</t>
        </is>
      </c>
      <c r="C266" s="1" t="inlineStr">
        <is>
          <t>積水不動産</t>
        </is>
      </c>
      <c r="D266" s="1" t="inlineStr">
        <is>
          <t>リノベーション</t>
        </is>
      </c>
      <c r="E266" s="2" t="inlineStr">
        <is>
          <t>5月</t>
        </is>
      </c>
      <c r="F266" s="68" t="n">
        <v>1190000</v>
      </c>
      <c r="G266" s="68">
        <f>IF(B266="","",F266-I266 )</f>
        <v/>
      </c>
      <c r="H266" s="5">
        <f>IF(G266="","",G266/F266)</f>
        <v/>
      </c>
      <c r="I266" s="62">
        <f>SUM(テーブル9[[#This Row],[五大]:[工場材]])</f>
        <v/>
      </c>
      <c r="J266" s="69" t="n"/>
      <c r="K266" s="65" t="n"/>
      <c r="L266" s="65" t="n"/>
      <c r="M266" s="65" t="n"/>
      <c r="N266" s="65" t="n"/>
      <c r="O266" s="65" t="n"/>
      <c r="P266" s="65" t="n"/>
      <c r="Q266" s="65" t="n"/>
      <c r="R266" s="65" t="n"/>
      <c r="S266" s="65" t="n"/>
      <c r="T266" s="65" t="n"/>
      <c r="U266" s="65" t="n"/>
      <c r="V266" s="65" t="n"/>
      <c r="W266" s="65" t="n"/>
      <c r="X266" s="66" t="n"/>
      <c r="Y266" s="65" t="n"/>
      <c r="Z266" s="65" t="n"/>
      <c r="AA266" s="65" t="n">
        <v>70000</v>
      </c>
      <c r="AB266" s="65" t="n"/>
      <c r="AC266" s="65" t="n"/>
      <c r="AD266" s="65" t="n"/>
      <c r="AE266" s="65" t="n"/>
      <c r="AF266" s="65" t="n"/>
      <c r="AG266" s="65" t="n"/>
      <c r="AH266" s="65" t="n"/>
      <c r="AI266" s="64" t="n">
        <v>70000</v>
      </c>
      <c r="AJ266" s="69" t="n"/>
      <c r="AK266" s="65" t="n"/>
      <c r="AL266" s="65" t="n"/>
      <c r="AM266" s="65" t="n"/>
      <c r="AN266" s="65" t="n"/>
      <c r="AO266" s="65" t="n"/>
      <c r="AP266" s="65" t="n"/>
      <c r="AQ266" s="65" t="n"/>
      <c r="AR266" s="65" t="n"/>
      <c r="AS266" s="65" t="n"/>
      <c r="AT266" s="65" t="n"/>
      <c r="AU266" s="65" t="n"/>
      <c r="AV266" s="65" t="n"/>
      <c r="AW266" s="65" t="n"/>
      <c r="AX266" s="65" t="n"/>
      <c r="AY266" s="65" t="n"/>
      <c r="AZ266" s="65" t="n"/>
      <c r="BA266" s="65" t="n"/>
      <c r="BB266" s="65" t="n"/>
      <c r="BC266" s="65" t="n"/>
      <c r="BD266" s="65" t="n"/>
      <c r="BE266" s="65" t="n"/>
      <c r="BF266" s="65" t="n"/>
      <c r="BG266" s="65" t="n">
        <v>170000</v>
      </c>
    </row>
    <row r="267">
      <c r="B267" s="1" t="inlineStr">
        <is>
          <t>ウエストフレグランスB202</t>
        </is>
      </c>
      <c r="C267" s="1" t="inlineStr">
        <is>
          <t>積水不動産</t>
        </is>
      </c>
      <c r="D267" s="1" t="inlineStr">
        <is>
          <t>リノベーション</t>
        </is>
      </c>
      <c r="E267" s="2" t="inlineStr">
        <is>
          <t>5月</t>
        </is>
      </c>
      <c r="F267" s="68" t="n">
        <v>900000</v>
      </c>
      <c r="G267" s="68">
        <f>IF(B267="","",F267-I267 )</f>
        <v/>
      </c>
      <c r="H267" s="5">
        <f>IF(G267="","",G267/F267)</f>
        <v/>
      </c>
      <c r="I267" s="62">
        <f>SUM(テーブル9[[#This Row],[五大]:[工場材]])</f>
        <v/>
      </c>
      <c r="J267" s="69" t="n"/>
      <c r="K267" s="65" t="n"/>
      <c r="L267" s="65" t="n"/>
      <c r="M267" s="65" t="n"/>
      <c r="N267" s="65" t="n"/>
      <c r="O267" s="65" t="n"/>
      <c r="P267" s="65" t="n"/>
      <c r="Q267" s="65" t="n"/>
      <c r="R267" s="65" t="n"/>
      <c r="S267" s="65" t="n"/>
      <c r="T267" s="65" t="n"/>
      <c r="U267" s="65" t="n"/>
      <c r="V267" s="65" t="n"/>
      <c r="W267" s="65" t="n"/>
      <c r="X267" s="66" t="n"/>
      <c r="Y267" s="65" t="n"/>
      <c r="Z267" s="65" t="n"/>
      <c r="AA267" s="65" t="n">
        <v>105000</v>
      </c>
      <c r="AB267" s="65" t="n"/>
      <c r="AC267" s="65" t="n"/>
      <c r="AD267" s="65" t="n"/>
      <c r="AE267" s="65" t="n"/>
      <c r="AF267" s="65" t="n"/>
      <c r="AG267" s="65" t="n"/>
      <c r="AH267" s="65" t="n"/>
      <c r="AI267" s="64" t="n">
        <v>65000</v>
      </c>
      <c r="AJ267" s="69" t="n"/>
      <c r="AK267" s="65" t="n"/>
      <c r="AL267" s="65" t="n"/>
      <c r="AM267" s="65" t="n"/>
      <c r="AN267" s="65" t="n"/>
      <c r="AO267" s="65" t="n"/>
      <c r="AP267" s="65" t="n"/>
      <c r="AQ267" s="65" t="n"/>
      <c r="AR267" s="65" t="n"/>
      <c r="AS267" s="65" t="n"/>
      <c r="AT267" s="65" t="n"/>
      <c r="AU267" s="65" t="n"/>
      <c r="AV267" s="65" t="n"/>
      <c r="AW267" s="65" t="n"/>
      <c r="AX267" s="65" t="n"/>
      <c r="AY267" s="65" t="n"/>
      <c r="AZ267" s="65" t="n"/>
      <c r="BA267" s="65" t="n"/>
      <c r="BB267" s="65" t="n"/>
      <c r="BC267" s="65" t="n"/>
      <c r="BD267" s="65" t="n"/>
      <c r="BE267" s="65" t="n"/>
      <c r="BF267" s="65" t="n"/>
      <c r="BG267" s="65" t="n">
        <v>180000</v>
      </c>
    </row>
    <row r="268">
      <c r="B268" s="1" t="inlineStr">
        <is>
          <t>大郷 村山邸</t>
        </is>
      </c>
      <c r="C268" s="1" t="inlineStr">
        <is>
          <t>JA</t>
        </is>
      </c>
      <c r="D268" s="1" t="inlineStr">
        <is>
          <t>内装・外装工事</t>
        </is>
      </c>
      <c r="E268" s="2" t="inlineStr">
        <is>
          <t>5月</t>
        </is>
      </c>
      <c r="F268" s="68" t="n">
        <v>401000</v>
      </c>
      <c r="G268" s="68">
        <f>IF(B268="","",F268-I268 )</f>
        <v/>
      </c>
      <c r="H268" s="5">
        <f>IF(G268="","",G268/F268)</f>
        <v/>
      </c>
      <c r="I268" s="62">
        <f>SUM(テーブル9[[#This Row],[五大]:[工場材]])</f>
        <v/>
      </c>
      <c r="J268" s="69" t="n"/>
      <c r="K268" s="65" t="n"/>
      <c r="L268" s="65" t="n"/>
      <c r="M268" s="65" t="n"/>
      <c r="N268" s="65" t="n"/>
      <c r="O268" s="65" t="n"/>
      <c r="P268" s="65" t="n"/>
      <c r="Q268" s="65" t="n"/>
      <c r="R268" s="65" t="n"/>
      <c r="S268" s="65" t="n"/>
      <c r="T268" s="65" t="n"/>
      <c r="U268" s="65" t="n"/>
      <c r="V268" s="65" t="n"/>
      <c r="W268" s="66" t="n">
        <v>5000</v>
      </c>
      <c r="X268" s="66" t="n"/>
      <c r="Y268" s="66" t="n">
        <v>146500</v>
      </c>
      <c r="Z268" s="66" t="n"/>
      <c r="AA268" s="66" t="n"/>
      <c r="AB268" s="66" t="n"/>
      <c r="AC268" s="65" t="n"/>
      <c r="AD268" s="65" t="n"/>
      <c r="AE268" s="65" t="n"/>
      <c r="AF268" s="65" t="n"/>
      <c r="AG268" s="65" t="n"/>
      <c r="AH268" s="65" t="n">
        <v>50000</v>
      </c>
      <c r="AI268" s="64" t="n">
        <v>38000</v>
      </c>
      <c r="AJ268" s="69" t="n"/>
      <c r="AK268" s="65" t="n"/>
      <c r="AL268" s="65" t="n"/>
      <c r="AM268" s="65" t="n"/>
      <c r="AN268" s="65" t="n"/>
      <c r="AO268" s="65" t="n"/>
      <c r="AP268" s="65" t="n"/>
      <c r="AQ268" s="65" t="n"/>
      <c r="AR268" s="65" t="n"/>
      <c r="AS268" s="65" t="n"/>
      <c r="AT268" s="65" t="n"/>
      <c r="AU268" s="65" t="n"/>
      <c r="AV268" s="65" t="n"/>
      <c r="AW268" s="65" t="n"/>
      <c r="AX268" s="65" t="n"/>
      <c r="AY268" s="65" t="n"/>
      <c r="AZ268" s="65" t="n">
        <v>10000</v>
      </c>
      <c r="BA268" s="65" t="n"/>
      <c r="BB268" s="65" t="n"/>
      <c r="BC268" s="65" t="n"/>
      <c r="BD268" s="65" t="n"/>
      <c r="BE268" s="65" t="n"/>
      <c r="BF268" s="65" t="n"/>
      <c r="BG268" s="65" t="n"/>
    </row>
    <row r="269">
      <c r="B269" s="1" t="inlineStr">
        <is>
          <t>柴田 高橋様邸</t>
        </is>
      </c>
      <c r="C269" s="1" t="inlineStr">
        <is>
          <t>LIXIL</t>
        </is>
      </c>
      <c r="D269" s="1" t="inlineStr">
        <is>
          <t>UB交換</t>
        </is>
      </c>
      <c r="F269" s="68">
        <f>20000+22000+30000+57000+274500</f>
        <v/>
      </c>
      <c r="G269" s="68">
        <f>IF(B269="","",F269-I269 )</f>
        <v/>
      </c>
      <c r="H269" s="5">
        <f>IF(G269="","",G269/F269)</f>
        <v/>
      </c>
      <c r="I269" s="62">
        <f>SUM(テーブル9[[#This Row],[五大]:[工場材]])</f>
        <v/>
      </c>
      <c r="J269" s="69" t="n"/>
      <c r="K269" s="65" t="n"/>
      <c r="L269" s="65" t="n"/>
      <c r="M269" s="65" t="n"/>
      <c r="N269" s="65" t="n"/>
      <c r="O269" s="69" t="n">
        <v>40000</v>
      </c>
      <c r="P269" s="65" t="n"/>
      <c r="Q269" s="65" t="n"/>
      <c r="R269" s="65" t="n"/>
      <c r="S269" s="65" t="n"/>
      <c r="T269" s="65" t="n"/>
      <c r="U269" s="65" t="n"/>
      <c r="V269" s="65" t="n"/>
      <c r="W269" s="66" t="n">
        <v>150000</v>
      </c>
      <c r="X269" s="66" t="n">
        <v>15000</v>
      </c>
      <c r="Y269" s="66" t="n"/>
      <c r="Z269" s="66" t="n"/>
      <c r="AA269" s="66" t="n">
        <v>55000</v>
      </c>
      <c r="AB269" s="66" t="n">
        <v>65000</v>
      </c>
      <c r="AC269" s="65" t="n"/>
      <c r="AD269" s="65" t="n"/>
      <c r="AE269" s="65" t="n"/>
      <c r="AF269" s="65" t="n"/>
      <c r="AG269" s="65" t="n"/>
      <c r="AH269" s="65" t="n"/>
      <c r="AI269" s="64" t="n"/>
      <c r="AJ269" s="69" t="n"/>
      <c r="AK269" s="65" t="n"/>
      <c r="AL269" s="65" t="n"/>
      <c r="AM269" s="65" t="n"/>
      <c r="AN269" s="65" t="n"/>
      <c r="AO269" s="65" t="n"/>
      <c r="AP269" s="65" t="n"/>
      <c r="AQ269" s="65" t="n"/>
      <c r="AR269" s="65" t="n"/>
      <c r="AS269" s="65" t="n"/>
      <c r="AT269" s="65" t="n"/>
      <c r="AU269" s="65" t="n"/>
      <c r="AV269" s="65" t="n"/>
      <c r="AW269" s="65" t="n"/>
      <c r="AX269" s="65" t="n"/>
      <c r="AY269" s="65" t="n"/>
      <c r="AZ269" s="65" t="n"/>
      <c r="BA269" s="65" t="n"/>
      <c r="BB269" s="65" t="n"/>
      <c r="BC269" s="65" t="n"/>
      <c r="BD269" s="65" t="n"/>
      <c r="BE269" s="65" t="n"/>
      <c r="BF269" s="65" t="n"/>
      <c r="BG269" s="65" t="n"/>
    </row>
    <row r="270">
      <c r="F270" s="75">
        <f>SUBTOTAL(109,F261:F269)</f>
        <v/>
      </c>
      <c r="G270" s="75">
        <f>SUBTOTAL(109,G261:G269)</f>
        <v/>
      </c>
      <c r="H270" s="41">
        <f>IF(G270="","",G270/F270)</f>
        <v/>
      </c>
      <c r="I270" s="75">
        <f>SUBTOTAL(109,I261:I269)</f>
        <v/>
      </c>
      <c r="J270" s="69" t="n"/>
      <c r="K270" s="65" t="n"/>
      <c r="L270" s="65" t="n"/>
      <c r="M270" s="65" t="n"/>
      <c r="N270" s="65" t="n"/>
      <c r="O270" s="69" t="n"/>
      <c r="P270" s="65" t="n"/>
      <c r="Q270" s="65" t="n"/>
      <c r="R270" s="65" t="n"/>
      <c r="S270" s="65" t="n"/>
      <c r="T270" s="65" t="n"/>
      <c r="U270" s="65" t="n"/>
      <c r="V270" s="65" t="n"/>
      <c r="W270" s="66" t="n"/>
      <c r="X270" s="66" t="n"/>
      <c r="Y270" s="66" t="n"/>
      <c r="Z270" s="66" t="n"/>
      <c r="AA270" s="66" t="n"/>
      <c r="AB270" s="66" t="n"/>
      <c r="AC270" s="65" t="n"/>
      <c r="AD270" s="65" t="n"/>
      <c r="AE270" s="65" t="n"/>
      <c r="AF270" s="65" t="n"/>
      <c r="AG270" s="65" t="n"/>
      <c r="AH270" s="65" t="n"/>
      <c r="AI270" s="64" t="n"/>
      <c r="AJ270" s="69" t="n"/>
      <c r="AK270" s="65" t="n"/>
      <c r="AL270" s="65" t="n"/>
      <c r="AM270" s="65" t="n"/>
      <c r="AN270" s="65" t="n"/>
      <c r="AO270" s="65" t="n"/>
      <c r="AP270" s="65" t="n"/>
      <c r="AQ270" s="65" t="n"/>
      <c r="AR270" s="65" t="n"/>
      <c r="AS270" s="65" t="n"/>
      <c r="AT270" s="65" t="n"/>
      <c r="AU270" s="65" t="n"/>
      <c r="AV270" s="65" t="n"/>
      <c r="AW270" s="65" t="n"/>
      <c r="AX270" s="65" t="n"/>
      <c r="AY270" s="65" t="n"/>
      <c r="AZ270" s="65" t="n"/>
      <c r="BA270" s="65" t="n"/>
      <c r="BB270" s="65" t="n"/>
      <c r="BC270" s="65" t="n"/>
      <c r="BD270" s="65" t="n"/>
      <c r="BE270" s="65" t="n"/>
      <c r="BF270" s="65" t="n"/>
      <c r="BG270" s="65" t="n"/>
    </row>
    <row r="271">
      <c r="F271" s="68" t="n"/>
      <c r="G271" s="68">
        <f>IF(B271="","",F271-I271 )</f>
        <v/>
      </c>
      <c r="H271" s="5">
        <f>IF(G271="","",G271/F271)</f>
        <v/>
      </c>
      <c r="J271" s="69" t="n"/>
      <c r="K271" s="65" t="n"/>
      <c r="L271" s="65" t="n"/>
      <c r="M271" s="65" t="n"/>
      <c r="N271" s="65" t="n"/>
      <c r="O271" s="65" t="n"/>
      <c r="P271" s="65" t="n"/>
      <c r="Q271" s="65" t="n"/>
      <c r="R271" s="65" t="n"/>
      <c r="S271" s="65" t="n"/>
      <c r="T271" s="65" t="n"/>
      <c r="U271" s="65" t="n"/>
      <c r="V271" s="65" t="n"/>
      <c r="W271" s="65" t="n"/>
      <c r="X271" s="66" t="n"/>
      <c r="Y271" s="65" t="n"/>
      <c r="Z271" s="65" t="n"/>
      <c r="AA271" s="65" t="n"/>
      <c r="AB271" s="65" t="n"/>
      <c r="AC271" s="65" t="n"/>
      <c r="AD271" s="65" t="n"/>
      <c r="AE271" s="65" t="n"/>
      <c r="AF271" s="65" t="n"/>
      <c r="AG271" s="65" t="n"/>
      <c r="AH271" s="65" t="n"/>
      <c r="AI271" s="64" t="n"/>
      <c r="AJ271" s="69" t="n"/>
      <c r="AK271" s="65" t="n"/>
      <c r="AL271" s="65" t="n"/>
      <c r="AM271" s="65" t="n"/>
      <c r="AN271" s="65" t="n"/>
      <c r="AO271" s="65" t="n"/>
      <c r="AP271" s="65" t="n"/>
      <c r="AQ271" s="65" t="n"/>
      <c r="AR271" s="65" t="n"/>
      <c r="AS271" s="65" t="n"/>
      <c r="AT271" s="65" t="n"/>
      <c r="AU271" s="65" t="n"/>
      <c r="AV271" s="65" t="n"/>
      <c r="AW271" s="65" t="n"/>
      <c r="AX271" s="65" t="n"/>
      <c r="AY271" s="65" t="n"/>
      <c r="AZ271" s="65" t="n"/>
      <c r="BA271" s="65" t="n"/>
      <c r="BB271" s="65" t="n"/>
      <c r="BC271" s="65" t="n"/>
      <c r="BD271" s="65" t="n"/>
      <c r="BE271" s="65" t="n"/>
      <c r="BF271" s="65" t="n"/>
      <c r="BG271" s="65" t="n"/>
    </row>
    <row r="272">
      <c r="A272" s="0" t="inlineStr">
        <is>
          <t>R3.7</t>
        </is>
      </c>
      <c r="B272" s="1" t="inlineStr">
        <is>
          <t>杜の丘　斎藤邸</t>
        </is>
      </c>
      <c r="C272" s="1" t="inlineStr">
        <is>
          <t>光和工業</t>
        </is>
      </c>
      <c r="D272" s="1" t="inlineStr">
        <is>
          <t>屋根塗装+シーリング</t>
        </is>
      </c>
      <c r="E272" s="2" t="inlineStr">
        <is>
          <t>7月</t>
        </is>
      </c>
      <c r="F272" s="68" t="n">
        <v>890000</v>
      </c>
      <c r="G272" s="68">
        <f>IF(B272="","",F272-I272 )</f>
        <v/>
      </c>
      <c r="H272" s="5">
        <f>IF(G272="","",G272/F272)</f>
        <v/>
      </c>
      <c r="I272" s="62">
        <f>SUM(テーブル9[[#This Row],[五大]:[工場材]])</f>
        <v/>
      </c>
      <c r="J272" s="69" t="n">
        <v>130000</v>
      </c>
      <c r="K272" s="65" t="n"/>
      <c r="L272" s="65" t="n"/>
      <c r="M272" s="65" t="n"/>
      <c r="N272" s="65" t="n"/>
      <c r="O272" s="69" t="n">
        <v>250000</v>
      </c>
      <c r="P272" s="65" t="n"/>
      <c r="Q272" s="65" t="n"/>
      <c r="R272" s="65" t="n"/>
      <c r="S272" s="65" t="n"/>
      <c r="T272" s="65" t="n"/>
      <c r="U272" s="65" t="n"/>
      <c r="V272" s="65" t="n"/>
      <c r="W272" s="65" t="n"/>
      <c r="X272" s="66" t="n"/>
      <c r="Y272" s="65" t="n"/>
      <c r="Z272" s="65" t="n"/>
      <c r="AA272" s="65" t="n"/>
      <c r="AB272" s="65" t="n"/>
      <c r="AC272" s="65" t="n"/>
      <c r="AD272" s="65" t="n"/>
      <c r="AE272" s="65" t="n"/>
      <c r="AF272" s="65" t="n"/>
      <c r="AG272" s="65" t="n"/>
      <c r="AH272" s="65" t="n"/>
      <c r="AI272" s="64" t="n"/>
      <c r="AJ272" s="69" t="n"/>
      <c r="AK272" s="65" t="n"/>
      <c r="AL272" s="65" t="n"/>
      <c r="AM272" s="65" t="n"/>
      <c r="AN272" s="65" t="n"/>
      <c r="AO272" s="65" t="n"/>
      <c r="AP272" s="65" t="n"/>
      <c r="AQ272" s="65" t="n"/>
      <c r="AR272" s="65" t="n"/>
      <c r="AS272" s="65" t="n"/>
      <c r="AT272" s="65" t="n"/>
      <c r="AU272" s="65" t="n"/>
      <c r="AV272" s="65" t="n"/>
      <c r="AW272" s="65" t="n"/>
      <c r="AX272" s="65" t="n"/>
      <c r="AY272" s="65" t="n"/>
      <c r="AZ272" s="65" t="n"/>
      <c r="BA272" s="65" t="n"/>
      <c r="BB272" s="65" t="n"/>
      <c r="BC272" s="65" t="n"/>
      <c r="BD272" s="65" t="n"/>
      <c r="BE272" s="65" t="n"/>
      <c r="BF272" s="65" t="n"/>
      <c r="BG272" s="65" t="n"/>
    </row>
    <row r="273">
      <c r="B273" s="1" t="inlineStr">
        <is>
          <t>利府花園　熊谷邸</t>
        </is>
      </c>
      <c r="C273" s="1" t="inlineStr">
        <is>
          <t>LIXIL</t>
        </is>
      </c>
      <c r="D273" s="1" t="inlineStr">
        <is>
          <t>屋根塗装+内部改修</t>
        </is>
      </c>
      <c r="E273" s="2" t="inlineStr">
        <is>
          <t>7月</t>
        </is>
      </c>
      <c r="F273" s="68" t="n">
        <v>1434550</v>
      </c>
      <c r="G273" s="68">
        <f>IF(B273="","",F273-I273 )</f>
        <v/>
      </c>
      <c r="H273" s="5">
        <f>IF(G273="","",G273/F273)</f>
        <v/>
      </c>
      <c r="I273" s="62">
        <f>SUM(テーブル9[[#This Row],[五大]:[工場材]])</f>
        <v/>
      </c>
      <c r="J273" s="69" t="n">
        <v>130000</v>
      </c>
      <c r="K273" s="65" t="n"/>
      <c r="L273" s="65" t="n"/>
      <c r="M273" s="65" t="n"/>
      <c r="N273" s="65" t="n"/>
      <c r="O273" s="69" t="n">
        <v>200000</v>
      </c>
      <c r="P273" s="65" t="n"/>
      <c r="Q273" s="65" t="n"/>
      <c r="R273" s="65" t="n"/>
      <c r="S273" s="65" t="n"/>
      <c r="T273" s="65" t="n"/>
      <c r="U273" s="69">
        <f>25300+28000+9900</f>
        <v/>
      </c>
      <c r="V273" s="65" t="n"/>
      <c r="W273" s="69" t="n">
        <v>300000</v>
      </c>
      <c r="X273" s="66" t="n">
        <v>106912</v>
      </c>
      <c r="Y273" s="65" t="n"/>
      <c r="Z273" s="65" t="n"/>
      <c r="AA273" s="69" t="n">
        <v>200000</v>
      </c>
      <c r="AB273" s="69" t="n">
        <v>230000</v>
      </c>
      <c r="AC273" s="65" t="n"/>
      <c r="AD273" s="65" t="n"/>
      <c r="AE273" s="65" t="n"/>
      <c r="AF273" s="65" t="n"/>
      <c r="AG273" s="65" t="n"/>
      <c r="AH273" s="65" t="n"/>
      <c r="AI273" s="65" t="n">
        <v>30000</v>
      </c>
      <c r="AJ273" s="65" t="n"/>
      <c r="AK273" s="65" t="n"/>
      <c r="AL273" s="65" t="n"/>
      <c r="AM273" s="65" t="n"/>
      <c r="AN273" s="65" t="n"/>
      <c r="AO273" s="65" t="n"/>
      <c r="AP273" s="65" t="n"/>
      <c r="AQ273" s="65" t="n"/>
      <c r="AR273" s="65" t="n"/>
      <c r="AS273" s="65" t="n"/>
      <c r="AT273" s="65" t="n"/>
      <c r="AU273" s="65" t="n"/>
      <c r="AV273" s="65" t="n"/>
      <c r="AW273" s="65" t="n"/>
      <c r="AX273" s="65" t="n"/>
      <c r="AY273" s="65" t="n"/>
      <c r="AZ273" s="65" t="n"/>
      <c r="BA273" s="65" t="n"/>
      <c r="BB273" s="65" t="n"/>
      <c r="BC273" s="65" t="n"/>
      <c r="BD273" s="65" t="n"/>
      <c r="BE273" s="65" t="n"/>
      <c r="BF273" s="65" t="n"/>
      <c r="BG273" s="65" t="n"/>
    </row>
    <row r="274">
      <c r="B274" s="1" t="inlineStr">
        <is>
          <t>利府青山　鈴木邸</t>
        </is>
      </c>
      <c r="C274" s="1" t="inlineStr">
        <is>
          <t>LIXIL</t>
        </is>
      </c>
      <c r="D274" s="1" t="inlineStr">
        <is>
          <t>浴室改修工事</t>
        </is>
      </c>
      <c r="E274" s="2" t="inlineStr">
        <is>
          <t>7月</t>
        </is>
      </c>
      <c r="F274" s="68">
        <f>176500+40500+67500+30000+66000</f>
        <v/>
      </c>
      <c r="G274" s="68">
        <f>IF(B274="","",F274-I274 )</f>
        <v/>
      </c>
      <c r="H274" s="5">
        <f>IF(G274="","",G274/F274)</f>
        <v/>
      </c>
      <c r="I274" s="62">
        <f>SUM(テーブル9[[#This Row],[五大]:[工場材]])</f>
        <v/>
      </c>
      <c r="J274" s="69" t="n"/>
      <c r="K274" s="65" t="n"/>
      <c r="L274" s="65" t="n"/>
      <c r="M274" s="65" t="n"/>
      <c r="N274" s="65" t="n"/>
      <c r="O274" s="65" t="n"/>
      <c r="P274" s="65" t="n"/>
      <c r="Q274" s="65" t="n"/>
      <c r="R274" s="69" t="n"/>
      <c r="S274" s="69" t="n"/>
      <c r="T274" s="65" t="n"/>
      <c r="U274" s="69" t="n"/>
      <c r="V274" s="69" t="n"/>
      <c r="W274" s="69" t="n">
        <v>150000</v>
      </c>
      <c r="X274" s="66" t="n">
        <v>16830</v>
      </c>
      <c r="Y274" s="65" t="n"/>
      <c r="Z274" s="65" t="n"/>
      <c r="AA274" s="69" t="n">
        <v>40000</v>
      </c>
      <c r="AB274" s="69" t="n">
        <v>70000</v>
      </c>
      <c r="AC274" s="65" t="n"/>
      <c r="AD274" s="65" t="n"/>
      <c r="AE274" s="65" t="n"/>
      <c r="AF274" s="65" t="n"/>
      <c r="AG274" s="65" t="n"/>
      <c r="AH274" s="65" t="n"/>
      <c r="AI274" s="65" t="n">
        <v>18000</v>
      </c>
      <c r="AJ274" s="65" t="n"/>
      <c r="AK274" s="65" t="n"/>
      <c r="AL274" s="65" t="n"/>
      <c r="AM274" s="65" t="n"/>
      <c r="AN274" s="65" t="n"/>
      <c r="AO274" s="65" t="n"/>
      <c r="AP274" s="65" t="n"/>
      <c r="AQ274" s="65" t="n"/>
      <c r="AR274" s="65" t="n"/>
      <c r="AS274" s="65" t="n"/>
      <c r="AT274" s="65" t="n"/>
      <c r="AU274" s="65" t="n"/>
      <c r="AV274" s="65" t="n"/>
      <c r="AW274" s="65" t="n"/>
      <c r="AX274" s="65" t="n"/>
      <c r="AY274" s="65" t="n"/>
      <c r="AZ274" s="65" t="n"/>
      <c r="BA274" s="65" t="n"/>
      <c r="BB274" s="65" t="n"/>
      <c r="BC274" s="65" t="n"/>
      <c r="BD274" s="65" t="n"/>
      <c r="BE274" s="65" t="n"/>
      <c r="BF274" s="65" t="n"/>
      <c r="BG274" s="65" t="n"/>
    </row>
    <row r="275">
      <c r="B275" s="1" t="inlineStr">
        <is>
          <t>ディアス四季C</t>
        </is>
      </c>
      <c r="C275" s="1" t="inlineStr">
        <is>
          <t>積水不動産</t>
        </is>
      </c>
      <c r="D275" s="1" t="inlineStr">
        <is>
          <t>塗装</t>
        </is>
      </c>
      <c r="E275" s="2" t="inlineStr">
        <is>
          <t>7月</t>
        </is>
      </c>
      <c r="F275" s="68" t="n">
        <v>2050000</v>
      </c>
      <c r="G275" s="68">
        <f>IF(B275="","",F275-I275 )</f>
        <v/>
      </c>
      <c r="H275" s="5">
        <f>IF(G275="","",G275/F275)</f>
        <v/>
      </c>
      <c r="I275" s="62">
        <f>SUM(テーブル9[[#This Row],[五大]:[工場材]])</f>
        <v/>
      </c>
      <c r="J275" s="69" t="n">
        <v>450000</v>
      </c>
      <c r="K275" s="65" t="n"/>
      <c r="L275" s="65" t="n"/>
      <c r="M275" s="65" t="n"/>
      <c r="N275" s="65" t="n"/>
      <c r="O275" s="69" t="n">
        <v>800000</v>
      </c>
      <c r="P275" s="65" t="n"/>
      <c r="Q275" s="65" t="n"/>
      <c r="R275" s="69" t="n">
        <v>70000</v>
      </c>
      <c r="S275" s="69" t="n">
        <v>35000</v>
      </c>
      <c r="T275" s="65" t="n"/>
      <c r="U275" s="69" t="n">
        <v>106000</v>
      </c>
      <c r="V275" s="69" t="n">
        <v>179180</v>
      </c>
      <c r="W275" s="65" t="n"/>
      <c r="X275" s="66" t="n"/>
      <c r="Y275" s="65" t="n"/>
      <c r="Z275" s="65" t="n"/>
      <c r="AA275" s="65" t="n"/>
      <c r="AB275" s="65" t="n"/>
      <c r="AC275" s="65" t="n"/>
      <c r="AD275" s="65" t="n"/>
      <c r="AE275" s="65" t="n"/>
      <c r="AF275" s="65" t="n"/>
      <c r="AG275" s="65" t="n"/>
      <c r="AH275" s="65" t="n"/>
      <c r="AI275" s="65" t="n"/>
      <c r="AJ275" s="65" t="n"/>
      <c r="AK275" s="65" t="n"/>
      <c r="AL275" s="65" t="n"/>
      <c r="AM275" s="65" t="n"/>
      <c r="AN275" s="65" t="n"/>
      <c r="AO275" s="65" t="n"/>
      <c r="AP275" s="65" t="n"/>
      <c r="AQ275" s="65" t="n"/>
      <c r="AR275" s="65" t="n"/>
      <c r="AS275" s="65" t="n"/>
      <c r="AT275" s="65" t="n"/>
      <c r="AU275" s="65" t="n"/>
      <c r="AV275" s="65" t="n"/>
      <c r="AW275" s="65" t="n"/>
      <c r="AX275" s="65" t="n"/>
      <c r="AY275" s="65" t="n"/>
      <c r="AZ275" s="65" t="n"/>
      <c r="BA275" s="65" t="n"/>
      <c r="BB275" s="65" t="n"/>
      <c r="BC275" s="65" t="n"/>
      <c r="BD275" s="65" t="n"/>
      <c r="BE275" s="65" t="n"/>
      <c r="BF275" s="65" t="n"/>
      <c r="BG275" s="65" t="n"/>
    </row>
    <row r="276">
      <c r="B276" s="1" t="inlineStr">
        <is>
          <t>シャーメゾンイースト</t>
        </is>
      </c>
      <c r="C276" s="1" t="inlineStr">
        <is>
          <t>積水不動産</t>
        </is>
      </c>
      <c r="D276" s="1" t="inlineStr">
        <is>
          <t>塗装</t>
        </is>
      </c>
      <c r="E276" s="2" t="inlineStr">
        <is>
          <t>7月</t>
        </is>
      </c>
      <c r="F276" s="68" t="n">
        <v>1480749</v>
      </c>
      <c r="G276" s="68">
        <f>IF(B276="","",F276-I276 )</f>
        <v/>
      </c>
      <c r="H276" s="5">
        <f>IF(G276="","",G276/F276)</f>
        <v/>
      </c>
      <c r="I276" s="62">
        <f>SUM(テーブル9[[#This Row],[五大]:[工場材]])</f>
        <v/>
      </c>
      <c r="J276" s="69" t="n">
        <v>270000</v>
      </c>
      <c r="K276" s="65" t="n"/>
      <c r="L276" s="65" t="n"/>
      <c r="M276" s="65" t="n"/>
      <c r="N276" s="65" t="n"/>
      <c r="O276" s="69" t="n">
        <v>650000</v>
      </c>
      <c r="P276" s="65" t="n"/>
      <c r="Q276" s="65" t="n"/>
      <c r="R276" s="69">
        <f>39*700</f>
        <v/>
      </c>
      <c r="S276" s="69" t="n">
        <v>35000</v>
      </c>
      <c r="T276" s="65" t="n"/>
      <c r="U276" s="69" t="n">
        <v>105000</v>
      </c>
      <c r="V276" s="69" t="n">
        <v>84037</v>
      </c>
      <c r="W276" s="65" t="n"/>
      <c r="X276" s="66" t="n"/>
      <c r="Y276" s="65" t="n"/>
      <c r="Z276" s="65" t="n"/>
      <c r="AA276" s="65">
        <f>30000</f>
        <v/>
      </c>
      <c r="AB276" s="65" t="n"/>
      <c r="AC276" s="65" t="n"/>
      <c r="AD276" s="65" t="n"/>
      <c r="AE276" s="65" t="n"/>
      <c r="AF276" s="65" t="n"/>
      <c r="AG276" s="65" t="n"/>
      <c r="AH276" s="65" t="n"/>
      <c r="AI276" s="65" t="n"/>
      <c r="AJ276" s="65" t="n"/>
      <c r="AK276" s="65" t="n"/>
      <c r="AL276" s="65" t="n"/>
      <c r="AM276" s="65" t="n">
        <v>15000</v>
      </c>
      <c r="AN276" s="65" t="n"/>
      <c r="AO276" s="65" t="n"/>
      <c r="AP276" s="65" t="n"/>
      <c r="AQ276" s="65" t="n"/>
      <c r="AR276" s="65" t="n"/>
      <c r="AS276" s="65" t="n"/>
      <c r="AT276" s="65" t="n"/>
      <c r="AU276" s="65" t="n"/>
      <c r="AV276" s="65" t="n"/>
      <c r="AW276" s="65" t="n"/>
      <c r="AX276" s="65" t="n"/>
      <c r="AY276" s="65" t="n"/>
      <c r="AZ276" s="65" t="n"/>
      <c r="BA276" s="65" t="n"/>
      <c r="BB276" s="65" t="n"/>
      <c r="BC276" s="65" t="n"/>
      <c r="BD276" s="65" t="n"/>
      <c r="BE276" s="65" t="n"/>
      <c r="BF276" s="65" t="n"/>
      <c r="BG276" s="65" t="n"/>
    </row>
    <row r="277">
      <c r="B277" s="1" t="inlineStr">
        <is>
          <t>シャーメゾンドルチェ</t>
        </is>
      </c>
      <c r="C277" s="1" t="inlineStr">
        <is>
          <t>積水不動産</t>
        </is>
      </c>
      <c r="D277" s="1" t="inlineStr">
        <is>
          <t>フェンス工事</t>
        </is>
      </c>
      <c r="E277" s="2" t="inlineStr">
        <is>
          <t>7月</t>
        </is>
      </c>
      <c r="F277" s="68" t="n">
        <v>262900</v>
      </c>
      <c r="G277" s="68">
        <f>IF(B277="","",F277-I277 )</f>
        <v/>
      </c>
      <c r="H277" s="5">
        <f>IF(G277="","",G277/F277)</f>
        <v/>
      </c>
      <c r="I277" s="62">
        <f>SUM(テーブル9[[#This Row],[五大]:[工場材]])</f>
        <v/>
      </c>
      <c r="J277" s="69" t="n"/>
      <c r="K277" s="65" t="n"/>
      <c r="L277" s="65" t="n"/>
      <c r="M277" s="65" t="n"/>
      <c r="N277" s="65" t="n"/>
      <c r="O277" s="65" t="n"/>
      <c r="P277" s="65" t="n"/>
      <c r="Q277" s="65" t="n"/>
      <c r="R277" s="69" t="n"/>
      <c r="S277" s="69" t="n"/>
      <c r="T277" s="65" t="n"/>
      <c r="U277" s="65" t="n"/>
      <c r="V277" s="65" t="n"/>
      <c r="W277" s="65" t="n"/>
      <c r="X277" s="66" t="n"/>
      <c r="Y277" s="65" t="n"/>
      <c r="Z277" s="65" t="n"/>
      <c r="AA277" s="65" t="n"/>
      <c r="AB277" s="65" t="n"/>
      <c r="AC277" s="65" t="n"/>
      <c r="AD277" s="65" t="n"/>
      <c r="AE277" s="65" t="n"/>
      <c r="AF277" s="65" t="n"/>
      <c r="AG277" s="65" t="n"/>
      <c r="AH277" s="65" t="n"/>
      <c r="AI277" s="65" t="n"/>
      <c r="AJ277" s="65" t="n"/>
      <c r="AK277" s="65" t="n"/>
      <c r="AL277" s="65" t="n"/>
      <c r="AM277" s="65" t="n"/>
      <c r="AN277" s="65" t="n"/>
      <c r="AO277" s="65" t="n"/>
      <c r="AP277" s="65" t="n"/>
      <c r="AQ277" s="65" t="n"/>
      <c r="AR277" s="65" t="n"/>
      <c r="AS277" s="65" t="n"/>
      <c r="AT277" s="65" t="n"/>
      <c r="AU277" s="65" t="n"/>
      <c r="AV277" s="65" t="n"/>
      <c r="AW277" s="65" t="n"/>
      <c r="AX277" s="65" t="n"/>
      <c r="AY277" s="65" t="n"/>
      <c r="AZ277" s="65" t="n"/>
      <c r="BA277" s="65" t="n"/>
      <c r="BB277" s="65" t="n"/>
      <c r="BC277" s="65" t="n"/>
      <c r="BD277" s="65" t="n"/>
      <c r="BE277" s="65" t="n"/>
      <c r="BF277" s="65" t="n"/>
      <c r="BG277" s="65" t="n"/>
    </row>
    <row r="278">
      <c r="B278" s="1" t="inlineStr">
        <is>
          <t>シャーメゾンドルチェ</t>
        </is>
      </c>
      <c r="C278" s="1" t="inlineStr">
        <is>
          <t>積水不動産</t>
        </is>
      </c>
      <c r="D278" s="1" t="inlineStr">
        <is>
          <t>白線、物置塗装工事</t>
        </is>
      </c>
      <c r="E278" s="2" t="inlineStr">
        <is>
          <t>7月</t>
        </is>
      </c>
      <c r="F278" s="68" t="n">
        <v>81000</v>
      </c>
      <c r="G278" s="68">
        <f>IF(B278="","",F278-I278 )</f>
        <v/>
      </c>
      <c r="H278" s="5">
        <f>IF(G278="","",G278/F278)</f>
        <v/>
      </c>
      <c r="I278" s="62">
        <f>SUM(テーブル9[[#This Row],[五大]:[工場材]])</f>
        <v/>
      </c>
      <c r="J278" s="65" t="n"/>
      <c r="K278" s="65" t="n"/>
      <c r="L278" s="65" t="n"/>
      <c r="M278" s="65" t="n"/>
      <c r="N278" s="65" t="n"/>
      <c r="O278" s="69" t="n">
        <v>50000</v>
      </c>
      <c r="P278" s="65" t="n"/>
      <c r="Q278" s="65" t="n"/>
      <c r="R278" s="69" t="n"/>
      <c r="S278" s="69" t="n"/>
      <c r="T278" s="65" t="n"/>
      <c r="U278" s="65" t="n"/>
      <c r="V278" s="65" t="n"/>
      <c r="W278" s="65" t="n"/>
      <c r="X278" s="66" t="n"/>
      <c r="Y278" s="65" t="n"/>
      <c r="Z278" s="65" t="n"/>
      <c r="AA278" s="65" t="n"/>
      <c r="AB278" s="65" t="n"/>
      <c r="AC278" s="65" t="n"/>
      <c r="AD278" s="65" t="n"/>
      <c r="AE278" s="65" t="n"/>
      <c r="AF278" s="65" t="n"/>
      <c r="AG278" s="65" t="n"/>
      <c r="AH278" s="65" t="n"/>
      <c r="AI278" s="65" t="n"/>
      <c r="AJ278" s="65" t="n"/>
      <c r="AK278" s="65" t="n"/>
      <c r="AL278" s="65" t="n"/>
      <c r="AM278" s="65" t="n"/>
      <c r="AN278" s="65" t="n"/>
      <c r="AO278" s="65" t="n"/>
      <c r="AP278" s="65" t="n"/>
      <c r="AQ278" s="65" t="n"/>
      <c r="AR278" s="65" t="n"/>
      <c r="AS278" s="65" t="n"/>
      <c r="AT278" s="65" t="n"/>
      <c r="AU278" s="65" t="n"/>
      <c r="AV278" s="65" t="n"/>
      <c r="AW278" s="65" t="n"/>
      <c r="AX278" s="65" t="n"/>
      <c r="AY278" s="65" t="n"/>
      <c r="AZ278" s="65" t="n"/>
      <c r="BA278" s="65" t="n"/>
      <c r="BB278" s="65" t="n"/>
      <c r="BC278" s="65" t="n"/>
      <c r="BD278" s="65" t="n"/>
      <c r="BE278" s="65" t="n"/>
      <c r="BF278" s="65" t="n"/>
      <c r="BG278" s="65" t="n"/>
    </row>
    <row r="279">
      <c r="B279" s="1" t="inlineStr">
        <is>
          <t>ランドリーム美田園</t>
        </is>
      </c>
      <c r="C279" s="1" t="inlineStr">
        <is>
          <t>カイト</t>
        </is>
      </c>
      <c r="D279" s="1" t="inlineStr">
        <is>
          <t>壁改修工事</t>
        </is>
      </c>
      <c r="E279" s="2" t="inlineStr">
        <is>
          <t>7月</t>
        </is>
      </c>
      <c r="F279" s="68" t="n">
        <v>120000</v>
      </c>
      <c r="G279" s="68">
        <f>IF(B279="","",F279-I279 )</f>
        <v/>
      </c>
      <c r="H279" s="5">
        <f>IF(G279="","",G279/F279)</f>
        <v/>
      </c>
      <c r="I279" s="62">
        <f>SUM(テーブル9[[#This Row],[五大]:[工場材]])</f>
        <v/>
      </c>
      <c r="J279" s="65" t="n"/>
      <c r="K279" s="65" t="n"/>
      <c r="L279" s="65" t="n"/>
      <c r="M279" s="65" t="n"/>
      <c r="N279" s="65" t="n"/>
      <c r="O279" s="65" t="n"/>
      <c r="P279" s="65" t="n"/>
      <c r="Q279" s="65" t="n"/>
      <c r="R279" s="65" t="n"/>
      <c r="S279" s="69" t="n"/>
      <c r="T279" s="65" t="n"/>
      <c r="U279" s="65" t="n"/>
      <c r="V279" s="65" t="n"/>
      <c r="W279" s="69" t="n">
        <v>45000</v>
      </c>
      <c r="X279" s="66" t="n"/>
      <c r="Y279" s="65" t="n"/>
      <c r="Z279" s="65" t="n"/>
      <c r="AA279" s="65" t="n"/>
      <c r="AB279" s="65" t="n"/>
      <c r="AC279" s="65" t="n"/>
      <c r="AD279" s="65" t="n"/>
      <c r="AE279" s="65" t="n"/>
      <c r="AF279" s="65" t="n"/>
      <c r="AG279" s="65" t="n"/>
      <c r="AH279" s="65" t="n"/>
      <c r="AI279" s="64" t="n">
        <v>23000</v>
      </c>
      <c r="AJ279" s="69" t="n"/>
      <c r="AK279" s="65" t="n"/>
      <c r="AL279" s="65" t="n"/>
      <c r="AM279" s="65" t="n"/>
      <c r="AN279" s="65" t="n"/>
      <c r="AO279" s="65" t="n"/>
      <c r="AP279" s="65" t="n"/>
      <c r="AQ279" s="65" t="n"/>
      <c r="AR279" s="65" t="n"/>
      <c r="AS279" s="65" t="n"/>
      <c r="AT279" s="65" t="n"/>
      <c r="AU279" s="65" t="n"/>
      <c r="AV279" s="65" t="n"/>
      <c r="AW279" s="65" t="n"/>
      <c r="AX279" s="65" t="n"/>
      <c r="AY279" s="65" t="n"/>
      <c r="AZ279" s="65" t="n"/>
      <c r="BA279" s="65" t="n"/>
      <c r="BB279" s="65" t="n"/>
      <c r="BC279" s="65" t="n"/>
      <c r="BD279" s="65" t="n"/>
      <c r="BE279" s="65" t="n"/>
      <c r="BF279" s="65" t="n"/>
      <c r="BG279" s="65" t="n"/>
    </row>
    <row r="280">
      <c r="F280" s="75">
        <f>SUBTOTAL(109,F271:F279)</f>
        <v/>
      </c>
      <c r="G280" s="75">
        <f>SUBTOTAL(109,G271:G279)</f>
        <v/>
      </c>
      <c r="H280" s="41">
        <f>IF(G280="","",G280/F280)</f>
        <v/>
      </c>
      <c r="I280" s="75">
        <f>SUBTOTAL(109,I271:I279)</f>
        <v/>
      </c>
      <c r="J280" s="65" t="n"/>
      <c r="K280" s="65" t="n"/>
      <c r="L280" s="65" t="n"/>
      <c r="M280" s="65" t="n"/>
      <c r="N280" s="65" t="n"/>
      <c r="O280" s="65" t="n"/>
      <c r="P280" s="65" t="n"/>
      <c r="Q280" s="65" t="n"/>
      <c r="R280" s="65" t="n"/>
      <c r="S280" s="65" t="n"/>
      <c r="T280" s="65" t="n"/>
      <c r="U280" s="65" t="n"/>
      <c r="V280" s="65" t="n"/>
      <c r="W280" s="65" t="n"/>
      <c r="X280" s="66" t="n"/>
      <c r="Y280" s="65" t="n"/>
      <c r="Z280" s="65" t="n"/>
      <c r="AA280" s="65" t="n"/>
      <c r="AB280" s="65" t="n"/>
      <c r="AC280" s="65" t="n"/>
      <c r="AD280" s="65" t="n"/>
      <c r="AE280" s="65" t="n"/>
      <c r="AF280" s="65" t="n"/>
      <c r="AG280" s="65" t="n"/>
      <c r="AH280" s="65" t="n"/>
      <c r="AI280" s="65" t="n"/>
      <c r="AJ280" s="65" t="n"/>
      <c r="AK280" s="65" t="n"/>
      <c r="AL280" s="65" t="n"/>
      <c r="AM280" s="65" t="n"/>
      <c r="AN280" s="65" t="n"/>
      <c r="AO280" s="65" t="n"/>
      <c r="AP280" s="65" t="n"/>
      <c r="AQ280" s="65" t="n"/>
      <c r="AR280" s="65" t="n"/>
      <c r="AS280" s="65" t="n"/>
      <c r="AT280" s="65" t="n"/>
      <c r="AU280" s="65" t="n"/>
      <c r="AV280" s="65" t="n"/>
      <c r="AW280" s="65" t="n"/>
      <c r="AX280" s="65" t="n"/>
      <c r="AY280" s="65" t="n"/>
      <c r="AZ280" s="65" t="n"/>
      <c r="BA280" s="65" t="n"/>
      <c r="BB280" s="65" t="n"/>
      <c r="BC280" s="65" t="n"/>
      <c r="BD280" s="65" t="n"/>
      <c r="BE280" s="65" t="n"/>
      <c r="BF280" s="65" t="n"/>
      <c r="BG280" s="65" t="n"/>
    </row>
    <row r="281">
      <c r="F281" s="68" t="n"/>
      <c r="G281" s="68">
        <f>IF(B281="","",F281-I281 )</f>
        <v/>
      </c>
      <c r="H281" s="5">
        <f>IF(G281="","",G281/F281)</f>
        <v/>
      </c>
      <c r="J281" s="65" t="n"/>
      <c r="K281" s="65" t="n"/>
      <c r="L281" s="65" t="n"/>
      <c r="M281" s="65" t="n"/>
      <c r="N281" s="65" t="n"/>
      <c r="O281" s="65" t="n"/>
      <c r="P281" s="65" t="n"/>
      <c r="Q281" s="65" t="n"/>
      <c r="R281" s="65" t="n"/>
      <c r="S281" s="65" t="n"/>
      <c r="T281" s="65" t="n"/>
      <c r="U281" s="65" t="n"/>
      <c r="V281" s="65" t="n"/>
      <c r="W281" s="65" t="n"/>
      <c r="X281" s="66" t="n"/>
      <c r="Y281" s="65" t="n"/>
      <c r="Z281" s="65" t="n"/>
      <c r="AA281" s="65" t="n"/>
      <c r="AB281" s="65" t="n"/>
      <c r="AC281" s="65" t="n"/>
      <c r="AD281" s="65" t="n"/>
      <c r="AE281" s="65" t="n"/>
      <c r="AF281" s="65" t="n"/>
      <c r="AG281" s="65" t="n"/>
      <c r="AH281" s="65" t="n"/>
      <c r="AI281" s="65" t="n"/>
      <c r="AJ281" s="65" t="n"/>
      <c r="AK281" s="65" t="n"/>
      <c r="AL281" s="65" t="n"/>
      <c r="AM281" s="65" t="n"/>
      <c r="AN281" s="65" t="n"/>
      <c r="AO281" s="65" t="n"/>
      <c r="AP281" s="65" t="n"/>
      <c r="AQ281" s="65" t="n"/>
      <c r="AR281" s="65" t="n"/>
      <c r="AS281" s="65" t="n"/>
      <c r="AT281" s="65" t="n"/>
      <c r="AU281" s="65" t="n"/>
      <c r="AV281" s="65" t="n"/>
      <c r="AW281" s="65" t="n"/>
      <c r="AX281" s="65" t="n"/>
      <c r="AY281" s="65" t="n"/>
      <c r="AZ281" s="65" t="n"/>
      <c r="BA281" s="65" t="n"/>
      <c r="BB281" s="65" t="n"/>
      <c r="BC281" s="65" t="n"/>
      <c r="BD281" s="65" t="n"/>
      <c r="BE281" s="65" t="n"/>
      <c r="BF281" s="65" t="n"/>
      <c r="BG281" s="65" t="n"/>
    </row>
    <row r="282">
      <c r="A282" s="0" t="inlineStr">
        <is>
          <t>R3.8</t>
        </is>
      </c>
      <c r="B282" s="1" t="inlineStr">
        <is>
          <t>岩手前沢 リノベーション工事</t>
        </is>
      </c>
      <c r="C282" s="1" t="inlineStr">
        <is>
          <t>LIXIL</t>
        </is>
      </c>
      <c r="D282" s="1" t="inlineStr">
        <is>
          <t>LDK木工事 キッチン交換 トイレ交換</t>
        </is>
      </c>
      <c r="E282" s="2" t="inlineStr">
        <is>
          <t>8月</t>
        </is>
      </c>
      <c r="F282" s="68" t="n">
        <v>2670000</v>
      </c>
      <c r="G282" s="68">
        <f>IF(B282="","",F282-I282 )</f>
        <v/>
      </c>
      <c r="H282" s="5">
        <f>IF(G282="","",G282/F282)</f>
        <v/>
      </c>
      <c r="I282" s="62">
        <f>SUM(テーブル9[[#This Row],[五大]:[工場材]])</f>
        <v/>
      </c>
      <c r="J282" s="69" t="n"/>
      <c r="K282" s="65" t="n"/>
      <c r="L282" s="65" t="n"/>
      <c r="M282" s="65" t="n"/>
      <c r="N282" s="65" t="n"/>
      <c r="O282" s="65" t="n"/>
      <c r="P282" s="65" t="n"/>
      <c r="Q282" s="65" t="n"/>
      <c r="R282" s="65" t="n"/>
      <c r="S282" s="65" t="n"/>
      <c r="T282" s="65" t="n"/>
      <c r="U282" s="65" t="n"/>
      <c r="V282" s="65" t="n"/>
      <c r="W282" s="69" t="n">
        <v>700000</v>
      </c>
      <c r="X282" s="66">
        <f>110331+106800</f>
        <v/>
      </c>
      <c r="Y282" s="65" t="n"/>
      <c r="Z282" s="65" t="n"/>
      <c r="AA282" s="69" t="n">
        <v>230000</v>
      </c>
      <c r="AB282" s="69" t="n">
        <v>240000</v>
      </c>
      <c r="AC282" s="65" t="n"/>
      <c r="AD282" s="65" t="n"/>
      <c r="AE282" s="65" t="n"/>
      <c r="AF282" s="65" t="n"/>
      <c r="AG282" s="65" t="n"/>
      <c r="AH282" s="65" t="n"/>
      <c r="AI282" s="65" t="n">
        <v>180000</v>
      </c>
      <c r="AJ282" s="65" t="n"/>
      <c r="AK282" s="65" t="n"/>
      <c r="AL282" s="65" t="n"/>
      <c r="AM282" s="65" t="n"/>
      <c r="AN282" s="65" t="n"/>
      <c r="AO282" s="65" t="n"/>
      <c r="AP282" s="65" t="n"/>
      <c r="AQ282" s="65" t="n"/>
      <c r="AR282" s="65" t="n"/>
      <c r="AS282" s="65" t="n"/>
      <c r="AT282" s="65" t="n"/>
      <c r="AU282" s="65" t="n"/>
      <c r="AV282" s="65" t="n"/>
      <c r="AW282" s="65" t="n"/>
      <c r="AX282" s="65" t="n"/>
      <c r="AY282" s="65" t="n"/>
      <c r="AZ282" s="65">
        <f>15000+6000+16900</f>
        <v/>
      </c>
      <c r="BA282" s="65" t="n"/>
      <c r="BB282" s="65" t="n"/>
      <c r="BC282" s="65" t="n"/>
      <c r="BD282" s="65" t="n"/>
      <c r="BE282" s="65" t="n"/>
      <c r="BF282" s="65" t="n"/>
      <c r="BG282" s="65" t="n">
        <v>120000</v>
      </c>
    </row>
    <row r="283">
      <c r="B283" s="1" t="inlineStr">
        <is>
          <t>エコープラザⅦⅧ</t>
        </is>
      </c>
      <c r="C283" s="1" t="inlineStr">
        <is>
          <t>積水不動産</t>
        </is>
      </c>
      <c r="D283" s="1" t="inlineStr">
        <is>
          <t>樋交換</t>
        </is>
      </c>
      <c r="E283" s="2" t="inlineStr">
        <is>
          <t>8月</t>
        </is>
      </c>
      <c r="F283" s="68">
        <f>184000*2</f>
        <v/>
      </c>
      <c r="G283" s="68">
        <f>IF(B283="","",F283-I283 )</f>
        <v/>
      </c>
      <c r="H283" s="5">
        <f>IF(G283="","",G283/F283)</f>
        <v/>
      </c>
      <c r="I283" s="62">
        <f>SUM(テーブル9[[#This Row],[五大]:[工場材]])</f>
        <v/>
      </c>
      <c r="J283" s="69" t="n">
        <v>140000</v>
      </c>
      <c r="K283" s="65" t="n"/>
      <c r="L283" s="65" t="n"/>
      <c r="M283" s="65" t="n"/>
      <c r="N283" s="65" t="n"/>
      <c r="O283" s="65" t="n"/>
      <c r="P283" s="65" t="n"/>
      <c r="Q283" s="65" t="n"/>
      <c r="R283" s="65" t="n"/>
      <c r="S283" s="65" t="n"/>
      <c r="T283" s="65" t="n"/>
      <c r="U283" s="65" t="n"/>
      <c r="V283" s="65" t="n"/>
      <c r="W283" s="69" t="n">
        <v>50000</v>
      </c>
      <c r="X283" s="66" t="n"/>
      <c r="Y283" s="65" t="n"/>
      <c r="Z283" s="65" t="n"/>
      <c r="AA283" s="69" t="n"/>
      <c r="AB283" s="65" t="n"/>
      <c r="AC283" s="65" t="n"/>
      <c r="AD283" s="65" t="n"/>
      <c r="AE283" s="65" t="n"/>
      <c r="AF283" s="65" t="n"/>
      <c r="AG283" s="65" t="n"/>
      <c r="AH283" s="65" t="n"/>
      <c r="AI283" s="65" t="n"/>
      <c r="AJ283" s="65" t="n"/>
      <c r="AK283" s="65" t="n"/>
      <c r="AL283" s="65" t="n"/>
      <c r="AM283" s="65" t="n"/>
      <c r="AN283" s="65" t="n"/>
      <c r="AO283" s="65" t="n"/>
      <c r="AP283" s="65" t="n"/>
      <c r="AQ283" s="65" t="n"/>
      <c r="AR283" s="65" t="n"/>
      <c r="AS283" s="65" t="n"/>
      <c r="AT283" s="65" t="n"/>
      <c r="AU283" s="65" t="n"/>
      <c r="AV283" s="65" t="n"/>
      <c r="AW283" s="65" t="n"/>
      <c r="AX283" s="65" t="n"/>
      <c r="AY283" s="65" t="n"/>
      <c r="AZ283" s="65" t="n"/>
      <c r="BA283" s="65" t="n"/>
      <c r="BB283" s="65" t="n"/>
      <c r="BC283" s="65" t="n"/>
      <c r="BD283" s="65" t="n"/>
      <c r="BE283" s="65" t="n"/>
      <c r="BF283" s="65" t="n"/>
      <c r="BG283" s="65" t="n"/>
    </row>
    <row r="284">
      <c r="B284" s="1" t="inlineStr">
        <is>
          <t>広瀬耳鼻咽喉科クリニック</t>
        </is>
      </c>
      <c r="C284" s="1" t="inlineStr">
        <is>
          <t>サステム</t>
        </is>
      </c>
      <c r="E284" s="2" t="inlineStr">
        <is>
          <t>8月</t>
        </is>
      </c>
      <c r="F284" s="68" t="n">
        <v>550000</v>
      </c>
      <c r="G284" s="68">
        <f>IF(B284="","",F284-I284 )</f>
        <v/>
      </c>
      <c r="H284" s="5">
        <f>IF(G284="","",G284/F284)</f>
        <v/>
      </c>
      <c r="I284" s="62">
        <f>SUM(テーブル9[[#This Row],[五大]:[工場材]])</f>
        <v/>
      </c>
      <c r="J284" s="69" t="n"/>
      <c r="K284" s="65" t="n"/>
      <c r="L284" s="65" t="n"/>
      <c r="M284" s="65" t="n"/>
      <c r="N284" s="65" t="n"/>
      <c r="O284" s="65" t="n"/>
      <c r="P284" s="65" t="n"/>
      <c r="Q284" s="65" t="n"/>
      <c r="R284" s="65" t="n"/>
      <c r="S284" s="65" t="n"/>
      <c r="T284" s="65" t="n"/>
      <c r="U284" s="65" t="n"/>
      <c r="V284" s="65" t="n"/>
      <c r="W284" s="65" t="n"/>
      <c r="X284" s="66" t="n"/>
      <c r="Y284" s="65" t="n"/>
      <c r="Z284" s="65" t="n"/>
      <c r="AA284" s="69" t="n">
        <v>35000</v>
      </c>
      <c r="AB284" s="65" t="n"/>
      <c r="AC284" s="65" t="n"/>
      <c r="AD284" s="65" t="n"/>
      <c r="AE284" s="65" t="n"/>
      <c r="AF284" s="65" t="n"/>
      <c r="AG284" s="65" t="n">
        <v>231100</v>
      </c>
      <c r="AH284" s="65" t="n"/>
      <c r="AI284" s="65" t="n"/>
      <c r="AJ284" s="65" t="n"/>
      <c r="AK284" s="65" t="n"/>
      <c r="AL284" s="65" t="n"/>
      <c r="AM284" s="65" t="n"/>
      <c r="AN284" s="65" t="n"/>
      <c r="AO284" s="65" t="n"/>
      <c r="AP284" s="65" t="n"/>
      <c r="AQ284" s="65" t="n"/>
      <c r="AR284" s="65" t="n"/>
      <c r="AS284" s="65" t="n"/>
      <c r="AT284" s="65" t="n"/>
      <c r="AU284" s="65" t="n"/>
      <c r="AV284" s="65" t="n"/>
      <c r="AW284" s="65" t="n"/>
      <c r="AX284" s="65" t="n"/>
      <c r="AY284" s="65" t="n"/>
      <c r="AZ284" s="65" t="n"/>
      <c r="BA284" s="65" t="n"/>
      <c r="BB284" s="65" t="n"/>
      <c r="BC284" s="65" t="n"/>
      <c r="BD284" s="65" t="n"/>
      <c r="BE284" s="65" t="n"/>
      <c r="BF284" s="65" t="n"/>
      <c r="BG284" s="65" t="n"/>
    </row>
    <row r="285">
      <c r="B285" s="1" t="inlineStr">
        <is>
          <t>花園 熊谷邸</t>
        </is>
      </c>
      <c r="C285" s="1" t="inlineStr">
        <is>
          <t>LIXIL</t>
        </is>
      </c>
      <c r="D285" s="1" t="inlineStr">
        <is>
          <t>追加電気 内装、木工事</t>
        </is>
      </c>
      <c r="E285" s="2" t="inlineStr">
        <is>
          <t>8月</t>
        </is>
      </c>
      <c r="F285" s="68" t="n">
        <v>100000</v>
      </c>
      <c r="G285" s="68">
        <f>IF(B285="","",F285-I285 )</f>
        <v/>
      </c>
      <c r="H285" s="5">
        <f>IF(G285="","",G285/F285)</f>
        <v/>
      </c>
      <c r="I285" s="62">
        <f>SUM(テーブル9[[#This Row],[五大]:[工場材]])</f>
        <v/>
      </c>
      <c r="J285" s="69" t="n"/>
      <c r="K285" s="65" t="n"/>
      <c r="L285" s="65" t="n"/>
      <c r="M285" s="65" t="n"/>
      <c r="N285" s="65" t="n"/>
      <c r="O285" s="65" t="n"/>
      <c r="P285" s="65" t="n"/>
      <c r="Q285" s="65" t="n"/>
      <c r="R285" s="65" t="n"/>
      <c r="S285" s="65" t="n"/>
      <c r="T285" s="65" t="n"/>
      <c r="U285" s="65" t="n"/>
      <c r="V285" s="65" t="n"/>
      <c r="W285" s="65" t="n"/>
      <c r="X285" s="66" t="n"/>
      <c r="Y285" s="65" t="n"/>
      <c r="Z285" s="65" t="n"/>
      <c r="AA285" s="69" t="n">
        <v>45000</v>
      </c>
      <c r="AB285" s="65" t="n"/>
      <c r="AC285" s="65" t="n"/>
      <c r="AD285" s="65" t="n"/>
      <c r="AE285" s="65" t="n"/>
      <c r="AF285" s="65" t="n"/>
      <c r="AG285" s="65" t="n"/>
      <c r="AH285" s="65" t="n"/>
      <c r="AI285" s="65" t="n"/>
      <c r="AJ285" s="65" t="n"/>
      <c r="AK285" s="65" t="n"/>
      <c r="AL285" s="65" t="n"/>
      <c r="AM285" s="65" t="n"/>
      <c r="AN285" s="65" t="n"/>
      <c r="AO285" s="65" t="n"/>
      <c r="AP285" s="65" t="n"/>
      <c r="AQ285" s="65" t="n"/>
      <c r="AR285" s="65" t="n"/>
      <c r="AS285" s="65" t="n"/>
      <c r="AT285" s="65" t="n"/>
      <c r="AU285" s="65" t="n"/>
      <c r="AV285" s="65" t="n"/>
      <c r="AW285" s="65" t="n"/>
      <c r="AX285" s="65" t="n"/>
      <c r="AY285" s="65" t="n"/>
      <c r="AZ285" s="65" t="n"/>
      <c r="BA285" s="65" t="n"/>
      <c r="BB285" s="65" t="n"/>
      <c r="BC285" s="65" t="n"/>
      <c r="BD285" s="65" t="n"/>
      <c r="BE285" s="65" t="n"/>
      <c r="BF285" s="65" t="n"/>
      <c r="BG285" s="65" t="n"/>
    </row>
    <row r="286">
      <c r="B286" s="1" t="inlineStr">
        <is>
          <t>今泉 粟野邸</t>
        </is>
      </c>
      <c r="C286" s="1" t="inlineStr">
        <is>
          <t>佐信木材</t>
        </is>
      </c>
      <c r="D286" s="1" t="inlineStr">
        <is>
          <t>浴室ドア、換気扇、化粧台、トイレ</t>
        </is>
      </c>
      <c r="E286" s="2" t="inlineStr">
        <is>
          <t>8月</t>
        </is>
      </c>
      <c r="F286" s="68" t="n">
        <v>376000</v>
      </c>
      <c r="G286" s="68">
        <f>IF(B286="","",F286-I286 )</f>
        <v/>
      </c>
      <c r="H286" s="5">
        <f>IF(G286="","",G286/F286)</f>
        <v/>
      </c>
      <c r="I286" s="62">
        <f>SUM(テーブル9[[#This Row],[五大]:[工場材]])</f>
        <v/>
      </c>
      <c r="J286" s="69" t="n"/>
      <c r="K286" s="65" t="n"/>
      <c r="L286" s="65" t="n"/>
      <c r="M286" s="65" t="n"/>
      <c r="N286" s="65" t="n"/>
      <c r="O286" s="65" t="n"/>
      <c r="P286" s="65" t="n"/>
      <c r="Q286" s="65" t="n"/>
      <c r="R286" s="65" t="n"/>
      <c r="S286" s="65" t="n"/>
      <c r="T286" s="65" t="n"/>
      <c r="U286" s="65" t="n"/>
      <c r="V286" s="65" t="n"/>
      <c r="W286" s="65" t="n"/>
      <c r="X286" s="66" t="n"/>
      <c r="Y286" s="65" t="n"/>
      <c r="Z286" s="65" t="n"/>
      <c r="AA286" s="69" t="n">
        <v>27000</v>
      </c>
      <c r="AB286" s="65" t="n">
        <v>135000</v>
      </c>
      <c r="AC286" s="65" t="n"/>
      <c r="AD286" s="65" t="n"/>
      <c r="AE286" s="69" t="n">
        <v>60000</v>
      </c>
      <c r="AF286" s="69" t="n"/>
      <c r="AG286" s="65" t="n"/>
      <c r="AH286" s="65" t="n"/>
      <c r="AI286" s="65" t="n"/>
      <c r="AJ286" s="65" t="n"/>
      <c r="AK286" s="65" t="n"/>
      <c r="AL286" s="65" t="n"/>
      <c r="AM286" s="65" t="n"/>
      <c r="AN286" s="65" t="n"/>
      <c r="AO286" s="65" t="n"/>
      <c r="AP286" s="65" t="n"/>
      <c r="AQ286" s="65" t="n"/>
      <c r="AR286" s="65" t="n"/>
      <c r="AS286" s="65" t="n"/>
      <c r="AT286" s="65" t="n"/>
      <c r="AU286" s="65" t="n"/>
      <c r="AV286" s="65" t="n"/>
      <c r="AW286" s="65" t="n"/>
      <c r="AX286" s="65" t="n"/>
      <c r="AY286" s="65" t="n"/>
      <c r="AZ286" s="65" t="n"/>
      <c r="BA286" s="65" t="n"/>
      <c r="BB286" s="65" t="n"/>
      <c r="BC286" s="65" t="n"/>
      <c r="BD286" s="65" t="n"/>
      <c r="BE286" s="65" t="n"/>
      <c r="BF286" s="65" t="n"/>
      <c r="BG286" s="65" t="n"/>
    </row>
    <row r="287">
      <c r="B287" s="1" t="inlineStr">
        <is>
          <t>画像医学と脳検診</t>
        </is>
      </c>
      <c r="C287" s="1" t="inlineStr">
        <is>
          <t>LIFE　UP</t>
        </is>
      </c>
      <c r="D287" s="1" t="inlineStr">
        <is>
          <t>防水工事</t>
        </is>
      </c>
      <c r="E287" s="2" t="inlineStr">
        <is>
          <t>8月</t>
        </is>
      </c>
      <c r="F287" s="68" t="n">
        <v>268000</v>
      </c>
      <c r="G287" s="68">
        <f>IF(B287="","",F287-I287 )</f>
        <v/>
      </c>
      <c r="H287" s="5">
        <f>IF(G287="","",G287/F287)</f>
        <v/>
      </c>
      <c r="I287" s="62">
        <f>SUM(テーブル9[[#This Row],[五大]:[工場材]])</f>
        <v/>
      </c>
      <c r="J287" s="69" t="n"/>
      <c r="K287" s="65" t="n"/>
      <c r="L287" s="65" t="n"/>
      <c r="M287" s="65" t="n"/>
      <c r="N287" s="65" t="n"/>
      <c r="O287" s="65" t="n"/>
      <c r="P287" s="65" t="n"/>
      <c r="Q287" s="65" t="n"/>
      <c r="R287" s="65" t="n"/>
      <c r="S287" s="65" t="n"/>
      <c r="T287" s="65" t="n"/>
      <c r="U287" s="65" t="n"/>
      <c r="V287" s="65" t="n"/>
      <c r="W287" s="65">
        <f>18000+20000</f>
        <v/>
      </c>
      <c r="X287" s="66" t="n"/>
      <c r="Y287" s="65" t="n"/>
      <c r="Z287" s="65" t="n"/>
      <c r="AA287" s="69" t="n"/>
      <c r="AB287" s="65" t="n"/>
      <c r="AC287" s="65" t="n"/>
      <c r="AD287" s="65" t="n"/>
      <c r="AE287" s="65" t="n"/>
      <c r="AF287" s="65" t="n"/>
      <c r="AG287" s="65" t="n"/>
      <c r="AH287" s="65" t="n"/>
      <c r="AI287" s="65" t="n"/>
      <c r="AJ287" s="65" t="n"/>
      <c r="AK287" s="65" t="n"/>
      <c r="AL287" s="65" t="n"/>
      <c r="AM287" s="65" t="n"/>
      <c r="AN287" s="65" t="n"/>
      <c r="AO287" s="65" t="n"/>
      <c r="AP287" s="65" t="n"/>
      <c r="AQ287" s="65" t="n"/>
      <c r="AR287" s="65" t="n"/>
      <c r="AS287" s="65" t="n"/>
      <c r="AT287" s="65" t="n"/>
      <c r="AU287" s="65" t="n"/>
      <c r="AV287" s="65" t="n"/>
      <c r="AW287" s="65" t="n"/>
      <c r="AX287" s="65" t="n"/>
      <c r="AY287" s="65" t="n"/>
      <c r="AZ287" s="65" t="n"/>
      <c r="BA287" s="65" t="n"/>
      <c r="BB287" s="65" t="n"/>
      <c r="BC287" s="65" t="n"/>
      <c r="BD287" s="65" t="n"/>
      <c r="BE287" s="65" t="n"/>
      <c r="BF287" s="65" t="n"/>
      <c r="BG287" s="65" t="n"/>
    </row>
    <row r="288">
      <c r="F288" s="75">
        <f>SUBTOTAL(109,F282:F287)</f>
        <v/>
      </c>
      <c r="G288" s="75">
        <f>SUBTOTAL(109,G282:G287)</f>
        <v/>
      </c>
      <c r="H288" s="41">
        <f>IF(G288="","",G288/F288)</f>
        <v/>
      </c>
      <c r="I288" s="75">
        <f>SUBTOTAL(109,I282:I287)</f>
        <v/>
      </c>
      <c r="J288" s="69" t="n"/>
      <c r="K288" s="65" t="n"/>
      <c r="L288" s="65" t="n"/>
      <c r="M288" s="65" t="n"/>
      <c r="N288" s="65" t="n"/>
      <c r="O288" s="65" t="n"/>
      <c r="P288" s="65" t="n"/>
      <c r="Q288" s="65" t="n"/>
      <c r="R288" s="65" t="n"/>
      <c r="S288" s="65" t="n"/>
      <c r="T288" s="65" t="n"/>
      <c r="U288" s="65" t="n"/>
      <c r="V288" s="65" t="n"/>
      <c r="W288" s="65" t="n"/>
      <c r="X288" s="66" t="n"/>
      <c r="Y288" s="65" t="n"/>
      <c r="Z288" s="65" t="n"/>
      <c r="AA288" s="69" t="n"/>
      <c r="AB288" s="65" t="n"/>
      <c r="AC288" s="65" t="n"/>
      <c r="AD288" s="65" t="n"/>
      <c r="AE288" s="65" t="n"/>
      <c r="AF288" s="65" t="n"/>
      <c r="AG288" s="65" t="n"/>
      <c r="AH288" s="65" t="n"/>
      <c r="AI288" s="65" t="n"/>
      <c r="AJ288" s="65" t="n"/>
      <c r="AK288" s="65" t="n"/>
      <c r="AL288" s="65" t="n"/>
      <c r="AM288" s="65" t="n"/>
      <c r="AN288" s="65" t="n"/>
      <c r="AO288" s="65" t="n"/>
      <c r="AP288" s="65" t="n"/>
      <c r="AQ288" s="65" t="n"/>
      <c r="AR288" s="65" t="n"/>
      <c r="AS288" s="65" t="n"/>
      <c r="AT288" s="65" t="n"/>
      <c r="AU288" s="65" t="n"/>
      <c r="AV288" s="65" t="n"/>
      <c r="AW288" s="65" t="n"/>
      <c r="AX288" s="65" t="n"/>
      <c r="AY288" s="65" t="n"/>
      <c r="AZ288" s="65" t="n"/>
      <c r="BA288" s="65" t="n"/>
      <c r="BB288" s="65" t="n"/>
      <c r="BC288" s="65" t="n"/>
      <c r="BD288" s="65" t="n"/>
      <c r="BE288" s="65" t="n"/>
      <c r="BF288" s="65" t="n"/>
      <c r="BG288" s="65" t="n"/>
    </row>
    <row r="289">
      <c r="F289" s="68" t="n"/>
      <c r="G289" s="68">
        <f>IF(B289="","",F289-I289 )</f>
        <v/>
      </c>
      <c r="H289" s="5">
        <f>IF(G289="","",G289/F289)</f>
        <v/>
      </c>
      <c r="I289" s="62">
        <f>SUM(テーブル9[[#This Row],[五大]:[工場材]])</f>
        <v/>
      </c>
      <c r="J289" s="69" t="n"/>
      <c r="K289" s="65" t="n"/>
      <c r="L289" s="65" t="n"/>
      <c r="M289" s="65" t="n"/>
      <c r="N289" s="65" t="n"/>
      <c r="O289" s="65" t="n"/>
      <c r="P289" s="65" t="n"/>
      <c r="Q289" s="65" t="n"/>
      <c r="R289" s="65" t="n"/>
      <c r="S289" s="65" t="n"/>
      <c r="T289" s="65" t="n"/>
      <c r="U289" s="65" t="n"/>
      <c r="V289" s="65" t="n"/>
      <c r="W289" s="65" t="n"/>
      <c r="X289" s="66" t="n"/>
      <c r="Y289" s="65" t="n"/>
      <c r="Z289" s="65" t="n"/>
      <c r="AA289" s="69" t="n"/>
      <c r="AB289" s="65" t="n"/>
      <c r="AC289" s="65" t="n"/>
      <c r="AD289" s="65" t="n"/>
      <c r="AE289" s="65" t="n"/>
      <c r="AF289" s="65" t="n"/>
      <c r="AG289" s="65" t="n"/>
      <c r="AH289" s="65" t="n"/>
      <c r="AI289" s="65" t="n"/>
      <c r="AJ289" s="65" t="n"/>
      <c r="AK289" s="65" t="n"/>
      <c r="AL289" s="65" t="n"/>
      <c r="AM289" s="65" t="n"/>
      <c r="AN289" s="65" t="n"/>
      <c r="AO289" s="65" t="n"/>
      <c r="AP289" s="65" t="n"/>
      <c r="AQ289" s="65" t="n"/>
      <c r="AR289" s="65" t="n"/>
      <c r="AS289" s="65" t="n"/>
      <c r="AT289" s="65" t="n"/>
      <c r="AU289" s="65" t="n"/>
      <c r="AV289" s="65" t="n"/>
      <c r="AW289" s="65" t="n"/>
      <c r="AX289" s="65" t="n"/>
      <c r="AY289" s="65" t="n"/>
      <c r="AZ289" s="65" t="n"/>
      <c r="BA289" s="65" t="n"/>
      <c r="BB289" s="65" t="n"/>
      <c r="BC289" s="65" t="n"/>
      <c r="BD289" s="65" t="n"/>
      <c r="BE289" s="65" t="n"/>
      <c r="BF289" s="65" t="n"/>
      <c r="BG289" s="65" t="n"/>
    </row>
    <row r="290">
      <c r="A290" s="0" t="inlineStr">
        <is>
          <t>R3.9</t>
        </is>
      </c>
      <c r="B290" s="1" t="inlineStr">
        <is>
          <t>東九番町パークマンション1006</t>
        </is>
      </c>
      <c r="C290" s="1" t="inlineStr">
        <is>
          <t>光和工業</t>
        </is>
      </c>
      <c r="D290" s="1" t="inlineStr">
        <is>
          <t>フルリフォーム</t>
        </is>
      </c>
      <c r="E290" s="2" t="inlineStr">
        <is>
          <t>9月</t>
        </is>
      </c>
      <c r="F290" s="68" t="n">
        <v>7742000</v>
      </c>
      <c r="G290" s="68">
        <f>IF(B290="","",F290-I290 )</f>
        <v/>
      </c>
      <c r="H290" s="5">
        <f>IF(G290="","",G290/F290)</f>
        <v/>
      </c>
      <c r="I290" s="62">
        <f>SUM(テーブル9[[#This Row],[五大]:[工場材]])</f>
        <v/>
      </c>
      <c r="J290" s="69" t="n"/>
      <c r="K290" s="65" t="n"/>
      <c r="L290" s="65" t="n"/>
      <c r="M290" s="65" t="n"/>
      <c r="N290" s="65" t="n"/>
      <c r="O290" s="65" t="n"/>
      <c r="P290" s="65" t="n"/>
      <c r="Q290" s="65" t="n"/>
      <c r="R290" s="65" t="n"/>
      <c r="S290" s="65" t="n"/>
      <c r="T290" s="65" t="n"/>
      <c r="U290" s="69" t="n"/>
      <c r="V290" s="65" t="n"/>
      <c r="W290" s="65" t="n">
        <v>750000</v>
      </c>
      <c r="X290" s="66" t="n">
        <v>100000</v>
      </c>
      <c r="Y290" s="65" t="n">
        <v>120000</v>
      </c>
      <c r="Z290" s="65" t="n"/>
      <c r="AA290" s="69" t="n">
        <v>300000</v>
      </c>
      <c r="AB290" s="65" t="n">
        <v>360000</v>
      </c>
      <c r="AC290" s="65" t="n"/>
      <c r="AD290" s="65" t="n"/>
      <c r="AE290" s="65" t="n">
        <v>243000</v>
      </c>
      <c r="AF290" s="65" t="n"/>
      <c r="AG290" s="65" t="n">
        <v>300000</v>
      </c>
      <c r="AH290" s="65" t="n"/>
      <c r="AI290" s="65" t="n">
        <v>23000</v>
      </c>
      <c r="AJ290" s="65" t="n"/>
      <c r="AK290" s="65" t="n"/>
      <c r="AL290" s="65" t="n"/>
      <c r="AM290" s="65" t="n"/>
      <c r="AN290" s="65" t="n"/>
      <c r="AO290" s="65" t="n">
        <v>1650000</v>
      </c>
      <c r="AP290" s="65" t="n"/>
      <c r="AQ290" s="65" t="n"/>
      <c r="AR290" s="65" t="n"/>
      <c r="AS290" s="65" t="n"/>
      <c r="AT290" s="65" t="n"/>
      <c r="AU290" s="65" t="n"/>
      <c r="AV290" s="65" t="n"/>
      <c r="AW290" s="65" t="n"/>
      <c r="AX290" s="65" t="n"/>
      <c r="AY290" s="65" t="n"/>
      <c r="AZ290" s="65" t="n">
        <v>86100</v>
      </c>
      <c r="BA290" s="65" t="n"/>
      <c r="BB290" s="65" t="n"/>
      <c r="BC290" s="65" t="n"/>
      <c r="BD290" s="65" t="n"/>
      <c r="BE290" s="65" t="n"/>
      <c r="BF290" s="65" t="n"/>
      <c r="BG290" s="65">
        <f>400000+384000</f>
        <v/>
      </c>
    </row>
    <row r="291">
      <c r="B291" s="1" t="inlineStr">
        <is>
          <t>東急ドエルアルス仙台307</t>
        </is>
      </c>
      <c r="C291" s="1" t="inlineStr">
        <is>
          <t>マルマン</t>
        </is>
      </c>
      <c r="D291" s="1" t="inlineStr">
        <is>
          <t>UB入替</t>
        </is>
      </c>
      <c r="E291" s="2" t="inlineStr">
        <is>
          <t>9月</t>
        </is>
      </c>
      <c r="F291" s="68" t="n">
        <v>650000</v>
      </c>
      <c r="G291" s="68">
        <f>IF(B291="","",F291-I291 )</f>
        <v/>
      </c>
      <c r="H291" s="5">
        <f>IF(G291="","",G291/F291)</f>
        <v/>
      </c>
      <c r="I291" s="62">
        <f>SUM(テーブル9[[#This Row],[五大]:[工場材]])</f>
        <v/>
      </c>
      <c r="J291" s="69" t="n"/>
      <c r="K291" s="65" t="n"/>
      <c r="L291" s="65" t="n"/>
      <c r="M291" s="65" t="n"/>
      <c r="N291" s="65" t="n"/>
      <c r="O291" s="65" t="n"/>
      <c r="P291" s="65" t="n"/>
      <c r="Q291" s="65" t="n"/>
      <c r="R291" s="65" t="n"/>
      <c r="S291" s="65" t="n"/>
      <c r="T291" s="65" t="n"/>
      <c r="U291" s="69" t="n"/>
      <c r="V291" s="65" t="n"/>
      <c r="W291" s="69" t="n">
        <v>120000</v>
      </c>
      <c r="X291" s="66" t="n">
        <v>11896</v>
      </c>
      <c r="Y291" s="69" t="n"/>
      <c r="Z291" s="65" t="n"/>
      <c r="AA291" s="69" t="n">
        <v>12000</v>
      </c>
      <c r="AB291" s="69" t="n">
        <v>55000</v>
      </c>
      <c r="AC291" s="65" t="n"/>
      <c r="AD291" s="65" t="n"/>
      <c r="AE291" s="65" t="n"/>
      <c r="AF291" s="65" t="n"/>
      <c r="AG291" s="69" t="n"/>
      <c r="AH291" s="65" t="n"/>
      <c r="AI291" s="65" t="n"/>
      <c r="AJ291" s="65" t="n"/>
      <c r="AK291" s="65" t="n"/>
      <c r="AL291" s="65" t="n"/>
      <c r="AM291" s="65" t="n"/>
      <c r="AN291" s="65" t="n"/>
      <c r="AO291" s="69" t="n">
        <v>232620</v>
      </c>
      <c r="AP291" s="65" t="n"/>
      <c r="AQ291" s="65" t="n"/>
      <c r="AR291" s="65" t="n"/>
      <c r="AS291" s="65" t="n"/>
      <c r="AT291" s="65" t="n"/>
      <c r="AU291" s="65" t="n"/>
      <c r="AV291" s="65" t="n"/>
      <c r="AW291" s="65" t="n"/>
      <c r="AX291" s="65" t="n"/>
      <c r="AY291" s="65" t="n"/>
      <c r="AZ291" s="69" t="n"/>
      <c r="BA291" s="69" t="n"/>
      <c r="BB291" s="69" t="n"/>
      <c r="BC291" s="69" t="n"/>
      <c r="BD291" s="69" t="n"/>
      <c r="BE291" s="69" t="n"/>
      <c r="BF291" s="64" t="n"/>
      <c r="BG291" s="65" t="n"/>
    </row>
    <row r="292">
      <c r="F292" s="75">
        <f>SUBTOTAL(109,F290:F291)</f>
        <v/>
      </c>
      <c r="G292" s="75">
        <f>SUBTOTAL(109,G290:G291)</f>
        <v/>
      </c>
      <c r="H292" s="41">
        <f>IF(G292="","",G292/F292)</f>
        <v/>
      </c>
      <c r="I292" s="75">
        <f>SUBTOTAL(109,I290:I291)</f>
        <v/>
      </c>
      <c r="J292" s="69" t="n"/>
      <c r="K292" s="65" t="n"/>
      <c r="L292" s="65" t="n"/>
      <c r="M292" s="65" t="n"/>
      <c r="N292" s="65" t="n"/>
      <c r="O292" s="65" t="n"/>
      <c r="P292" s="65" t="n"/>
      <c r="Q292" s="65" t="n"/>
      <c r="R292" s="65" t="n"/>
      <c r="S292" s="65" t="n"/>
      <c r="T292" s="65" t="n"/>
      <c r="U292" s="69" t="n"/>
      <c r="V292" s="65" t="n"/>
      <c r="W292" s="69" t="n"/>
      <c r="X292" s="66" t="n"/>
      <c r="Y292" s="69" t="n"/>
      <c r="Z292" s="65" t="n"/>
      <c r="AA292" s="69" t="n"/>
      <c r="AB292" s="69" t="n"/>
      <c r="AC292" s="65" t="n"/>
      <c r="AD292" s="65" t="n"/>
      <c r="AE292" s="65" t="n"/>
      <c r="AF292" s="65" t="n"/>
      <c r="AG292" s="69" t="n"/>
      <c r="AH292" s="65" t="n"/>
      <c r="AI292" s="65" t="n"/>
      <c r="AJ292" s="65" t="n"/>
      <c r="AK292" s="65" t="n"/>
      <c r="AL292" s="65" t="n"/>
      <c r="AM292" s="65" t="n"/>
      <c r="AN292" s="65" t="n"/>
      <c r="AO292" s="69" t="n"/>
      <c r="AP292" s="65" t="n"/>
      <c r="AQ292" s="65" t="n"/>
      <c r="AR292" s="65" t="n"/>
      <c r="AS292" s="65" t="n"/>
      <c r="AT292" s="65" t="n"/>
      <c r="AU292" s="65" t="n"/>
      <c r="AV292" s="65" t="n"/>
      <c r="AW292" s="65" t="n"/>
      <c r="AX292" s="65" t="n"/>
      <c r="AY292" s="65" t="n"/>
      <c r="AZ292" s="69" t="n"/>
      <c r="BA292" s="69" t="n"/>
      <c r="BB292" s="69" t="n"/>
      <c r="BC292" s="69" t="n"/>
      <c r="BD292" s="69" t="n"/>
      <c r="BE292" s="69" t="n"/>
      <c r="BF292" s="64" t="n"/>
      <c r="BG292" s="65" t="n"/>
    </row>
    <row r="293">
      <c r="B293" s="1">
        <f>SUBTOTAL(109,B4:B292)</f>
        <v/>
      </c>
      <c r="F293" s="68" t="n"/>
      <c r="G293" s="68" t="n"/>
      <c r="H293" s="5">
        <f>IF(G293="","",G293/F293)</f>
        <v/>
      </c>
      <c r="J293" s="69" t="n"/>
      <c r="K293" s="65" t="n"/>
      <c r="L293" s="65" t="n"/>
      <c r="M293" s="65" t="n"/>
      <c r="N293" s="65" t="n"/>
      <c r="O293" s="65" t="n"/>
      <c r="P293" s="65" t="n"/>
      <c r="Q293" s="65" t="n"/>
      <c r="R293" s="65" t="n"/>
      <c r="S293" s="65" t="n"/>
      <c r="T293" s="65" t="n"/>
      <c r="U293" s="69" t="n"/>
      <c r="V293" s="65" t="n"/>
      <c r="W293" s="65" t="n"/>
      <c r="X293" s="66" t="n"/>
      <c r="Y293" s="65" t="n"/>
      <c r="Z293" s="65" t="n"/>
      <c r="AA293" s="65" t="n"/>
      <c r="AB293" s="65" t="n"/>
      <c r="AC293" s="65" t="n"/>
      <c r="AD293" s="65" t="n"/>
      <c r="AE293" s="65" t="n"/>
      <c r="AF293" s="65" t="n"/>
      <c r="AG293" s="65" t="n"/>
      <c r="AH293" s="65" t="n"/>
      <c r="AI293" s="65" t="n"/>
      <c r="AJ293" s="65" t="n"/>
      <c r="AK293" s="65" t="n"/>
      <c r="AL293" s="65" t="n"/>
      <c r="AM293" s="65" t="n"/>
      <c r="AN293" s="65" t="n"/>
      <c r="AO293" s="65" t="n"/>
      <c r="AP293" s="65" t="n"/>
      <c r="AQ293" s="65" t="n"/>
      <c r="AR293" s="65" t="n"/>
      <c r="AS293" s="65" t="n"/>
      <c r="AT293" s="65" t="n"/>
      <c r="AU293" s="65" t="n"/>
      <c r="AV293" s="65" t="n"/>
      <c r="AW293" s="65" t="n"/>
      <c r="AX293" s="65" t="n"/>
      <c r="AY293" s="65" t="n"/>
      <c r="AZ293" s="65" t="n"/>
      <c r="BA293" s="65" t="n"/>
      <c r="BB293" s="65" t="n"/>
      <c r="BC293" s="65" t="n"/>
      <c r="BD293" s="65" t="n"/>
      <c r="BE293" s="65" t="n"/>
      <c r="BF293" s="65" t="n"/>
      <c r="BG293" s="65" t="n"/>
    </row>
    <row r="294">
      <c r="F294" s="68" t="n"/>
      <c r="G294" s="68" t="n"/>
      <c r="H294" s="5">
        <f>IF(G294="","",G294/F294)</f>
        <v/>
      </c>
      <c r="J294" s="69" t="n"/>
      <c r="K294" s="65" t="n"/>
      <c r="L294" s="65" t="n"/>
      <c r="M294" s="65" t="n"/>
      <c r="N294" s="65" t="n"/>
      <c r="O294" s="65" t="n"/>
      <c r="P294" s="65" t="n"/>
      <c r="Q294" s="65" t="n"/>
      <c r="R294" s="65" t="n"/>
      <c r="S294" s="65" t="n"/>
      <c r="T294" s="65" t="n"/>
      <c r="U294" s="69" t="n"/>
      <c r="V294" s="65" t="n"/>
      <c r="W294" s="65" t="n"/>
      <c r="X294" s="66" t="n"/>
      <c r="Y294" s="65" t="n"/>
      <c r="Z294" s="65" t="n"/>
      <c r="AA294" s="65" t="n"/>
      <c r="AB294" s="65" t="n"/>
      <c r="AC294" s="65" t="n"/>
      <c r="AD294" s="65" t="n"/>
      <c r="AE294" s="65" t="n"/>
      <c r="AF294" s="65" t="n"/>
      <c r="AG294" s="65" t="n"/>
      <c r="AH294" s="65" t="n"/>
      <c r="AI294" s="65" t="n"/>
      <c r="AJ294" s="65" t="n"/>
      <c r="AK294" s="65" t="n"/>
      <c r="AL294" s="65" t="n"/>
      <c r="AM294" s="65" t="n"/>
      <c r="AN294" s="65" t="n"/>
      <c r="AO294" s="65" t="n"/>
      <c r="AP294" s="65" t="n"/>
      <c r="AQ294" s="65" t="n"/>
      <c r="AR294" s="65" t="n"/>
      <c r="AS294" s="65" t="n"/>
      <c r="AT294" s="65" t="n"/>
      <c r="AU294" s="65" t="n"/>
      <c r="AV294" s="65" t="n"/>
      <c r="AW294" s="65" t="n"/>
      <c r="AX294" s="65" t="n"/>
      <c r="AY294" s="65" t="n"/>
      <c r="AZ294" s="65" t="n"/>
      <c r="BA294" s="65" t="n"/>
      <c r="BB294" s="65" t="n"/>
      <c r="BC294" s="65" t="n"/>
      <c r="BD294" s="65" t="n"/>
      <c r="BE294" s="65" t="n"/>
      <c r="BF294" s="65" t="n"/>
      <c r="BG294" s="65" t="n"/>
    </row>
    <row r="295">
      <c r="A295" s="0" t="inlineStr">
        <is>
          <t>R3.10</t>
        </is>
      </c>
      <c r="B295" s="1" t="inlineStr">
        <is>
          <t>寺岡　佐藤邸</t>
        </is>
      </c>
      <c r="C295" s="1" t="inlineStr">
        <is>
          <t>UB工事</t>
        </is>
      </c>
      <c r="E295" s="2" t="inlineStr">
        <is>
          <t>11月</t>
        </is>
      </c>
      <c r="F295" s="68" t="n">
        <v>784000</v>
      </c>
      <c r="G295" s="68">
        <f>IF(B295="","",F295-I295 )</f>
        <v/>
      </c>
      <c r="H295" s="5">
        <f>IF(G295="","",G295/F295)</f>
        <v/>
      </c>
      <c r="I295" s="62">
        <f>SUM(テーブル9[[#This Row],[五大]:[工場材]])</f>
        <v/>
      </c>
      <c r="J295" s="69" t="n">
        <v>60000</v>
      </c>
      <c r="K295" s="65" t="n"/>
      <c r="L295" s="65" t="n"/>
      <c r="M295" s="65" t="n"/>
      <c r="N295" s="65" t="n"/>
      <c r="O295" s="65" t="n"/>
      <c r="P295" s="65" t="n"/>
      <c r="Q295" s="65" t="n"/>
      <c r="R295" s="65" t="n"/>
      <c r="S295" s="65" t="n"/>
      <c r="T295" s="65" t="n"/>
      <c r="U295" s="69" t="n"/>
      <c r="V295" s="65" t="n"/>
      <c r="W295" s="65" t="n">
        <v>200000</v>
      </c>
      <c r="X295" s="66" t="n"/>
      <c r="Y295" s="65" t="n"/>
      <c r="Z295" s="65" t="n"/>
      <c r="AA295" s="65" t="n">
        <v>35000</v>
      </c>
      <c r="AB295" s="65" t="n">
        <v>115000</v>
      </c>
      <c r="AC295" s="65" t="n"/>
      <c r="AD295" s="65" t="n"/>
      <c r="AE295" s="65" t="n"/>
      <c r="AF295" s="65" t="n"/>
      <c r="AG295" s="65" t="n"/>
      <c r="AH295" s="65" t="n"/>
      <c r="AI295" s="65" t="n">
        <v>140000</v>
      </c>
      <c r="AJ295" s="65" t="n"/>
      <c r="AK295" s="65" t="n"/>
      <c r="AL295" s="65" t="n"/>
      <c r="AM295" s="65" t="n"/>
      <c r="AN295" s="65" t="n"/>
      <c r="AO295" s="65" t="n"/>
      <c r="AP295" s="65" t="n"/>
      <c r="AQ295" s="65" t="n"/>
      <c r="AR295" s="65" t="n"/>
      <c r="AS295" s="65" t="n"/>
      <c r="AT295" s="65" t="n"/>
      <c r="AU295" s="65" t="n"/>
      <c r="AV295" s="65" t="n"/>
      <c r="AW295" s="65" t="n"/>
      <c r="AX295" s="65" t="n"/>
      <c r="AY295" s="65" t="n"/>
      <c r="AZ295" s="65" t="n"/>
      <c r="BA295" s="65" t="n"/>
      <c r="BB295" s="65" t="n"/>
      <c r="BC295" s="65" t="n"/>
      <c r="BD295" s="65" t="n"/>
      <c r="BE295" s="65" t="n"/>
      <c r="BF295" s="65" t="n"/>
      <c r="BG295" s="65" t="n"/>
    </row>
    <row r="296">
      <c r="B296" s="1" t="inlineStr">
        <is>
          <t>大森邸</t>
        </is>
      </c>
      <c r="E296" s="2" t="inlineStr">
        <is>
          <t>11月</t>
        </is>
      </c>
      <c r="F296" s="68" t="n">
        <v>1306000</v>
      </c>
      <c r="G296" s="68">
        <f>IF(B296="","",F296-I296 )</f>
        <v/>
      </c>
      <c r="H296" s="5">
        <f>IF(G296="","",G296/F296)</f>
        <v/>
      </c>
      <c r="I296" s="62">
        <f>SUM(テーブル9[[#This Row],[五大]:[工場材]])</f>
        <v/>
      </c>
      <c r="J296" s="69" t="n">
        <v>160000</v>
      </c>
      <c r="K296" s="65" t="n"/>
      <c r="L296" s="65" t="n"/>
      <c r="M296" s="65" t="n"/>
      <c r="N296" s="65" t="n"/>
      <c r="O296" s="65" t="n">
        <v>450000</v>
      </c>
      <c r="P296" s="65" t="n"/>
      <c r="Q296" s="65" t="n"/>
      <c r="R296" s="65" t="n">
        <v>160000</v>
      </c>
      <c r="S296" s="65" t="n"/>
      <c r="T296" s="65" t="n"/>
      <c r="U296" s="69" t="n">
        <v>186600</v>
      </c>
      <c r="V296" s="65" t="n">
        <v>78000</v>
      </c>
      <c r="W296" s="65" t="n"/>
      <c r="X296" s="66" t="n"/>
      <c r="Y296" s="65" t="n"/>
      <c r="Z296" s="65" t="n"/>
      <c r="AA296" s="65" t="n"/>
      <c r="AB296" s="65" t="n"/>
      <c r="AC296" s="65" t="n"/>
      <c r="AD296" s="65" t="n"/>
      <c r="AE296" s="65" t="n">
        <v>30000</v>
      </c>
      <c r="AF296" s="65" t="n"/>
      <c r="AG296" s="65" t="n"/>
      <c r="AH296" s="65" t="n"/>
      <c r="AI296" s="65" t="n"/>
      <c r="AJ296" s="65" t="n"/>
      <c r="AK296" s="65" t="n"/>
      <c r="AL296" s="65" t="n"/>
      <c r="AM296" s="65" t="n"/>
      <c r="AN296" s="65" t="n"/>
      <c r="AO296" s="65" t="n"/>
      <c r="AP296" s="65" t="n"/>
      <c r="AQ296" s="65" t="n"/>
      <c r="AR296" s="65" t="n"/>
      <c r="AS296" s="65" t="n"/>
      <c r="AT296" s="65" t="n"/>
      <c r="AU296" s="65" t="n"/>
      <c r="AV296" s="65" t="n"/>
      <c r="AW296" s="65" t="n"/>
      <c r="AX296" s="65" t="n"/>
      <c r="AY296" s="65" t="n"/>
      <c r="AZ296" s="65" t="n"/>
      <c r="BA296" s="65" t="n"/>
      <c r="BB296" s="65" t="n"/>
      <c r="BC296" s="65" t="n"/>
      <c r="BD296" s="65" t="n"/>
      <c r="BE296" s="65" t="n"/>
      <c r="BF296" s="65" t="n"/>
      <c r="BG296" s="65" t="n"/>
    </row>
    <row r="297">
      <c r="F297" s="75">
        <f>SUBTOTAL(109,F295:F296)</f>
        <v/>
      </c>
      <c r="G297" s="75">
        <f>SUBTOTAL(109,G295:G296)</f>
        <v/>
      </c>
      <c r="H297" s="41">
        <f>IF(G297="","",G297/F297)</f>
        <v/>
      </c>
      <c r="I297" s="75">
        <f>SUBTOTAL(109,I295:I296)</f>
        <v/>
      </c>
      <c r="J297" s="69" t="n"/>
      <c r="K297" s="65" t="n"/>
      <c r="L297" s="65" t="n"/>
      <c r="M297" s="65" t="n"/>
      <c r="N297" s="65" t="n"/>
      <c r="O297" s="65" t="n"/>
      <c r="P297" s="65" t="n"/>
      <c r="Q297" s="65" t="n"/>
      <c r="R297" s="65" t="n"/>
      <c r="S297" s="65" t="n"/>
      <c r="T297" s="65" t="n"/>
      <c r="U297" s="69" t="n"/>
      <c r="V297" s="65" t="n"/>
      <c r="W297" s="65" t="n"/>
      <c r="X297" s="66" t="n"/>
      <c r="Y297" s="65" t="n"/>
      <c r="Z297" s="65" t="n"/>
      <c r="AA297" s="65" t="n"/>
      <c r="AB297" s="65" t="n"/>
      <c r="AC297" s="65" t="n"/>
      <c r="AD297" s="65" t="n"/>
      <c r="AE297" s="65" t="n"/>
      <c r="AF297" s="65" t="n"/>
      <c r="AG297" s="65" t="n"/>
      <c r="AH297" s="65" t="n"/>
      <c r="AI297" s="65" t="n"/>
      <c r="AJ297" s="65" t="n"/>
      <c r="AK297" s="65" t="n"/>
      <c r="AL297" s="65" t="n"/>
      <c r="AM297" s="65" t="n"/>
      <c r="AN297" s="65" t="n"/>
      <c r="AO297" s="65" t="n"/>
      <c r="AP297" s="65" t="n"/>
      <c r="AQ297" s="65" t="n"/>
      <c r="AR297" s="65" t="n"/>
      <c r="AS297" s="65" t="n"/>
      <c r="AT297" s="65" t="n"/>
      <c r="AU297" s="65" t="n"/>
      <c r="AV297" s="65" t="n"/>
      <c r="AW297" s="65" t="n"/>
      <c r="AX297" s="65" t="n"/>
      <c r="AY297" s="65" t="n"/>
      <c r="AZ297" s="65" t="n"/>
      <c r="BA297" s="65" t="n"/>
      <c r="BB297" s="65" t="n"/>
      <c r="BC297" s="65" t="n"/>
      <c r="BD297" s="65" t="n"/>
      <c r="BE297" s="65" t="n"/>
      <c r="BF297" s="65" t="n"/>
      <c r="BG297" s="65" t="n"/>
    </row>
    <row r="298">
      <c r="F298" s="68" t="n"/>
      <c r="G298" s="68">
        <f>IF(B298="","",F298-I298 )</f>
        <v/>
      </c>
      <c r="H298" s="5">
        <f>IF(G298="","",G298/F298)</f>
        <v/>
      </c>
      <c r="J298" s="69" t="n"/>
      <c r="K298" s="65" t="n"/>
      <c r="L298" s="65" t="n"/>
      <c r="M298" s="65" t="n"/>
      <c r="N298" s="65" t="n"/>
      <c r="O298" s="65" t="n"/>
      <c r="P298" s="65" t="n"/>
      <c r="Q298" s="65" t="n"/>
      <c r="R298" s="65" t="n"/>
      <c r="S298" s="65" t="n"/>
      <c r="T298" s="65" t="n"/>
      <c r="U298" s="69" t="n"/>
      <c r="V298" s="65" t="n"/>
      <c r="W298" s="65" t="n"/>
      <c r="X298" s="66" t="n"/>
      <c r="Y298" s="65" t="n"/>
      <c r="Z298" s="65" t="n"/>
      <c r="AA298" s="65" t="n"/>
      <c r="AB298" s="65" t="n"/>
      <c r="AC298" s="65" t="n"/>
      <c r="AD298" s="65" t="n"/>
      <c r="AE298" s="65" t="n"/>
      <c r="AF298" s="65" t="n"/>
      <c r="AG298" s="65" t="n"/>
      <c r="AH298" s="65" t="n"/>
      <c r="AI298" s="65" t="n"/>
      <c r="AJ298" s="65" t="n"/>
      <c r="AK298" s="65" t="n"/>
      <c r="AL298" s="65" t="n"/>
      <c r="AM298" s="65" t="n"/>
      <c r="AN298" s="65" t="n"/>
      <c r="AO298" s="65" t="n"/>
      <c r="AP298" s="65" t="n"/>
      <c r="AQ298" s="65" t="n"/>
      <c r="AR298" s="65" t="n"/>
      <c r="AS298" s="65" t="n"/>
      <c r="AT298" s="65" t="n"/>
      <c r="AU298" s="65" t="n"/>
      <c r="AV298" s="65" t="n"/>
      <c r="AW298" s="65" t="n"/>
      <c r="AX298" s="65" t="n"/>
      <c r="AY298" s="65" t="n"/>
      <c r="AZ298" s="65" t="n"/>
      <c r="BA298" s="65" t="n"/>
      <c r="BB298" s="65" t="n"/>
      <c r="BC298" s="65" t="n"/>
      <c r="BD298" s="65" t="n"/>
      <c r="BE298" s="65" t="n"/>
      <c r="BF298" s="65" t="n"/>
      <c r="BG298" s="65" t="n"/>
    </row>
    <row r="299">
      <c r="F299" s="68" t="n"/>
      <c r="G299" s="68">
        <f>IF(B299="","",F299-I299 )</f>
        <v/>
      </c>
      <c r="H299" s="5">
        <f>IF(G299="","",G299/F299)</f>
        <v/>
      </c>
      <c r="J299" s="69" t="n"/>
      <c r="K299" s="65" t="n"/>
      <c r="L299" s="65" t="n"/>
      <c r="M299" s="65" t="n"/>
      <c r="N299" s="65" t="n"/>
      <c r="O299" s="65" t="n"/>
      <c r="P299" s="65" t="n"/>
      <c r="Q299" s="65" t="n"/>
      <c r="R299" s="65" t="n"/>
      <c r="S299" s="65" t="n"/>
      <c r="T299" s="65" t="n"/>
      <c r="U299" s="69" t="n"/>
      <c r="V299" s="65" t="n"/>
      <c r="W299" s="65" t="n"/>
      <c r="X299" s="66" t="n"/>
      <c r="Y299" s="65" t="n"/>
      <c r="Z299" s="65" t="n"/>
      <c r="AA299" s="65" t="n"/>
      <c r="AB299" s="65" t="n"/>
      <c r="AC299" s="65" t="n"/>
      <c r="AD299" s="65" t="n"/>
      <c r="AE299" s="65" t="n"/>
      <c r="AF299" s="65" t="n"/>
      <c r="AG299" s="65" t="n"/>
      <c r="AH299" s="65" t="n"/>
      <c r="AI299" s="65" t="n"/>
      <c r="AJ299" s="65" t="n"/>
      <c r="AK299" s="65" t="n"/>
      <c r="AL299" s="65" t="n"/>
      <c r="AM299" s="65" t="n"/>
      <c r="AN299" s="65" t="n"/>
      <c r="AO299" s="65" t="n"/>
      <c r="AP299" s="65" t="n"/>
      <c r="AQ299" s="65" t="n"/>
      <c r="AR299" s="65" t="n"/>
      <c r="AS299" s="65" t="n"/>
      <c r="AT299" s="65" t="n"/>
      <c r="AU299" s="65" t="n"/>
      <c r="AV299" s="65" t="n"/>
      <c r="AW299" s="65" t="n"/>
      <c r="AX299" s="65" t="n"/>
      <c r="AY299" s="65" t="n"/>
      <c r="AZ299" s="65" t="n"/>
      <c r="BA299" s="65" t="n"/>
      <c r="BB299" s="65" t="n"/>
      <c r="BC299" s="65" t="n"/>
      <c r="BD299" s="65" t="n"/>
      <c r="BE299" s="65" t="n"/>
      <c r="BF299" s="65" t="n"/>
      <c r="BG299" s="65" t="n"/>
    </row>
    <row r="300">
      <c r="A300" s="1" t="inlineStr">
        <is>
          <t>R4.2</t>
        </is>
      </c>
      <c r="B300" s="1" t="inlineStr">
        <is>
          <t>連坊　野崎邸</t>
        </is>
      </c>
      <c r="C300" s="1" t="inlineStr">
        <is>
          <t>サステム</t>
        </is>
      </c>
      <c r="D300" s="1" t="inlineStr">
        <is>
          <t>外壁張替</t>
        </is>
      </c>
      <c r="E300" s="68" t="inlineStr">
        <is>
          <t>1月</t>
        </is>
      </c>
      <c r="F300" s="68" t="n">
        <v>480000</v>
      </c>
      <c r="G300" s="68">
        <f>IF(B300="","",F300-I300 )</f>
        <v/>
      </c>
      <c r="H300" s="5">
        <f>IF(G300="","",G300/F300)</f>
        <v/>
      </c>
      <c r="I300" s="62">
        <f>SUM(テーブル9[[#This Row],[五大]:[工場材]])</f>
        <v/>
      </c>
      <c r="J300" s="69" t="n"/>
      <c r="K300" s="65" t="n"/>
      <c r="L300" s="65" t="n"/>
      <c r="M300" s="65" t="n"/>
      <c r="N300" s="65" t="n"/>
      <c r="O300" s="65" t="n"/>
      <c r="P300" s="65" t="n"/>
      <c r="Q300" s="65" t="n"/>
      <c r="R300" s="65" t="n"/>
      <c r="S300" s="65" t="n"/>
      <c r="T300" s="65" t="n"/>
      <c r="U300" s="69" t="n"/>
      <c r="V300" s="65" t="n"/>
      <c r="W300" s="65" t="n">
        <v>180000</v>
      </c>
      <c r="X300" s="66" t="n">
        <v>36630</v>
      </c>
      <c r="Y300" s="65" t="n"/>
      <c r="Z300" s="65" t="n"/>
      <c r="AA300" s="65" t="n"/>
      <c r="AB300" s="65" t="n"/>
      <c r="AC300" s="65" t="n"/>
      <c r="AD300" s="65" t="n"/>
      <c r="AE300" s="65" t="n"/>
      <c r="AF300" s="65" t="n"/>
      <c r="AG300" s="65" t="n"/>
      <c r="AH300" s="65" t="n"/>
      <c r="AI300" s="65" t="n"/>
      <c r="AJ300" s="65" t="n"/>
      <c r="AK300" s="65" t="n"/>
      <c r="AL300" s="65" t="n"/>
      <c r="AM300" s="65" t="n"/>
      <c r="AN300" s="65" t="n"/>
      <c r="AO300" s="69" t="n">
        <v>125000</v>
      </c>
      <c r="AP300" s="65" t="n"/>
      <c r="AQ300" s="65" t="n"/>
      <c r="AR300" s="65" t="n"/>
      <c r="AS300" s="65" t="n"/>
      <c r="AT300" s="65" t="n"/>
      <c r="AU300" s="65" t="n"/>
      <c r="AV300" s="65" t="n"/>
      <c r="AW300" s="65" t="n"/>
      <c r="AX300" s="65" t="n"/>
      <c r="AY300" s="65" t="n"/>
      <c r="AZ300" s="65">
        <f>13000*2.5</f>
        <v/>
      </c>
      <c r="BA300" s="65" t="n"/>
      <c r="BB300" s="65" t="n"/>
      <c r="BC300" s="65" t="n"/>
      <c r="BD300" s="65" t="n"/>
      <c r="BE300" s="65" t="n"/>
      <c r="BF300" s="65" t="n"/>
      <c r="BG300" s="65" t="n"/>
    </row>
    <row r="301">
      <c r="A301" s="1" t="n"/>
      <c r="E301" s="68" t="n"/>
      <c r="F301" s="75">
        <f>SUBTOTAL(109,F299:F300)</f>
        <v/>
      </c>
      <c r="G301" s="75">
        <f>SUBTOTAL(109,G299:G300)</f>
        <v/>
      </c>
      <c r="H301" s="41">
        <f>IF(G301="","",G301/F301)</f>
        <v/>
      </c>
      <c r="I301" s="75">
        <f>SUBTOTAL(109,I299:I300)</f>
        <v/>
      </c>
      <c r="J301" s="69" t="n"/>
      <c r="K301" s="65" t="n"/>
      <c r="L301" s="65" t="n"/>
      <c r="M301" s="65" t="n"/>
      <c r="N301" s="65" t="n"/>
      <c r="O301" s="65" t="n"/>
      <c r="P301" s="65" t="n"/>
      <c r="Q301" s="65" t="n"/>
      <c r="R301" s="65" t="n"/>
      <c r="S301" s="65" t="n"/>
      <c r="T301" s="65" t="n"/>
      <c r="U301" s="69" t="n"/>
      <c r="V301" s="65" t="n"/>
      <c r="W301" s="65" t="n"/>
      <c r="X301" s="66" t="n"/>
      <c r="Y301" s="65" t="n"/>
      <c r="Z301" s="65" t="n"/>
      <c r="AA301" s="65" t="n"/>
      <c r="AB301" s="65" t="n"/>
      <c r="AC301" s="65" t="n"/>
      <c r="AD301" s="65" t="n"/>
      <c r="AE301" s="65" t="n"/>
      <c r="AF301" s="65" t="n"/>
      <c r="AG301" s="65" t="n"/>
      <c r="AH301" s="65" t="n"/>
      <c r="AI301" s="65" t="n"/>
      <c r="AJ301" s="65" t="n"/>
      <c r="AK301" s="65" t="n"/>
      <c r="AL301" s="65" t="n"/>
      <c r="AM301" s="65" t="n"/>
      <c r="AN301" s="65" t="n"/>
      <c r="AO301" s="69" t="n"/>
      <c r="AP301" s="65" t="n"/>
      <c r="AQ301" s="65" t="n"/>
      <c r="AR301" s="65" t="n"/>
      <c r="AS301" s="65" t="n"/>
      <c r="AT301" s="65" t="n"/>
      <c r="AU301" s="65" t="n"/>
      <c r="AV301" s="65" t="n"/>
      <c r="AW301" s="65" t="n"/>
      <c r="AX301" s="65" t="n"/>
      <c r="AY301" s="65" t="n"/>
      <c r="AZ301" s="65" t="n"/>
      <c r="BA301" s="65" t="n"/>
      <c r="BB301" s="65" t="n"/>
      <c r="BC301" s="65" t="n"/>
      <c r="BD301" s="65" t="n"/>
      <c r="BE301" s="65" t="n"/>
      <c r="BF301" s="65" t="n"/>
      <c r="BG301" s="65" t="n"/>
    </row>
    <row r="302">
      <c r="A302" s="1" t="n"/>
      <c r="E302" s="68" t="n"/>
      <c r="F302" s="68" t="n"/>
      <c r="G302" s="68">
        <f>IF(B302="","",F302-I302 )</f>
        <v/>
      </c>
      <c r="H302" s="5">
        <f>IF(G302="","",G302/F302)</f>
        <v/>
      </c>
      <c r="J302" s="69" t="n"/>
      <c r="K302" s="65" t="n"/>
      <c r="L302" s="65" t="n"/>
      <c r="M302" s="65" t="n"/>
      <c r="N302" s="65" t="n"/>
      <c r="O302" s="65" t="n"/>
      <c r="P302" s="65" t="n"/>
      <c r="Q302" s="65" t="n"/>
      <c r="R302" s="65" t="n"/>
      <c r="S302" s="65" t="n"/>
      <c r="T302" s="65" t="n"/>
      <c r="U302" s="69" t="n"/>
      <c r="V302" s="65" t="n"/>
      <c r="W302" s="65" t="n"/>
      <c r="X302" s="66" t="n"/>
      <c r="Y302" s="65" t="n"/>
      <c r="Z302" s="65" t="n"/>
      <c r="AA302" s="65" t="n"/>
      <c r="AB302" s="65" t="n"/>
      <c r="AC302" s="65" t="n"/>
      <c r="AD302" s="65" t="n"/>
      <c r="AE302" s="65" t="n"/>
      <c r="AF302" s="65" t="n"/>
      <c r="AG302" s="65" t="n"/>
      <c r="AH302" s="65" t="n"/>
      <c r="AI302" s="65" t="n"/>
      <c r="AJ302" s="65" t="n"/>
      <c r="AK302" s="65" t="n"/>
      <c r="AL302" s="65" t="n"/>
      <c r="AM302" s="65" t="n"/>
      <c r="AN302" s="65" t="n"/>
      <c r="AO302" s="69" t="n"/>
      <c r="AP302" s="65" t="n"/>
      <c r="AQ302" s="65" t="n"/>
      <c r="AR302" s="65" t="n"/>
      <c r="AS302" s="65" t="n"/>
      <c r="AT302" s="65" t="n"/>
      <c r="AU302" s="65" t="n"/>
      <c r="AV302" s="65" t="n"/>
      <c r="AW302" s="65" t="n"/>
      <c r="AX302" s="65" t="n"/>
      <c r="AY302" s="65" t="n"/>
      <c r="AZ302" s="65" t="n"/>
      <c r="BA302" s="65" t="n"/>
      <c r="BB302" s="65" t="n"/>
      <c r="BC302" s="65" t="n"/>
      <c r="BD302" s="65" t="n"/>
      <c r="BE302" s="65" t="n"/>
      <c r="BF302" s="65" t="n"/>
      <c r="BG302" s="65" t="n"/>
    </row>
    <row r="303">
      <c r="A303" s="1" t="inlineStr">
        <is>
          <t>R4.3</t>
        </is>
      </c>
      <c r="B303" s="1" t="inlineStr">
        <is>
          <t>ハイツAB</t>
        </is>
      </c>
      <c r="C303" s="1" t="inlineStr">
        <is>
          <t>光和工業</t>
        </is>
      </c>
      <c r="D303" s="1" t="inlineStr">
        <is>
          <t>塗装</t>
        </is>
      </c>
      <c r="E303" s="68" t="inlineStr">
        <is>
          <t>2月-3月</t>
        </is>
      </c>
      <c r="F303" s="68">
        <f>4753000+4746000</f>
        <v/>
      </c>
      <c r="G303" s="68">
        <f>IF(B303="","",F303-I303 )</f>
        <v/>
      </c>
      <c r="H303" s="5">
        <f>IF(G303="","",G303/F303)</f>
        <v/>
      </c>
      <c r="I303" s="62">
        <f>SUM(テーブル9[[#This Row],[五大]:[工場材]])</f>
        <v/>
      </c>
      <c r="J303" s="69">
        <f>550000*2</f>
        <v/>
      </c>
      <c r="K303" s="65" t="n"/>
      <c r="L303" s="65" t="n"/>
      <c r="M303" s="65" t="n"/>
      <c r="N303" s="65" t="n"/>
      <c r="O303" s="69" t="n">
        <v>3000000</v>
      </c>
      <c r="P303" s="65" t="n"/>
      <c r="Q303" s="65" t="n"/>
      <c r="R303" s="69" t="n">
        <v>800000</v>
      </c>
      <c r="S303" s="65" t="n"/>
      <c r="T303" s="65" t="n"/>
      <c r="U303" s="69">
        <f>124000+279000+46600+31700+162500+12700</f>
        <v/>
      </c>
      <c r="V303" s="69" t="n">
        <v>500000</v>
      </c>
      <c r="W303" s="65" t="n"/>
      <c r="X303" s="66" t="n"/>
      <c r="Y303" s="65" t="n"/>
      <c r="Z303" s="65" t="n"/>
      <c r="AA303" s="65">
        <f>12000*30</f>
        <v/>
      </c>
      <c r="AB303" s="65" t="n"/>
      <c r="AC303" s="65" t="n"/>
      <c r="AD303" s="65" t="n"/>
      <c r="AE303" s="65" t="n"/>
      <c r="AF303" s="65" t="n"/>
      <c r="AG303" s="65" t="n"/>
      <c r="AH303" s="65" t="n"/>
      <c r="AI303" s="65" t="n"/>
      <c r="AJ303" s="65" t="n">
        <v>80000</v>
      </c>
      <c r="AK303" s="65" t="n"/>
      <c r="AL303" s="65" t="n"/>
      <c r="AM303" s="65" t="n"/>
      <c r="AN303" s="65" t="n"/>
      <c r="AO303" s="69" t="n"/>
      <c r="AP303" s="65" t="n"/>
      <c r="AQ303" s="65" t="n"/>
      <c r="AR303" s="65" t="n"/>
      <c r="AS303" s="65" t="n"/>
      <c r="AT303" s="65" t="n"/>
      <c r="AU303" s="65" t="n"/>
      <c r="AV303" s="65" t="n"/>
      <c r="AW303" s="65" t="n"/>
      <c r="AX303" s="65" t="n"/>
      <c r="AY303" s="65" t="n"/>
      <c r="AZ303" s="65" t="n"/>
      <c r="BA303" s="65" t="n"/>
      <c r="BB303" s="65" t="n"/>
      <c r="BC303" s="65" t="n"/>
      <c r="BD303" s="65" t="n"/>
      <c r="BE303" s="65" t="n"/>
      <c r="BF303" s="65" t="n"/>
      <c r="BG303" s="65" t="n"/>
    </row>
    <row r="304">
      <c r="B304" s="1" t="inlineStr">
        <is>
          <t>ハイツAB</t>
        </is>
      </c>
      <c r="C304" s="1" t="inlineStr">
        <is>
          <t>光和工業</t>
        </is>
      </c>
      <c r="D304" s="1" t="inlineStr">
        <is>
          <t>フェンス</t>
        </is>
      </c>
      <c r="E304" s="68" t="inlineStr">
        <is>
          <t>2月-3月</t>
        </is>
      </c>
      <c r="F304" s="68" t="n">
        <v>380000</v>
      </c>
      <c r="G304" s="68">
        <f>IF(B304="","",F304-I304 )</f>
        <v/>
      </c>
      <c r="H304" s="5">
        <f>IF(G304="","",G304/F304)</f>
        <v/>
      </c>
      <c r="I304" s="62">
        <f>SUM(テーブル9[[#This Row],[五大]:[工場材]])</f>
        <v/>
      </c>
      <c r="J304" s="69" t="n"/>
      <c r="K304" s="65" t="n"/>
      <c r="L304" s="65" t="n"/>
      <c r="M304" s="65" t="n"/>
      <c r="N304" s="65" t="n"/>
      <c r="O304" s="65" t="n"/>
      <c r="P304" s="65" t="n"/>
      <c r="Q304" s="65" t="n"/>
      <c r="R304" s="65" t="n"/>
      <c r="S304" s="65" t="n"/>
      <c r="T304" s="65" t="n"/>
      <c r="U304" s="69" t="n"/>
      <c r="V304" s="65" t="n"/>
      <c r="W304" s="65" t="n"/>
      <c r="X304" s="66" t="n"/>
      <c r="Y304" s="65" t="n"/>
      <c r="Z304" s="65" t="n"/>
      <c r="AA304" s="65" t="n"/>
      <c r="AB304" s="65" t="n"/>
      <c r="AC304" s="65" t="n"/>
      <c r="AD304" s="65" t="n"/>
      <c r="AE304" s="65" t="n"/>
      <c r="AF304" s="65" t="n"/>
      <c r="AG304" s="65" t="n"/>
      <c r="AH304" s="65" t="n"/>
      <c r="AI304" s="65" t="n"/>
      <c r="AJ304" s="65" t="n"/>
      <c r="AK304" s="65" t="n"/>
      <c r="AL304" s="65" t="n"/>
      <c r="AM304" s="65" t="n"/>
      <c r="AN304" s="65" t="n"/>
      <c r="AO304" s="69" t="n"/>
      <c r="AP304" s="65" t="n"/>
      <c r="AQ304" s="65" t="n"/>
      <c r="AR304" s="65" t="n"/>
      <c r="AS304" s="65" t="n"/>
      <c r="AT304" s="65" t="n"/>
      <c r="AU304" s="65" t="n"/>
      <c r="AV304" s="65" t="n"/>
      <c r="AW304" s="65" t="n"/>
      <c r="AX304" s="65" t="n"/>
      <c r="AY304" s="65" t="n"/>
      <c r="AZ304" s="65" t="n"/>
      <c r="BA304" s="65" t="n">
        <v>300000</v>
      </c>
      <c r="BB304" s="65" t="n"/>
      <c r="BC304" s="65" t="n"/>
      <c r="BD304" s="65" t="n"/>
      <c r="BE304" s="65" t="n"/>
      <c r="BF304" s="65" t="n"/>
      <c r="BG304" s="65" t="n"/>
    </row>
    <row r="305">
      <c r="B305" s="1" t="inlineStr">
        <is>
          <t>ハイツAB</t>
        </is>
      </c>
      <c r="C305" s="1" t="inlineStr">
        <is>
          <t>光和工業</t>
        </is>
      </c>
      <c r="D305" s="1" t="inlineStr">
        <is>
          <t>内装</t>
        </is>
      </c>
      <c r="E305" s="68" t="inlineStr">
        <is>
          <t>2月-3月</t>
        </is>
      </c>
      <c r="F305" s="68">
        <f>600000*11</f>
        <v/>
      </c>
      <c r="G305" s="68">
        <f>IF(B305="","",F305-I305 )</f>
        <v/>
      </c>
      <c r="H305" s="5">
        <f>IF(G305="","",G305/F305)</f>
        <v/>
      </c>
      <c r="I305" s="62">
        <f>SUM(テーブル9[[#This Row],[五大]:[工場材]])</f>
        <v/>
      </c>
      <c r="J305" s="69" t="n"/>
      <c r="K305" s="65" t="n"/>
      <c r="L305" s="65" t="n"/>
      <c r="M305" s="65" t="n"/>
      <c r="N305" s="65" t="n"/>
      <c r="O305" s="69" t="n">
        <v>200000</v>
      </c>
      <c r="P305" s="65" t="n"/>
      <c r="Q305" s="65" t="n"/>
      <c r="R305" s="65" t="n"/>
      <c r="S305" s="65" t="n"/>
      <c r="T305" s="65" t="n"/>
      <c r="U305" s="69" t="n"/>
      <c r="V305" s="65" t="n"/>
      <c r="W305" s="69">
        <f>290000</f>
        <v/>
      </c>
      <c r="X305" s="66" t="n">
        <v>97036</v>
      </c>
      <c r="Y305" s="65" t="n"/>
      <c r="Z305" s="65" t="n"/>
      <c r="AA305" s="69" t="n">
        <v>20000</v>
      </c>
      <c r="AB305" s="65">
        <f>920000-AB306</f>
        <v/>
      </c>
      <c r="AC305" s="65" t="n"/>
      <c r="AD305" s="65" t="n"/>
      <c r="AE305" s="69" t="n">
        <v>888200</v>
      </c>
      <c r="AF305" s="69" t="n"/>
      <c r="AG305" s="65" t="n"/>
      <c r="AH305" s="69">
        <f>120000*11</f>
        <v/>
      </c>
      <c r="AI305" s="65" t="n"/>
      <c r="AJ305" s="65">
        <f>13000*11</f>
        <v/>
      </c>
      <c r="AK305" s="65" t="n"/>
      <c r="AL305" s="65" t="n"/>
      <c r="AM305" s="65" t="n"/>
      <c r="AN305" s="65" t="n"/>
      <c r="AO305" s="69">
        <f>928000+77000</f>
        <v/>
      </c>
      <c r="AP305" s="65" t="n"/>
      <c r="AQ305" s="65" t="n"/>
      <c r="AR305" s="65" t="n"/>
      <c r="AS305" s="65" t="n"/>
      <c r="AT305" s="65" t="n"/>
      <c r="AU305" s="65" t="n"/>
      <c r="AV305" s="65" t="n"/>
      <c r="AW305" s="65" t="n"/>
      <c r="AX305" s="65" t="n"/>
      <c r="AY305" s="65" t="n"/>
      <c r="AZ305" s="65" t="n"/>
      <c r="BA305" s="65" t="n"/>
      <c r="BB305" s="65" t="n"/>
      <c r="BC305" s="65" t="n"/>
      <c r="BD305" s="65" t="n"/>
      <c r="BE305" s="65" t="n"/>
      <c r="BF305" s="65" t="n"/>
      <c r="BG305" s="65">
        <f>80000</f>
        <v/>
      </c>
    </row>
    <row r="306">
      <c r="B306" s="1" t="inlineStr">
        <is>
          <t>ハイツAB</t>
        </is>
      </c>
      <c r="C306" s="1" t="inlineStr">
        <is>
          <t>光和工業</t>
        </is>
      </c>
      <c r="D306" s="1" t="inlineStr">
        <is>
          <t>メーター交換</t>
        </is>
      </c>
      <c r="E306" s="68" t="inlineStr">
        <is>
          <t>2月-3月</t>
        </is>
      </c>
      <c r="F306" s="68" t="n">
        <v>880000</v>
      </c>
      <c r="G306" s="68">
        <f>IF(B306="","",F306-I306 )</f>
        <v/>
      </c>
      <c r="H306" s="5">
        <f>IF(G306="","",G306/F306)</f>
        <v/>
      </c>
      <c r="I306" s="62">
        <f>SUM(テーブル9[[#This Row],[五大]:[工場材]])</f>
        <v/>
      </c>
      <c r="J306" s="69" t="n"/>
      <c r="K306" s="65" t="n"/>
      <c r="L306" s="65" t="n"/>
      <c r="M306" s="65" t="n"/>
      <c r="N306" s="65" t="n"/>
      <c r="O306" s="65" t="n"/>
      <c r="P306" s="65" t="n"/>
      <c r="Q306" s="65" t="n"/>
      <c r="R306" s="65" t="n"/>
      <c r="S306" s="65" t="n"/>
      <c r="T306" s="65" t="n"/>
      <c r="U306" s="69" t="n"/>
      <c r="V306" s="65" t="n"/>
      <c r="W306" s="65" t="n"/>
      <c r="X306" s="66" t="n"/>
      <c r="Y306" s="65" t="n"/>
      <c r="Z306" s="65" t="n"/>
      <c r="AA306" s="65" t="n"/>
      <c r="AB306" s="69" t="n">
        <v>615978</v>
      </c>
      <c r="AC306" s="65" t="n"/>
      <c r="AD306" s="65" t="n"/>
      <c r="AE306" s="65" t="n"/>
      <c r="AF306" s="65" t="n"/>
      <c r="AG306" s="65" t="n"/>
      <c r="AH306" s="65" t="n"/>
      <c r="AI306" s="65" t="n"/>
      <c r="AJ306" s="65" t="n"/>
      <c r="AK306" s="65" t="n"/>
      <c r="AL306" s="65" t="n"/>
      <c r="AM306" s="65" t="n"/>
      <c r="AN306" s="65" t="n"/>
      <c r="AO306" s="69" t="n"/>
      <c r="AP306" s="65" t="n"/>
      <c r="AQ306" s="65" t="n"/>
      <c r="AR306" s="65" t="n"/>
      <c r="AS306" s="65" t="n"/>
      <c r="AT306" s="65" t="n"/>
      <c r="AU306" s="65" t="n"/>
      <c r="AV306" s="65" t="n"/>
      <c r="AW306" s="65" t="n"/>
      <c r="AX306" s="65" t="n"/>
      <c r="AY306" s="65" t="n"/>
      <c r="AZ306" s="65" t="n"/>
      <c r="BA306" s="65" t="n"/>
      <c r="BB306" s="65" t="n"/>
      <c r="BC306" s="65" t="n"/>
      <c r="BD306" s="65" t="n"/>
      <c r="BE306" s="65" t="n"/>
      <c r="BF306" s="65" t="n"/>
      <c r="BG306" s="65" t="n"/>
      <c r="BH306" s="62">
        <f>SUM(G303:G306)</f>
        <v/>
      </c>
    </row>
    <row r="307">
      <c r="B307" s="1" t="inlineStr">
        <is>
          <t>うさちゃん　茂庭倉庫</t>
        </is>
      </c>
      <c r="C307" s="1" t="inlineStr">
        <is>
          <t>一心</t>
        </is>
      </c>
      <c r="D307" s="1" t="inlineStr">
        <is>
          <t>外壁工事</t>
        </is>
      </c>
      <c r="E307" s="68" t="inlineStr">
        <is>
          <t>2月</t>
        </is>
      </c>
      <c r="F307" s="68" t="n">
        <v>381000</v>
      </c>
      <c r="G307" s="68">
        <f>IF(B307="","",F307-I307 )</f>
        <v/>
      </c>
      <c r="H307" s="5">
        <f>IF(G307="","",G307/F307)</f>
        <v/>
      </c>
      <c r="I307" s="62">
        <f>SUM(テーブル9[[#This Row],[五大]:[工場材]])</f>
        <v/>
      </c>
      <c r="J307" s="69" t="n">
        <v>50000</v>
      </c>
      <c r="K307" s="65" t="n"/>
      <c r="L307" s="65" t="n"/>
      <c r="M307" s="65" t="n"/>
      <c r="N307" s="65" t="n"/>
      <c r="O307" s="65" t="n">
        <v>30000</v>
      </c>
      <c r="P307" s="65" t="n"/>
      <c r="Q307" s="65" t="n"/>
      <c r="R307" s="65" t="n"/>
      <c r="S307" s="65" t="n"/>
      <c r="T307" s="65" t="n"/>
      <c r="U307" s="69" t="n"/>
      <c r="V307" s="65" t="n"/>
      <c r="W307" s="69" t="n">
        <v>80000</v>
      </c>
      <c r="X307" s="66" t="n">
        <v>27559</v>
      </c>
      <c r="Y307" s="65" t="n"/>
      <c r="Z307" s="65" t="n"/>
      <c r="AA307" s="65" t="n"/>
      <c r="AB307" s="65" t="n"/>
      <c r="AC307" s="65" t="n"/>
      <c r="AD307" s="65" t="n"/>
      <c r="AE307" s="65" t="n"/>
      <c r="AF307" s="65" t="n"/>
      <c r="AG307" s="65" t="n"/>
      <c r="AH307" s="65" t="n"/>
      <c r="AI307" s="65" t="n"/>
      <c r="AJ307" s="65" t="n"/>
      <c r="AK307" s="65" t="n"/>
      <c r="AL307" s="65" t="n"/>
      <c r="AM307" s="65" t="n"/>
      <c r="AN307" s="65" t="n"/>
      <c r="AO307" s="69" t="n">
        <v>32000</v>
      </c>
      <c r="AP307" s="65" t="n"/>
      <c r="AQ307" s="65" t="n"/>
      <c r="AR307" s="65" t="n"/>
      <c r="AS307" s="65" t="n"/>
      <c r="AT307" s="65" t="n"/>
      <c r="AU307" s="65" t="n"/>
      <c r="AV307" s="65" t="n"/>
      <c r="AW307" s="65" t="n"/>
      <c r="AX307" s="65" t="n"/>
      <c r="AY307" s="65" t="n"/>
      <c r="AZ307" s="65" t="n"/>
      <c r="BA307" s="65" t="n"/>
      <c r="BB307" s="65" t="n"/>
      <c r="BC307" s="65" t="n"/>
      <c r="BD307" s="65" t="n"/>
      <c r="BE307" s="65" t="n"/>
      <c r="BF307" s="65" t="n"/>
      <c r="BG307" s="65" t="n"/>
    </row>
    <row r="308">
      <c r="F308" s="75">
        <f>SUBTOTAL(109,F303:F307)</f>
        <v/>
      </c>
      <c r="G308" s="75">
        <f>SUBTOTAL(109,G303:G307)</f>
        <v/>
      </c>
      <c r="H308" s="41">
        <f>IF(G308="","",G308/F308)</f>
        <v/>
      </c>
      <c r="I308" s="75">
        <f>SUBTOTAL(109,I303:I307)</f>
        <v/>
      </c>
      <c r="J308" s="69" t="n"/>
      <c r="K308" s="65" t="n"/>
      <c r="L308" s="65" t="n"/>
      <c r="M308" s="65" t="n"/>
      <c r="N308" s="65" t="n"/>
      <c r="O308" s="65" t="n"/>
      <c r="P308" s="65" t="n"/>
      <c r="Q308" s="65" t="n"/>
      <c r="R308" s="65" t="n"/>
      <c r="S308" s="65" t="n"/>
      <c r="T308" s="65" t="n"/>
      <c r="U308" s="69" t="n"/>
      <c r="V308" s="65" t="n"/>
      <c r="W308" s="69" t="n"/>
      <c r="X308" s="66" t="n"/>
      <c r="Y308" s="65" t="n"/>
      <c r="Z308" s="65" t="n"/>
      <c r="AA308" s="65" t="n"/>
      <c r="AB308" s="65" t="n"/>
      <c r="AC308" s="65" t="n"/>
      <c r="AD308" s="65" t="n"/>
      <c r="AE308" s="65" t="n"/>
      <c r="AF308" s="65" t="n"/>
      <c r="AG308" s="65" t="n"/>
      <c r="AH308" s="65" t="n"/>
      <c r="AI308" s="65" t="n"/>
      <c r="AJ308" s="65" t="n"/>
      <c r="AK308" s="65" t="n"/>
      <c r="AL308" s="65" t="n"/>
      <c r="AM308" s="65" t="n"/>
      <c r="AN308" s="65" t="n"/>
      <c r="AO308" s="69" t="n"/>
      <c r="AP308" s="65" t="n"/>
      <c r="AQ308" s="65" t="n"/>
      <c r="AR308" s="65" t="n"/>
      <c r="AS308" s="65" t="n"/>
      <c r="AT308" s="65" t="n"/>
      <c r="AU308" s="65" t="n"/>
      <c r="AV308" s="65" t="n"/>
      <c r="AW308" s="65" t="n"/>
      <c r="AX308" s="65" t="n"/>
      <c r="AY308" s="65" t="n"/>
      <c r="AZ308" s="65" t="n"/>
      <c r="BA308" s="65" t="n"/>
      <c r="BB308" s="65" t="n"/>
      <c r="BC308" s="65" t="n"/>
      <c r="BD308" s="65" t="n"/>
      <c r="BE308" s="65" t="n"/>
      <c r="BF308" s="65" t="n"/>
      <c r="BG308" s="65" t="n"/>
    </row>
    <row r="309">
      <c r="F309" s="68" t="n"/>
      <c r="G309" s="68">
        <f>IF(B309="","",F309-I309 )</f>
        <v/>
      </c>
      <c r="H309" s="5">
        <f>IF(G309="","",G309/F309)</f>
        <v/>
      </c>
      <c r="J309" s="69" t="n"/>
      <c r="K309" s="65" t="n"/>
      <c r="L309" s="65" t="n"/>
      <c r="M309" s="65" t="n"/>
      <c r="N309" s="65" t="n"/>
      <c r="O309" s="65" t="n"/>
      <c r="P309" s="65" t="n"/>
      <c r="Q309" s="65" t="n"/>
      <c r="R309" s="65" t="n"/>
      <c r="S309" s="65" t="n"/>
      <c r="T309" s="65" t="n"/>
      <c r="U309" s="69" t="n"/>
      <c r="V309" s="65" t="n"/>
      <c r="W309" s="69" t="n"/>
      <c r="X309" s="66" t="n"/>
      <c r="Y309" s="65" t="n"/>
      <c r="Z309" s="65" t="n"/>
      <c r="AA309" s="65" t="n"/>
      <c r="AB309" s="65" t="n"/>
      <c r="AC309" s="65" t="n"/>
      <c r="AD309" s="65" t="n"/>
      <c r="AE309" s="65" t="n"/>
      <c r="AF309" s="65" t="n"/>
      <c r="AG309" s="65" t="n"/>
      <c r="AH309" s="65" t="n"/>
      <c r="AI309" s="65" t="n"/>
      <c r="AJ309" s="65" t="n"/>
      <c r="AK309" s="65" t="n"/>
      <c r="AL309" s="65" t="n"/>
      <c r="AM309" s="65" t="n"/>
      <c r="AN309" s="65" t="n"/>
      <c r="AO309" s="65" t="n"/>
      <c r="AP309" s="65" t="n"/>
      <c r="AQ309" s="65" t="n"/>
      <c r="AR309" s="65" t="n"/>
      <c r="AS309" s="65" t="n"/>
      <c r="AT309" s="65" t="n"/>
      <c r="AU309" s="65" t="n"/>
      <c r="AV309" s="65" t="n"/>
      <c r="AW309" s="65" t="n"/>
      <c r="AX309" s="65" t="n"/>
      <c r="AY309" s="65" t="n"/>
      <c r="AZ309" s="65" t="n"/>
      <c r="BA309" s="65" t="n"/>
      <c r="BB309" s="65" t="n"/>
      <c r="BC309" s="65" t="n"/>
      <c r="BD309" s="65" t="n"/>
      <c r="BE309" s="65" t="n"/>
      <c r="BF309" s="65" t="n"/>
      <c r="BG309" s="65" t="n"/>
    </row>
    <row r="310">
      <c r="F310" s="68" t="n"/>
      <c r="G310" s="68">
        <f>IF(B310="","",F310-I310 )</f>
        <v/>
      </c>
      <c r="H310" s="5">
        <f>IF(G310="","",G310/F310)</f>
        <v/>
      </c>
      <c r="J310" s="69" t="n"/>
      <c r="K310" s="65" t="n"/>
      <c r="L310" s="65" t="n"/>
      <c r="M310" s="65" t="n"/>
      <c r="N310" s="65" t="n"/>
      <c r="O310" s="65" t="n"/>
      <c r="P310" s="65" t="n"/>
      <c r="Q310" s="65" t="n"/>
      <c r="R310" s="65" t="n"/>
      <c r="S310" s="65" t="n"/>
      <c r="T310" s="65" t="n"/>
      <c r="U310" s="69" t="n"/>
      <c r="V310" s="65" t="n"/>
      <c r="W310" s="69" t="n"/>
      <c r="X310" s="66" t="n"/>
      <c r="Y310" s="65" t="n"/>
      <c r="Z310" s="65" t="n"/>
      <c r="AA310" s="65" t="n"/>
      <c r="AB310" s="65" t="n"/>
      <c r="AC310" s="65" t="n"/>
      <c r="AD310" s="65" t="n"/>
      <c r="AE310" s="65" t="n"/>
      <c r="AF310" s="65" t="n"/>
      <c r="AG310" s="65" t="n"/>
      <c r="AH310" s="65" t="n"/>
      <c r="AI310" s="65" t="n"/>
      <c r="AJ310" s="65" t="n"/>
      <c r="AK310" s="65" t="n"/>
      <c r="AL310" s="65" t="n"/>
      <c r="AM310" s="65" t="n"/>
      <c r="AN310" s="65" t="n"/>
      <c r="AO310" s="65" t="n"/>
      <c r="AP310" s="65" t="n"/>
      <c r="AQ310" s="65" t="n"/>
      <c r="AR310" s="65" t="n"/>
      <c r="AS310" s="65" t="n"/>
      <c r="AT310" s="65" t="n"/>
      <c r="AU310" s="65" t="n"/>
      <c r="AV310" s="65" t="n"/>
      <c r="AW310" s="65" t="n"/>
      <c r="AX310" s="65" t="n"/>
      <c r="AY310" s="65" t="n"/>
      <c r="AZ310" s="65" t="n"/>
      <c r="BA310" s="65" t="n"/>
      <c r="BB310" s="65" t="n"/>
      <c r="BC310" s="65" t="n"/>
      <c r="BD310" s="65" t="n"/>
      <c r="BE310" s="65" t="n"/>
      <c r="BF310" s="65" t="n"/>
      <c r="BG310" s="65" t="n"/>
    </row>
    <row r="311">
      <c r="A311" s="1" t="inlineStr">
        <is>
          <t>R4.4</t>
        </is>
      </c>
      <c r="B311" s="1" t="inlineStr">
        <is>
          <t>リバーシティ308　202</t>
        </is>
      </c>
      <c r="C311" s="1" t="inlineStr">
        <is>
          <t>積水不動産</t>
        </is>
      </c>
      <c r="D311" s="1" t="inlineStr">
        <is>
          <t>リノベーション</t>
        </is>
      </c>
      <c r="E311" s="2" t="inlineStr">
        <is>
          <t>3月</t>
        </is>
      </c>
      <c r="F311" s="68">
        <f>236780+66000</f>
        <v/>
      </c>
      <c r="G311" s="68">
        <f>IF(B311="","",F311-I311 )</f>
        <v/>
      </c>
      <c r="H311" s="5">
        <f>IF(G311="","",G311/F311)</f>
        <v/>
      </c>
      <c r="I311" s="62">
        <f>SUM(テーブル9[[#This Row],[五大]:[工場材]])</f>
        <v/>
      </c>
      <c r="J311" s="69" t="n"/>
      <c r="K311" s="65" t="n"/>
      <c r="L311" s="65" t="n"/>
      <c r="M311" s="65" t="n"/>
      <c r="N311" s="65" t="n"/>
      <c r="O311" s="65" t="n"/>
      <c r="P311" s="65" t="n"/>
      <c r="Q311" s="65" t="n"/>
      <c r="R311" s="65" t="n"/>
      <c r="S311" s="65" t="n"/>
      <c r="T311" s="65" t="n"/>
      <c r="U311" s="69" t="n"/>
      <c r="V311" s="65" t="n"/>
      <c r="W311" s="69" t="n">
        <v>70000</v>
      </c>
      <c r="X311" s="66" t="n">
        <v>3443</v>
      </c>
      <c r="Y311" s="65" t="n"/>
      <c r="Z311" s="65" t="n"/>
      <c r="AA311" s="69" t="n"/>
      <c r="AB311" s="65" t="n"/>
      <c r="AC311" s="65" t="n"/>
      <c r="AD311" s="65" t="n"/>
      <c r="AE311" s="65" t="n"/>
      <c r="AF311" s="65" t="n"/>
      <c r="AG311" s="65" t="n"/>
      <c r="AH311" s="65" t="n"/>
      <c r="AI311" s="65">
        <f>23000*2</f>
        <v/>
      </c>
      <c r="AJ311" s="65" t="n">
        <v>20000</v>
      </c>
      <c r="AK311" s="65" t="n"/>
      <c r="AL311" s="65" t="n"/>
      <c r="AM311" s="65" t="n"/>
      <c r="AN311" s="65" t="n"/>
      <c r="AO311" s="65" t="n"/>
      <c r="AP311" s="65" t="n"/>
      <c r="AQ311" s="65" t="n"/>
      <c r="AR311" s="65" t="n"/>
      <c r="AS311" s="65" t="n"/>
      <c r="AT311" s="65" t="n"/>
      <c r="AU311" s="65" t="n"/>
      <c r="AV311" s="65" t="n"/>
      <c r="AW311" s="65" t="n"/>
      <c r="AX311" s="65" t="n"/>
      <c r="AY311" s="65" t="n"/>
      <c r="AZ311" s="65" t="n">
        <v>4000</v>
      </c>
      <c r="BA311" s="65" t="n"/>
      <c r="BB311" s="65" t="n"/>
      <c r="BC311" s="65" t="n"/>
      <c r="BD311" s="65" t="n"/>
      <c r="BE311" s="65" t="n"/>
      <c r="BF311" s="65" t="n"/>
      <c r="BG311" s="65">
        <f>44117+6000</f>
        <v/>
      </c>
    </row>
    <row r="312">
      <c r="B312" s="1" t="inlineStr">
        <is>
          <t>フォーブル南仙台　203</t>
        </is>
      </c>
      <c r="C312" s="1" t="inlineStr">
        <is>
          <t>積水不動産</t>
        </is>
      </c>
      <c r="D312" s="1" t="inlineStr">
        <is>
          <t>リノベーション</t>
        </is>
      </c>
      <c r="E312" s="2" t="inlineStr">
        <is>
          <t>3月</t>
        </is>
      </c>
      <c r="F312" s="68" t="n">
        <v>820138</v>
      </c>
      <c r="G312" s="68">
        <f>IF(B312="","",F312-I312 )</f>
        <v/>
      </c>
      <c r="H312" s="5">
        <f>IF(G312="","",G312/F312)</f>
        <v/>
      </c>
      <c r="I312" s="62">
        <f>SUM(テーブル9[[#This Row],[五大]:[工場材]])</f>
        <v/>
      </c>
      <c r="J312" s="69" t="n"/>
      <c r="K312" s="65" t="n"/>
      <c r="L312" s="65" t="n"/>
      <c r="M312" s="65" t="n"/>
      <c r="N312" s="65" t="n"/>
      <c r="O312" s="65" t="n"/>
      <c r="P312" s="65" t="n"/>
      <c r="Q312" s="65" t="n"/>
      <c r="R312" s="65" t="n"/>
      <c r="S312" s="65" t="n"/>
      <c r="T312" s="65" t="n"/>
      <c r="U312" s="69" t="n"/>
      <c r="V312" s="65" t="n"/>
      <c r="W312" s="69" t="n">
        <v>180000</v>
      </c>
      <c r="X312" s="66">
        <f>37130/2</f>
        <v/>
      </c>
      <c r="Y312" s="65" t="n"/>
      <c r="Z312" s="65" t="n"/>
      <c r="AA312" s="69" t="n">
        <v>130000</v>
      </c>
      <c r="AB312" s="65" t="n"/>
      <c r="AC312" s="65" t="n"/>
      <c r="AD312" s="65" t="n"/>
      <c r="AE312" s="65" t="n"/>
      <c r="AF312" s="65" t="n"/>
      <c r="AG312" s="65" t="n">
        <v>150000</v>
      </c>
      <c r="AH312" s="65" t="n"/>
      <c r="AI312" s="65" t="n"/>
      <c r="AJ312" s="65">
        <f>12500</f>
        <v/>
      </c>
      <c r="AK312" s="65" t="n"/>
      <c r="AL312" s="65" t="n"/>
      <c r="AM312" s="65" t="n"/>
      <c r="AN312" s="65" t="n">
        <v>18000</v>
      </c>
      <c r="AO312" s="65" t="n"/>
      <c r="AP312" s="65" t="n"/>
      <c r="AQ312" s="65" t="n"/>
      <c r="AR312" s="65" t="n"/>
      <c r="AS312" s="65" t="n"/>
      <c r="AT312" s="65" t="n"/>
      <c r="AU312" s="65" t="n"/>
      <c r="AV312" s="65" t="n"/>
      <c r="AW312" s="65" t="n"/>
      <c r="AX312" s="65" t="n"/>
      <c r="AY312" s="65" t="n"/>
      <c r="AZ312" s="65" t="n"/>
      <c r="BA312" s="65" t="n"/>
      <c r="BB312" s="65" t="n"/>
      <c r="BC312" s="65" t="n"/>
      <c r="BD312" s="65" t="n"/>
      <c r="BE312" s="65" t="n"/>
      <c r="BF312" s="65" t="n"/>
      <c r="BG312" s="65" t="n"/>
    </row>
    <row r="313">
      <c r="B313" s="1" t="inlineStr">
        <is>
          <t>フォーブル南仙台　205</t>
        </is>
      </c>
      <c r="C313" s="1" t="inlineStr">
        <is>
          <t>積水不動産</t>
        </is>
      </c>
      <c r="D313" s="1" t="inlineStr">
        <is>
          <t>リノベーション</t>
        </is>
      </c>
      <c r="E313" s="2" t="inlineStr">
        <is>
          <t>3月</t>
        </is>
      </c>
      <c r="F313" s="68" t="n">
        <v>820138</v>
      </c>
      <c r="G313" s="68">
        <f>IF(B313="","",F313-I313 )</f>
        <v/>
      </c>
      <c r="H313" s="5">
        <f>IF(G313="","",G313/F313)</f>
        <v/>
      </c>
      <c r="I313" s="62">
        <f>SUM(テーブル9[[#This Row],[五大]:[工場材]])</f>
        <v/>
      </c>
      <c r="J313" s="69" t="n"/>
      <c r="K313" s="65" t="n"/>
      <c r="L313" s="65" t="n"/>
      <c r="M313" s="65" t="n"/>
      <c r="N313" s="65" t="n"/>
      <c r="O313" s="65" t="n"/>
      <c r="P313" s="65" t="n"/>
      <c r="Q313" s="65" t="n"/>
      <c r="R313" s="65" t="n"/>
      <c r="S313" s="65" t="n"/>
      <c r="T313" s="65" t="n"/>
      <c r="U313" s="69" t="n"/>
      <c r="V313" s="65" t="n"/>
      <c r="W313" s="69" t="n">
        <v>180000</v>
      </c>
      <c r="X313" s="66">
        <f>37130/2</f>
        <v/>
      </c>
      <c r="Y313" s="65" t="n"/>
      <c r="Z313" s="65" t="n"/>
      <c r="AA313" s="69" t="n">
        <v>130000</v>
      </c>
      <c r="AB313" s="65" t="n"/>
      <c r="AC313" s="65" t="n"/>
      <c r="AD313" s="65" t="n"/>
      <c r="AE313" s="65" t="n"/>
      <c r="AF313" s="65" t="n"/>
      <c r="AG313" s="65" t="n">
        <v>150000</v>
      </c>
      <c r="AH313" s="65" t="n"/>
      <c r="AI313" s="65" t="n"/>
      <c r="AJ313" s="65" t="n">
        <v>12500</v>
      </c>
      <c r="AK313" s="65" t="n"/>
      <c r="AL313" s="65" t="n"/>
      <c r="AM313" s="65" t="n"/>
      <c r="AN313" s="65" t="n">
        <v>18000</v>
      </c>
      <c r="AO313" s="65" t="n"/>
      <c r="AP313" s="65" t="n"/>
      <c r="AQ313" s="65" t="n"/>
      <c r="AR313" s="65" t="n"/>
      <c r="AS313" s="65" t="n"/>
      <c r="AT313" s="65" t="n"/>
      <c r="AU313" s="65" t="n"/>
      <c r="AV313" s="65" t="n"/>
      <c r="AW313" s="65" t="n"/>
      <c r="AX313" s="65" t="n"/>
      <c r="AY313" s="65" t="n"/>
      <c r="AZ313" s="65" t="n"/>
      <c r="BA313" s="65" t="n"/>
      <c r="BB313" s="65" t="n"/>
      <c r="BC313" s="65" t="n"/>
      <c r="BD313" s="65" t="n"/>
      <c r="BE313" s="65" t="n"/>
      <c r="BF313" s="65" t="n"/>
      <c r="BG313" s="65" t="n"/>
    </row>
    <row r="314">
      <c r="B314" s="1" t="inlineStr">
        <is>
          <t>卸町東テナント</t>
        </is>
      </c>
      <c r="C314" s="1" t="inlineStr">
        <is>
          <t>山一</t>
        </is>
      </c>
      <c r="D314" s="1" t="inlineStr">
        <is>
          <t>改修工事</t>
        </is>
      </c>
      <c r="E314" s="2" t="inlineStr">
        <is>
          <t>3月</t>
        </is>
      </c>
      <c r="F314" s="68">
        <f>1100000+394000+843000</f>
        <v/>
      </c>
      <c r="G314" s="68">
        <f>IF(B314="","",F314-I314 )</f>
        <v/>
      </c>
      <c r="H314" s="5">
        <f>IF(G314="","",G314/F314)</f>
        <v/>
      </c>
      <c r="I314" s="62">
        <f>SUM(テーブル9[[#This Row],[五大]:[工場材]])</f>
        <v/>
      </c>
      <c r="J314" s="69" t="n"/>
      <c r="K314" s="65" t="n"/>
      <c r="L314" s="65" t="n"/>
      <c r="M314" s="65" t="n"/>
      <c r="N314" s="65" t="n"/>
      <c r="O314" s="69" t="n">
        <v>50000</v>
      </c>
      <c r="P314" s="65" t="n"/>
      <c r="Q314" s="65" t="n"/>
      <c r="R314" s="65" t="n"/>
      <c r="S314" s="65" t="n"/>
      <c r="T314" s="65" t="n"/>
      <c r="U314" s="69" t="n"/>
      <c r="V314" s="65" t="n"/>
      <c r="W314" s="69" t="n">
        <v>50000</v>
      </c>
      <c r="X314" s="66" t="n">
        <v>12766</v>
      </c>
      <c r="Y314" s="65" t="n"/>
      <c r="Z314" s="65" t="n"/>
      <c r="AA314" s="69" t="n">
        <v>740000</v>
      </c>
      <c r="AB314" s="65" t="n"/>
      <c r="AC314" s="65" t="n"/>
      <c r="AD314" s="65" t="n"/>
      <c r="AE314" s="65">
        <f>55000+30000</f>
        <v/>
      </c>
      <c r="AF314" s="65" t="n"/>
      <c r="AG314" s="65">
        <f>167040+40250+1520+360500</f>
        <v/>
      </c>
      <c r="AH314" s="65" t="n"/>
      <c r="AI314" s="65" t="n"/>
      <c r="AJ314" s="65" t="n">
        <v>45000</v>
      </c>
      <c r="AK314" s="65" t="n"/>
      <c r="AL314" s="65" t="n"/>
      <c r="AM314" s="65" t="n"/>
      <c r="AN314" s="65" t="n">
        <v>40000</v>
      </c>
      <c r="AO314" s="65" t="n"/>
      <c r="AP314" s="65" t="n"/>
      <c r="AQ314" s="65" t="n"/>
      <c r="AR314" s="65" t="n"/>
      <c r="AS314" s="65" t="n"/>
      <c r="AT314" s="65" t="n"/>
      <c r="AU314" s="65" t="n"/>
      <c r="AV314" s="65" t="n"/>
      <c r="AW314" s="65" t="n"/>
      <c r="AX314" s="65" t="n"/>
      <c r="AY314" s="65" t="n"/>
      <c r="AZ314" s="65" t="n"/>
      <c r="BA314" s="65" t="n"/>
      <c r="BB314" s="65" t="n"/>
      <c r="BC314" s="65" t="n"/>
      <c r="BD314" s="65" t="n"/>
      <c r="BE314" s="65" t="n"/>
      <c r="BF314" s="65" t="n"/>
      <c r="BG314" s="65" t="n"/>
    </row>
    <row r="315">
      <c r="A315" s="1" t="n"/>
      <c r="B315" s="1" t="inlineStr">
        <is>
          <t>グリーンハイツA105</t>
        </is>
      </c>
      <c r="C315" s="1" t="inlineStr">
        <is>
          <t>積水不動産</t>
        </is>
      </c>
      <c r="D315" s="1" t="inlineStr">
        <is>
          <t>退去以外　リノベ金額</t>
        </is>
      </c>
      <c r="E315" s="2" t="inlineStr">
        <is>
          <t>3月</t>
        </is>
      </c>
      <c r="F315" s="68">
        <f>340550-45560</f>
        <v/>
      </c>
      <c r="G315" s="68">
        <f>IF(B315="","",F315-I315 )</f>
        <v/>
      </c>
      <c r="H315" s="5">
        <f>IF(G315="","",G315/F315)</f>
        <v/>
      </c>
      <c r="I315" s="62">
        <f>SUM(テーブル9[[#This Row],[五大]:[工場材]])</f>
        <v/>
      </c>
      <c r="J315" s="69" t="n"/>
      <c r="K315" s="65" t="n"/>
      <c r="L315" s="65" t="n"/>
      <c r="M315" s="65" t="n"/>
      <c r="N315" s="65" t="n"/>
      <c r="O315" s="65" t="n"/>
      <c r="P315" s="65" t="n"/>
      <c r="Q315" s="65" t="n"/>
      <c r="R315" s="65" t="n"/>
      <c r="S315" s="65" t="n"/>
      <c r="T315" s="65" t="n"/>
      <c r="U315" s="69" t="n"/>
      <c r="V315" s="65" t="n"/>
      <c r="W315" s="69" t="n">
        <v>60000</v>
      </c>
      <c r="X315" s="66" t="n"/>
      <c r="Y315" s="65" t="n"/>
      <c r="Z315" s="65" t="n"/>
      <c r="AA315" s="69" t="n"/>
      <c r="AB315" s="65" t="n"/>
      <c r="AC315" s="65" t="n"/>
      <c r="AD315" s="65" t="n"/>
      <c r="AE315" s="65" t="n"/>
      <c r="AF315" s="65" t="n"/>
      <c r="AG315" s="65" t="n"/>
      <c r="AH315" s="65" t="n"/>
      <c r="AI315" s="65" t="n"/>
      <c r="AJ315" s="65" t="n"/>
      <c r="AK315" s="65" t="n"/>
      <c r="AL315" s="65" t="n"/>
      <c r="AM315" s="65" t="n"/>
      <c r="AN315" s="65" t="n">
        <v>84840</v>
      </c>
      <c r="AO315" s="65" t="n"/>
      <c r="AP315" s="65" t="n"/>
      <c r="AQ315" s="65" t="n"/>
      <c r="AR315" s="65" t="n"/>
      <c r="AS315" s="65" t="n"/>
      <c r="AT315" s="65" t="n"/>
      <c r="AU315" s="65" t="n"/>
      <c r="AV315" s="65" t="n"/>
      <c r="AW315" s="65" t="n"/>
      <c r="AX315" s="65" t="n"/>
      <c r="AY315" s="65" t="n"/>
      <c r="AZ315" s="65" t="n"/>
      <c r="BA315" s="65" t="n"/>
      <c r="BB315" s="65" t="n"/>
      <c r="BC315" s="65" t="n"/>
      <c r="BD315" s="65" t="n"/>
      <c r="BE315" s="65" t="n"/>
      <c r="BF315" s="65" t="n"/>
      <c r="BG315" s="65">
        <f>3000+5000+5000</f>
        <v/>
      </c>
    </row>
    <row r="316">
      <c r="A316" s="1" t="n"/>
      <c r="F316" s="75">
        <f>SUBTOTAL(109,F311:F315)</f>
        <v/>
      </c>
      <c r="G316" s="75">
        <f>SUBTOTAL(109,G311:G315)</f>
        <v/>
      </c>
      <c r="H316" s="41">
        <f>IF(G316="","",G316/F316)</f>
        <v/>
      </c>
      <c r="I316" s="75">
        <f>SUBTOTAL(109,I311:I315)</f>
        <v/>
      </c>
      <c r="J316" s="69" t="n"/>
      <c r="K316" s="65" t="n"/>
      <c r="L316" s="65" t="n"/>
      <c r="M316" s="65" t="n"/>
      <c r="N316" s="65" t="n"/>
      <c r="O316" s="65" t="n"/>
      <c r="P316" s="65" t="n"/>
      <c r="Q316" s="65" t="n"/>
      <c r="R316" s="65" t="n"/>
      <c r="S316" s="65" t="n"/>
      <c r="T316" s="65" t="n"/>
      <c r="U316" s="69" t="n"/>
      <c r="V316" s="65" t="n"/>
      <c r="W316" s="69" t="n"/>
      <c r="X316" s="66" t="n"/>
      <c r="Y316" s="65" t="n"/>
      <c r="Z316" s="65" t="n"/>
      <c r="AA316" s="69" t="n"/>
      <c r="AB316" s="65" t="n"/>
      <c r="AC316" s="65" t="n"/>
      <c r="AD316" s="65" t="n"/>
      <c r="AE316" s="65" t="n"/>
      <c r="AF316" s="65" t="n"/>
      <c r="AG316" s="65" t="n"/>
      <c r="AH316" s="65" t="n"/>
      <c r="AI316" s="65" t="n"/>
      <c r="AJ316" s="65" t="n"/>
      <c r="AK316" s="65" t="n"/>
      <c r="AL316" s="65" t="n"/>
      <c r="AM316" s="65" t="n"/>
      <c r="AN316" s="65" t="n"/>
      <c r="AO316" s="65" t="n"/>
      <c r="AP316" s="65" t="n"/>
      <c r="AQ316" s="65" t="n"/>
      <c r="AR316" s="65" t="n"/>
      <c r="AS316" s="65" t="n"/>
      <c r="AT316" s="65" t="n"/>
      <c r="AU316" s="65" t="n"/>
      <c r="AV316" s="65" t="n"/>
      <c r="AW316" s="65" t="n"/>
      <c r="AX316" s="65" t="n"/>
      <c r="AY316" s="65" t="n"/>
      <c r="AZ316" s="65" t="n"/>
      <c r="BA316" s="65" t="n"/>
      <c r="BB316" s="65" t="n"/>
      <c r="BC316" s="65" t="n"/>
      <c r="BD316" s="65" t="n"/>
      <c r="BE316" s="65" t="n"/>
      <c r="BF316" s="65" t="n"/>
      <c r="BG316" s="65" t="n"/>
    </row>
    <row r="317">
      <c r="A317" s="1" t="n"/>
      <c r="F317" s="68" t="n"/>
      <c r="G317" s="68">
        <f>IF(B317="","",F317-I317 )</f>
        <v/>
      </c>
      <c r="H317" s="5">
        <f>IF(G317="","",G317/F317)</f>
        <v/>
      </c>
      <c r="J317" s="69" t="n"/>
      <c r="K317" s="65" t="n"/>
      <c r="L317" s="65" t="n"/>
      <c r="M317" s="65" t="n"/>
      <c r="N317" s="65" t="n"/>
      <c r="O317" s="65" t="n"/>
      <c r="P317" s="65" t="n"/>
      <c r="Q317" s="65" t="n"/>
      <c r="R317" s="65" t="n"/>
      <c r="S317" s="65" t="n"/>
      <c r="T317" s="65" t="n"/>
      <c r="U317" s="69" t="n"/>
      <c r="V317" s="65" t="n"/>
      <c r="W317" s="69" t="n"/>
      <c r="X317" s="66" t="n"/>
      <c r="Y317" s="65" t="n"/>
      <c r="Z317" s="65" t="n"/>
      <c r="AA317" s="69" t="n"/>
      <c r="AB317" s="65" t="n"/>
      <c r="AC317" s="65" t="n"/>
      <c r="AD317" s="65" t="n"/>
      <c r="AE317" s="65" t="n"/>
      <c r="AF317" s="65" t="n"/>
      <c r="AG317" s="65" t="n"/>
      <c r="AH317" s="65" t="n"/>
      <c r="AI317" s="65" t="n"/>
      <c r="AJ317" s="65" t="n"/>
      <c r="AK317" s="65" t="n"/>
      <c r="AL317" s="65" t="n"/>
      <c r="AM317" s="65" t="n"/>
      <c r="AN317" s="65" t="n"/>
      <c r="AO317" s="65" t="n"/>
      <c r="AP317" s="65" t="n"/>
      <c r="AQ317" s="65" t="n"/>
      <c r="AR317" s="65" t="n"/>
      <c r="AS317" s="65" t="n"/>
      <c r="AT317" s="65" t="n"/>
      <c r="AU317" s="65" t="n"/>
      <c r="AV317" s="65" t="n"/>
      <c r="AW317" s="65" t="n"/>
      <c r="AX317" s="65" t="n"/>
      <c r="AY317" s="65" t="n"/>
      <c r="AZ317" s="65" t="n"/>
      <c r="BA317" s="65" t="n"/>
      <c r="BB317" s="65" t="n"/>
      <c r="BC317" s="65" t="n"/>
      <c r="BD317" s="65" t="n"/>
      <c r="BE317" s="65" t="n"/>
      <c r="BF317" s="65" t="n"/>
      <c r="BG317" s="65" t="n"/>
    </row>
    <row r="318">
      <c r="A318" s="1" t="inlineStr">
        <is>
          <t>R4.5</t>
        </is>
      </c>
      <c r="B318" s="1" t="inlineStr">
        <is>
          <t>利府　大竹邸</t>
        </is>
      </c>
      <c r="C318" s="1" t="inlineStr">
        <is>
          <t>LIXIL</t>
        </is>
      </c>
      <c r="D318" s="1" t="inlineStr">
        <is>
          <t>UB・トイレ交換</t>
        </is>
      </c>
      <c r="E318" s="2" t="inlineStr">
        <is>
          <t>4月</t>
        </is>
      </c>
      <c r="F318" s="68" t="n">
        <v>317034</v>
      </c>
      <c r="G318" s="68">
        <f>IF(B318="","",F318-I318 )</f>
        <v/>
      </c>
      <c r="H318" s="5">
        <f>IF(G318="","",G318/F318)</f>
        <v/>
      </c>
      <c r="I318" s="62">
        <f>SUM(テーブル9[[#This Row],[五大]:[工場材]])</f>
        <v/>
      </c>
      <c r="J318" s="69" t="n"/>
      <c r="K318" s="65" t="n"/>
      <c r="L318" s="65" t="n"/>
      <c r="M318" s="65" t="n"/>
      <c r="N318" s="65" t="n"/>
      <c r="O318" s="65" t="n"/>
      <c r="P318" s="65" t="n"/>
      <c r="Q318" s="65" t="n"/>
      <c r="R318" s="65" t="n"/>
      <c r="S318" s="65" t="n"/>
      <c r="T318" s="65" t="n"/>
      <c r="U318" s="69" t="n"/>
      <c r="V318" s="65" t="n"/>
      <c r="W318" s="69" t="n">
        <v>80000</v>
      </c>
      <c r="X318" s="66" t="n">
        <v>28370</v>
      </c>
      <c r="Y318" s="65" t="n"/>
      <c r="Z318" s="65" t="n"/>
      <c r="AA318" s="69" t="n"/>
      <c r="AB318" s="65" t="n">
        <v>98000</v>
      </c>
      <c r="AC318" s="65" t="n"/>
      <c r="AD318" s="65" t="n"/>
      <c r="AE318" s="65" t="n"/>
      <c r="AF318" s="65" t="n"/>
      <c r="AG318" s="65" t="n"/>
      <c r="AH318" s="65" t="n"/>
      <c r="AI318" s="65" t="n">
        <v>50000</v>
      </c>
      <c r="AJ318" s="65" t="n"/>
      <c r="AK318" s="65" t="n"/>
      <c r="AL318" s="65" t="n"/>
      <c r="AM318" s="65" t="n"/>
      <c r="AN318" s="65" t="n"/>
      <c r="AO318" s="65" t="n"/>
      <c r="AP318" s="65" t="n"/>
      <c r="AQ318" s="65" t="n"/>
      <c r="AR318" s="65" t="n"/>
      <c r="AS318" s="65" t="n"/>
      <c r="AT318" s="65" t="n"/>
      <c r="AU318" s="65" t="n"/>
      <c r="AV318" s="65" t="n"/>
      <c r="AW318" s="65" t="n"/>
      <c r="AX318" s="65" t="n"/>
      <c r="AY318" s="65" t="n"/>
      <c r="AZ318" s="65" t="n"/>
      <c r="BA318" s="65" t="n"/>
      <c r="BB318" s="65" t="n"/>
      <c r="BC318" s="65" t="n"/>
      <c r="BD318" s="65" t="n"/>
      <c r="BE318" s="65" t="n"/>
      <c r="BF318" s="65" t="n"/>
      <c r="BG318" s="65" t="n"/>
    </row>
    <row r="319">
      <c r="B319" s="1" t="inlineStr">
        <is>
          <t>レーベンハウス205</t>
        </is>
      </c>
      <c r="C319" s="1" t="inlineStr">
        <is>
          <t>積水不動産</t>
        </is>
      </c>
      <c r="D319" s="1" t="inlineStr">
        <is>
          <t>リノベーション</t>
        </is>
      </c>
      <c r="E319" s="2" t="inlineStr">
        <is>
          <t>4月-5月</t>
        </is>
      </c>
      <c r="F319" s="68">
        <f>662252+326000</f>
        <v/>
      </c>
      <c r="G319" s="68">
        <f>IF(B319="","",F319-I319 )</f>
        <v/>
      </c>
      <c r="H319" s="5">
        <f>IF(G319="","",G319/F319)</f>
        <v/>
      </c>
      <c r="I319" s="62">
        <f>SUM(テーブル9[[#This Row],[五大]:[工場材]])</f>
        <v/>
      </c>
      <c r="J319" s="69" t="n"/>
      <c r="K319" s="65" t="n"/>
      <c r="L319" s="65" t="n"/>
      <c r="M319" s="65" t="n"/>
      <c r="N319" s="65" t="n"/>
      <c r="O319" s="69" t="n"/>
      <c r="P319" s="65" t="n"/>
      <c r="Q319" s="65" t="n"/>
      <c r="R319" s="65" t="n"/>
      <c r="S319" s="65" t="n"/>
      <c r="T319" s="65" t="n"/>
      <c r="U319" s="69" t="n"/>
      <c r="V319" s="65" t="n"/>
      <c r="W319" s="69" t="n">
        <v>300000</v>
      </c>
      <c r="X319" s="66" t="n">
        <v>68977</v>
      </c>
      <c r="Y319" s="65" t="n"/>
      <c r="Z319" s="65" t="n"/>
      <c r="AA319" s="73" t="n">
        <v>15000</v>
      </c>
      <c r="AB319" s="65" t="n"/>
      <c r="AC319" s="65" t="n"/>
      <c r="AD319" s="65" t="n"/>
      <c r="AE319" s="65">
        <f>52000*0.8</f>
        <v/>
      </c>
      <c r="AF319" s="65" t="n"/>
      <c r="AG319" s="65" t="n"/>
      <c r="AH319" s="65">
        <f>146000+20000+150000</f>
        <v/>
      </c>
      <c r="AI319" s="65" t="n"/>
      <c r="AJ319" s="65" t="n">
        <v>23000</v>
      </c>
      <c r="AK319" s="65" t="n"/>
      <c r="AL319" s="65" t="n"/>
      <c r="AM319" s="65" t="n"/>
      <c r="AN319" s="65" t="n"/>
      <c r="AO319" s="65" t="n"/>
      <c r="AP319" s="65" t="n"/>
      <c r="AQ319" s="65" t="n"/>
      <c r="AR319" s="65" t="n"/>
      <c r="AS319" s="65" t="n"/>
      <c r="AT319" s="65" t="n"/>
      <c r="AU319" s="65" t="n"/>
      <c r="AV319" s="65" t="n"/>
      <c r="AW319" s="65" t="n"/>
      <c r="AX319" s="65" t="n"/>
      <c r="AY319" s="65" t="n"/>
      <c r="AZ319" s="65" t="n"/>
      <c r="BA319" s="65" t="n"/>
      <c r="BB319" s="65" t="n"/>
      <c r="BC319" s="65" t="n"/>
      <c r="BD319" s="65" t="n"/>
      <c r="BE319" s="65" t="n"/>
      <c r="BF319" s="65" t="n"/>
      <c r="BG319" s="65" t="n">
        <v>60000</v>
      </c>
    </row>
    <row r="320">
      <c r="B320" s="1" t="inlineStr">
        <is>
          <t>みはるヴィラ</t>
        </is>
      </c>
      <c r="C320" s="1" t="inlineStr">
        <is>
          <t>山一</t>
        </is>
      </c>
      <c r="D320" s="1" t="inlineStr">
        <is>
          <t>塗装</t>
        </is>
      </c>
      <c r="E320" s="2" t="inlineStr">
        <is>
          <t>4月</t>
        </is>
      </c>
      <c r="F320" s="68" t="n">
        <v>2360000</v>
      </c>
      <c r="G320" s="68">
        <f>IF(B320="","",F320-I320 )</f>
        <v/>
      </c>
      <c r="H320" s="5">
        <f>IF(G320="","",G320/F320)</f>
        <v/>
      </c>
      <c r="I320" s="62">
        <f>SUM(テーブル9[[#This Row],[五大]:[工場材]])</f>
        <v/>
      </c>
      <c r="J320" s="69" t="n">
        <v>170000</v>
      </c>
      <c r="K320" s="65" t="n"/>
      <c r="L320" s="65" t="n"/>
      <c r="M320" s="65" t="n"/>
      <c r="N320" s="65" t="n"/>
      <c r="O320" s="69" t="n">
        <v>800000</v>
      </c>
      <c r="P320" s="65" t="n"/>
      <c r="Q320" s="65" t="n"/>
      <c r="R320" s="69" t="n">
        <v>85000</v>
      </c>
      <c r="S320" s="65" t="n"/>
      <c r="T320" s="65" t="n"/>
      <c r="U320" s="69" t="n">
        <v>160600</v>
      </c>
      <c r="V320" s="69" t="n">
        <v>209280</v>
      </c>
      <c r="W320" s="69" t="n"/>
      <c r="X320" s="66" t="n"/>
      <c r="Y320" s="65" t="n"/>
      <c r="Z320" s="65" t="n"/>
      <c r="AA320" s="69" t="n">
        <v>32000</v>
      </c>
      <c r="AB320" s="65" t="n"/>
      <c r="AC320" s="65" t="n"/>
      <c r="AD320" s="65" t="n"/>
      <c r="AE320" s="65" t="n"/>
      <c r="AF320" s="65" t="n"/>
      <c r="AG320" s="65" t="n"/>
      <c r="AH320" s="65" t="n"/>
      <c r="AI320" s="65" t="n">
        <v>420000</v>
      </c>
      <c r="AJ320" s="65" t="n"/>
      <c r="AK320" s="65" t="n"/>
      <c r="AL320" s="65" t="n"/>
      <c r="AM320" s="69" t="n">
        <v>15000</v>
      </c>
      <c r="AN320" s="65" t="n"/>
      <c r="AO320" s="65" t="n"/>
      <c r="AP320" s="65" t="n"/>
      <c r="AQ320" s="65" t="n"/>
      <c r="AR320" s="65" t="n"/>
      <c r="AS320" s="65" t="n"/>
      <c r="AT320" s="65" t="n"/>
      <c r="AU320" s="65" t="n"/>
      <c r="AV320" s="65" t="n"/>
      <c r="AW320" s="65" t="n"/>
      <c r="AX320" s="65" t="n"/>
      <c r="AY320" s="65" t="n"/>
      <c r="AZ320" s="65" t="n"/>
      <c r="BA320" s="65" t="n"/>
      <c r="BB320" s="65" t="n"/>
      <c r="BC320" s="65" t="n"/>
      <c r="BD320" s="65" t="n"/>
      <c r="BE320" s="65" t="n"/>
      <c r="BF320" s="65" t="n"/>
      <c r="BG320" s="65" t="n"/>
    </row>
    <row r="321">
      <c r="B321" s="1" t="inlineStr">
        <is>
          <t>古川戸建て</t>
        </is>
      </c>
      <c r="C321" s="1" t="inlineStr">
        <is>
          <t>サステム</t>
        </is>
      </c>
      <c r="D321" s="1" t="inlineStr">
        <is>
          <t>ユイットバス解体　処分</t>
        </is>
      </c>
      <c r="E321" s="2" t="inlineStr">
        <is>
          <t>4月</t>
        </is>
      </c>
      <c r="F321" s="68" t="n">
        <v>70000</v>
      </c>
      <c r="G321" s="68">
        <f>IF(B321="","",F321-I321 )</f>
        <v/>
      </c>
      <c r="H321" s="5">
        <f>IF(G321="","",G321/F321)</f>
        <v/>
      </c>
      <c r="I321" s="62">
        <f>SUM(テーブル9[[#This Row],[五大]:[工場材]])</f>
        <v/>
      </c>
      <c r="J321" s="69" t="n"/>
      <c r="K321" s="65" t="n"/>
      <c r="L321" s="65" t="n"/>
      <c r="M321" s="65" t="n"/>
      <c r="N321" s="65" t="n"/>
      <c r="O321" s="69" t="n"/>
      <c r="P321" s="65" t="n"/>
      <c r="Q321" s="65" t="n"/>
      <c r="R321" s="65" t="n"/>
      <c r="S321" s="65" t="n"/>
      <c r="T321" s="65" t="n"/>
      <c r="U321" s="69" t="n"/>
      <c r="V321" s="65" t="n"/>
      <c r="W321" s="69" t="n">
        <v>35000</v>
      </c>
      <c r="X321" s="66" t="n"/>
      <c r="Y321" s="65" t="n"/>
      <c r="Z321" s="65" t="n"/>
      <c r="AA321" s="69" t="n"/>
      <c r="AB321" s="65" t="n"/>
      <c r="AC321" s="65" t="n"/>
      <c r="AD321" s="65" t="n"/>
      <c r="AE321" s="65" t="n"/>
      <c r="AF321" s="65" t="n"/>
      <c r="AG321" s="65" t="n"/>
      <c r="AH321" s="65" t="n"/>
      <c r="AI321" s="65" t="n"/>
      <c r="AJ321" s="65" t="n"/>
      <c r="AK321" s="65" t="n"/>
      <c r="AL321" s="65" t="n"/>
      <c r="AM321" s="69" t="n"/>
      <c r="AN321" s="65" t="n"/>
      <c r="AO321" s="65" t="n"/>
      <c r="AP321" s="65" t="n"/>
      <c r="AQ321" s="65" t="n"/>
      <c r="AR321" s="65" t="n"/>
      <c r="AS321" s="65" t="n"/>
      <c r="AT321" s="65" t="n"/>
      <c r="AU321" s="65" t="n"/>
      <c r="AV321" s="65" t="n"/>
      <c r="AW321" s="65" t="n"/>
      <c r="AX321" s="65" t="n"/>
      <c r="AY321" s="65" t="n"/>
      <c r="AZ321" s="65">
        <f>13000*2</f>
        <v/>
      </c>
      <c r="BA321" s="65" t="n"/>
      <c r="BB321" s="65" t="n"/>
      <c r="BC321" s="65" t="n"/>
      <c r="BD321" s="65" t="n"/>
      <c r="BE321" s="65" t="n"/>
      <c r="BF321" s="65" t="n"/>
      <c r="BG321" s="65" t="n"/>
    </row>
    <row r="322">
      <c r="F322" s="75">
        <f>SUBTOTAL(109,F318:F321)</f>
        <v/>
      </c>
      <c r="G322" s="75">
        <f>SUBTOTAL(109,G318:G321)</f>
        <v/>
      </c>
      <c r="H322" s="41">
        <f>IF(G322="","",G322/F322)</f>
        <v/>
      </c>
      <c r="I322" s="75">
        <f>SUBTOTAL(109,I318:I321)</f>
        <v/>
      </c>
      <c r="J322" s="69" t="n"/>
      <c r="K322" s="65" t="n"/>
      <c r="L322" s="65" t="n"/>
      <c r="M322" s="65" t="n"/>
      <c r="N322" s="65" t="n"/>
      <c r="O322" s="69" t="n"/>
      <c r="P322" s="65" t="n"/>
      <c r="Q322" s="65" t="n"/>
      <c r="R322" s="65" t="n"/>
      <c r="S322" s="65" t="n"/>
      <c r="T322" s="65" t="n"/>
      <c r="U322" s="69" t="n"/>
      <c r="V322" s="65" t="n"/>
      <c r="W322" s="69" t="n"/>
      <c r="X322" s="66" t="n"/>
      <c r="Y322" s="65" t="n"/>
      <c r="Z322" s="65" t="n"/>
      <c r="AA322" s="69" t="n"/>
      <c r="AB322" s="65" t="n"/>
      <c r="AC322" s="65" t="n"/>
      <c r="AD322" s="65" t="n"/>
      <c r="AE322" s="65" t="n"/>
      <c r="AF322" s="65" t="n"/>
      <c r="AG322" s="65" t="n"/>
      <c r="AH322" s="65" t="n"/>
      <c r="AI322" s="65" t="n"/>
      <c r="AJ322" s="65" t="n"/>
      <c r="AK322" s="65" t="n"/>
      <c r="AL322" s="65" t="n"/>
      <c r="AM322" s="69" t="n"/>
      <c r="AN322" s="65" t="n"/>
      <c r="AO322" s="65" t="n"/>
      <c r="AP322" s="65" t="n"/>
      <c r="AQ322" s="65" t="n"/>
      <c r="AR322" s="65" t="n"/>
      <c r="AS322" s="65" t="n"/>
      <c r="AT322" s="65" t="n"/>
      <c r="AU322" s="65" t="n"/>
      <c r="AV322" s="65" t="n"/>
      <c r="AW322" s="65" t="n"/>
      <c r="AX322" s="65" t="n"/>
      <c r="AY322" s="65" t="n"/>
      <c r="AZ322" s="65" t="n"/>
      <c r="BA322" s="65" t="n"/>
      <c r="BB322" s="65" t="n"/>
      <c r="BC322" s="65" t="n"/>
      <c r="BD322" s="65" t="n"/>
      <c r="BE322" s="65" t="n"/>
      <c r="BF322" s="65" t="n"/>
      <c r="BG322" s="65" t="n"/>
    </row>
    <row r="323">
      <c r="F323" s="68" t="n"/>
      <c r="G323" s="68">
        <f>IF(B323="","",F323-I323 )</f>
        <v/>
      </c>
      <c r="H323" s="5">
        <f>IF(G323="","",G323/F323)</f>
        <v/>
      </c>
      <c r="J323" s="65" t="n"/>
      <c r="K323" s="65" t="n"/>
      <c r="L323" s="65" t="n"/>
      <c r="M323" s="65" t="n"/>
      <c r="N323" s="65" t="n"/>
      <c r="O323" s="69" t="n"/>
      <c r="P323" s="65" t="n"/>
      <c r="Q323" s="65" t="n"/>
      <c r="R323" s="65" t="n"/>
      <c r="S323" s="65" t="n"/>
      <c r="T323" s="65" t="n"/>
      <c r="U323" s="69" t="n"/>
      <c r="V323" s="65" t="n"/>
      <c r="W323" s="69" t="n"/>
      <c r="X323" s="66" t="n"/>
      <c r="Y323" s="65" t="n"/>
      <c r="Z323" s="65" t="n"/>
      <c r="AA323" s="65" t="n"/>
      <c r="AB323" s="65" t="n"/>
      <c r="AC323" s="65" t="n"/>
      <c r="AD323" s="65" t="n"/>
      <c r="AE323" s="65" t="n"/>
      <c r="AF323" s="65" t="n"/>
      <c r="AG323" s="65" t="n"/>
      <c r="AH323" s="65" t="n"/>
      <c r="AI323" s="65" t="n"/>
      <c r="AJ323" s="65" t="n"/>
      <c r="AK323" s="65" t="n"/>
      <c r="AL323" s="65" t="n"/>
      <c r="AM323" s="69" t="n"/>
      <c r="AN323" s="65" t="n"/>
      <c r="AO323" s="65" t="n"/>
      <c r="AP323" s="65" t="n"/>
      <c r="AQ323" s="65" t="n"/>
      <c r="AR323" s="65" t="n"/>
      <c r="AS323" s="65" t="n"/>
      <c r="AT323" s="65" t="n"/>
      <c r="AU323" s="65" t="n"/>
      <c r="AV323" s="65" t="n"/>
      <c r="AW323" s="65" t="n"/>
      <c r="AX323" s="65" t="n"/>
      <c r="AY323" s="65" t="n"/>
      <c r="AZ323" s="65" t="n"/>
      <c r="BA323" s="65" t="n"/>
      <c r="BB323" s="65" t="n"/>
      <c r="BC323" s="65" t="n"/>
      <c r="BD323" s="65" t="n"/>
      <c r="BE323" s="65" t="n"/>
      <c r="BF323" s="65" t="n"/>
      <c r="BG323" s="65" t="n"/>
    </row>
    <row r="324">
      <c r="A324" s="1" t="inlineStr">
        <is>
          <t>R4.6</t>
        </is>
      </c>
      <c r="B324" s="1" t="inlineStr">
        <is>
          <t>吉岡 菅原邸</t>
        </is>
      </c>
      <c r="C324" s="1" t="inlineStr">
        <is>
          <t>積水不動産</t>
        </is>
      </c>
      <c r="D324" s="1" t="inlineStr">
        <is>
          <t>塗装</t>
        </is>
      </c>
      <c r="E324" s="2" t="inlineStr">
        <is>
          <t>5月</t>
        </is>
      </c>
      <c r="F324" s="68" t="n">
        <v>1910000</v>
      </c>
      <c r="G324" s="68">
        <f>IF(B324="","",F324-I324 )</f>
        <v/>
      </c>
      <c r="H324" s="5">
        <f>IF(G324="","",G324/F324)</f>
        <v/>
      </c>
      <c r="I324" s="62">
        <f>SUM(テーブル9[[#This Row],[五大]:[工場材]])</f>
        <v/>
      </c>
      <c r="J324" s="69" t="n">
        <v>240000</v>
      </c>
      <c r="K324" s="65" t="n"/>
      <c r="L324" s="65" t="n"/>
      <c r="M324" s="65" t="n"/>
      <c r="N324" s="65" t="n"/>
      <c r="O324" s="69" t="n">
        <v>600000</v>
      </c>
      <c r="P324" s="65" t="n"/>
      <c r="Q324" s="65" t="n"/>
      <c r="R324" s="69">
        <f>175*700</f>
        <v/>
      </c>
      <c r="S324" s="65" t="n"/>
      <c r="T324" s="65" t="n"/>
      <c r="U324" s="69">
        <f>57200+120000</f>
        <v/>
      </c>
      <c r="V324" s="65" t="n"/>
      <c r="W324" s="65" t="n"/>
      <c r="X324" s="66" t="n"/>
      <c r="Y324" s="65" t="n"/>
      <c r="Z324" s="65" t="n"/>
      <c r="AA324" s="65" t="n"/>
      <c r="AB324" s="65" t="n"/>
      <c r="AC324" s="65" t="n"/>
      <c r="AD324" s="65" t="n"/>
      <c r="AE324" s="65" t="n"/>
      <c r="AF324" s="65" t="n"/>
      <c r="AG324" s="65" t="n"/>
      <c r="AH324" s="65" t="n"/>
      <c r="AI324" s="65" t="n"/>
      <c r="AJ324" s="65" t="n">
        <v>25000</v>
      </c>
      <c r="AK324" s="65" t="n"/>
      <c r="AL324" s="65" t="n"/>
      <c r="AM324" s="69" t="n">
        <v>15000</v>
      </c>
      <c r="AN324" s="65" t="n"/>
      <c r="AO324" s="65" t="n"/>
      <c r="AP324" s="65" t="n"/>
      <c r="AQ324" s="65" t="n"/>
      <c r="AR324" s="65" t="n"/>
      <c r="AS324" s="65" t="n"/>
      <c r="AT324" s="65" t="n"/>
      <c r="AU324" s="65" t="n"/>
      <c r="AV324" s="65" t="n"/>
      <c r="AW324" s="65" t="n"/>
      <c r="AX324" s="65" t="n"/>
      <c r="AY324" s="65" t="n"/>
      <c r="AZ324" s="65" t="n"/>
      <c r="BA324" s="65" t="n"/>
      <c r="BB324" s="65" t="n"/>
      <c r="BC324" s="65" t="n"/>
      <c r="BD324" s="65" t="n"/>
      <c r="BE324" s="65" t="n"/>
      <c r="BF324" s="65" t="n"/>
      <c r="BG324" s="65" t="n"/>
    </row>
    <row r="325">
      <c r="B325" s="1" t="inlineStr">
        <is>
          <t>WABE</t>
        </is>
      </c>
      <c r="C325" s="1" t="inlineStr">
        <is>
          <t>積水不動産</t>
        </is>
      </c>
      <c r="D325" s="1" t="inlineStr">
        <is>
          <t>塗装</t>
        </is>
      </c>
      <c r="E325" s="2" t="inlineStr">
        <is>
          <t>5月</t>
        </is>
      </c>
      <c r="F325" s="68" t="n">
        <v>1779000</v>
      </c>
      <c r="G325" s="68">
        <f>IF(B325="","",F325-I325 )</f>
        <v/>
      </c>
      <c r="H325" s="5">
        <f>IF(G325="","",G325/F325)</f>
        <v/>
      </c>
      <c r="I325" s="62">
        <f>SUM(テーブル9[[#This Row],[五大]:[工場材]])</f>
        <v/>
      </c>
      <c r="J325" s="69" t="n">
        <v>310000</v>
      </c>
      <c r="K325" s="65" t="n"/>
      <c r="L325" s="65" t="n"/>
      <c r="M325" s="65" t="n"/>
      <c r="N325" s="65" t="n"/>
      <c r="O325" s="69" t="n">
        <v>700000</v>
      </c>
      <c r="P325" s="65" t="n"/>
      <c r="Q325" s="65" t="n"/>
      <c r="R325" s="69">
        <f>48*700</f>
        <v/>
      </c>
      <c r="S325" s="65" t="n"/>
      <c r="T325" s="65" t="n"/>
      <c r="U325" s="69">
        <f>78400+13800</f>
        <v/>
      </c>
      <c r="V325" s="65">
        <f>SUM(テーブル9[[#This Row],[受注金額 税抜]]*0.1)</f>
        <v/>
      </c>
      <c r="W325" s="65" t="n"/>
      <c r="X325" s="66" t="n"/>
      <c r="Y325" s="65" t="n"/>
      <c r="Z325" s="65" t="n"/>
      <c r="AA325" s="65" t="n"/>
      <c r="AB325" s="65" t="n"/>
      <c r="AC325" s="65" t="n"/>
      <c r="AD325" s="65" t="n"/>
      <c r="AE325" s="65" t="n"/>
      <c r="AF325" s="65" t="n"/>
      <c r="AG325" s="65" t="n"/>
      <c r="AH325" s="65" t="n"/>
      <c r="AI325" s="65" t="n"/>
      <c r="AJ325" s="65" t="n"/>
      <c r="AK325" s="65" t="n"/>
      <c r="AL325" s="65" t="n"/>
      <c r="AM325" s="69" t="n"/>
      <c r="AN325" s="65" t="n"/>
      <c r="AO325" s="65" t="n"/>
      <c r="AP325" s="65" t="n"/>
      <c r="AQ325" s="65" t="n"/>
      <c r="AR325" s="65" t="n"/>
      <c r="AS325" s="65" t="n"/>
      <c r="AT325" s="65" t="n"/>
      <c r="AU325" s="65" t="n"/>
      <c r="AV325" s="65" t="n"/>
      <c r="AW325" s="65" t="n"/>
      <c r="AX325" s="65" t="n"/>
      <c r="AY325" s="65" t="n"/>
      <c r="AZ325" s="65" t="n"/>
      <c r="BA325" s="65" t="n"/>
      <c r="BB325" s="65" t="n"/>
      <c r="BC325" s="65" t="n"/>
      <c r="BD325" s="65" t="n"/>
      <c r="BE325" s="65" t="n"/>
      <c r="BF325" s="65" t="n"/>
      <c r="BG325" s="65" t="n"/>
    </row>
    <row r="326">
      <c r="F326" s="68" t="n"/>
      <c r="G326" s="68">
        <f>IF(B326="","",F326-I326 )</f>
        <v/>
      </c>
      <c r="H326" s="5">
        <f>IF(G326="","",G326/F326)</f>
        <v/>
      </c>
      <c r="I326" s="62">
        <f>SUM(テーブル9[[#This Row],[五大]:[工場材]])</f>
        <v/>
      </c>
      <c r="J326" s="69" t="n"/>
      <c r="K326" s="65" t="n"/>
      <c r="L326" s="65" t="n"/>
      <c r="M326" s="65" t="n"/>
      <c r="N326" s="65" t="n"/>
      <c r="O326" s="69" t="n"/>
      <c r="P326" s="65" t="n"/>
      <c r="Q326" s="65" t="n"/>
      <c r="R326" s="69" t="n"/>
      <c r="S326" s="65" t="n"/>
      <c r="T326" s="65" t="n"/>
      <c r="U326" s="69" t="n"/>
      <c r="V326" s="65" t="n"/>
      <c r="W326" s="65" t="n"/>
      <c r="X326" s="66" t="n"/>
      <c r="Y326" s="65" t="n"/>
      <c r="Z326" s="65" t="n"/>
      <c r="AA326" s="65" t="n"/>
      <c r="AB326" s="65" t="n"/>
      <c r="AC326" s="65" t="n"/>
      <c r="AD326" s="65" t="n"/>
      <c r="AE326" s="65" t="n"/>
      <c r="AF326" s="65" t="n"/>
      <c r="AG326" s="65" t="n"/>
      <c r="AH326" s="65" t="n"/>
      <c r="AI326" s="65" t="n"/>
      <c r="AJ326" s="65" t="n"/>
      <c r="AK326" s="65" t="n"/>
      <c r="AL326" s="65" t="n"/>
      <c r="AM326" s="69" t="n"/>
      <c r="AN326" s="65" t="n"/>
      <c r="AO326" s="65" t="n"/>
      <c r="AP326" s="65" t="n"/>
      <c r="AQ326" s="65" t="n"/>
      <c r="AR326" s="65" t="n"/>
      <c r="AS326" s="65" t="n"/>
      <c r="AT326" s="65" t="n"/>
      <c r="AU326" s="65" t="n"/>
      <c r="AV326" s="65" t="n"/>
      <c r="AW326" s="65" t="n"/>
      <c r="AX326" s="65" t="n"/>
      <c r="AY326" s="65" t="n"/>
      <c r="AZ326" s="65" t="n"/>
      <c r="BA326" s="65" t="n"/>
      <c r="BB326" s="65" t="n"/>
      <c r="BC326" s="65" t="n"/>
      <c r="BD326" s="65" t="n"/>
      <c r="BE326" s="65" t="n"/>
      <c r="BF326" s="65" t="n"/>
      <c r="BG326" s="65" t="n"/>
    </row>
    <row r="327">
      <c r="F327" s="68" t="n"/>
      <c r="G327" s="68">
        <f>IF(B327="","",F327-I327 )</f>
        <v/>
      </c>
      <c r="H327" s="5">
        <f>IF(G327="","",G327/F327)</f>
        <v/>
      </c>
      <c r="I327" s="62">
        <f>SUM(テーブル9[[#This Row],[五大]:[工場材]])</f>
        <v/>
      </c>
      <c r="J327" s="65" t="n"/>
      <c r="K327" s="65" t="n"/>
      <c r="L327" s="65" t="n"/>
      <c r="M327" s="65" t="n"/>
      <c r="N327" s="65" t="n"/>
      <c r="O327" s="69" t="n"/>
      <c r="P327" s="65" t="n"/>
      <c r="Q327" s="65" t="n"/>
      <c r="R327" s="69" t="n"/>
      <c r="S327" s="65" t="n"/>
      <c r="T327" s="65" t="n"/>
      <c r="U327" s="69" t="n"/>
      <c r="V327" s="65" t="n"/>
      <c r="W327" s="65" t="n"/>
      <c r="X327" s="66" t="n"/>
      <c r="Y327" s="65" t="n"/>
      <c r="Z327" s="65" t="n"/>
      <c r="AA327" s="69" t="n">
        <v>21500</v>
      </c>
      <c r="AB327" s="69" t="n"/>
      <c r="AC327" s="65" t="n"/>
      <c r="AD327" s="65" t="n"/>
      <c r="AE327" s="65" t="n"/>
      <c r="AF327" s="65" t="n"/>
      <c r="AG327" s="65" t="n"/>
      <c r="AH327" s="65" t="n"/>
      <c r="AI327" s="65" t="n"/>
      <c r="AJ327" s="65" t="n"/>
      <c r="AK327" s="65" t="n"/>
      <c r="AL327" s="65" t="n"/>
      <c r="AM327" s="65" t="n"/>
      <c r="AN327" s="65" t="n"/>
      <c r="AO327" s="65" t="n"/>
      <c r="AP327" s="65" t="n"/>
      <c r="AQ327" s="65" t="n"/>
      <c r="AR327" s="65" t="n"/>
      <c r="AS327" s="65" t="n"/>
      <c r="AT327" s="65" t="n"/>
      <c r="AU327" s="65" t="n"/>
      <c r="AV327" s="65" t="n"/>
      <c r="AW327" s="65" t="n"/>
      <c r="AX327" s="65" t="n"/>
      <c r="AY327" s="65" t="n"/>
      <c r="AZ327" s="65" t="n"/>
      <c r="BA327" s="65" t="n"/>
      <c r="BB327" s="65" t="n"/>
      <c r="BC327" s="65" t="n"/>
      <c r="BD327" s="65" t="n"/>
      <c r="BE327" s="65" t="n"/>
      <c r="BF327" s="65" t="n"/>
      <c r="BG327" s="65" t="n"/>
    </row>
    <row r="328">
      <c r="A328" s="1" t="inlineStr">
        <is>
          <t>R4.7</t>
        </is>
      </c>
      <c r="B328" s="1" t="inlineStr">
        <is>
          <t>加茂ハイツ</t>
        </is>
      </c>
      <c r="C328" s="1" t="inlineStr">
        <is>
          <t>カヤバ管材</t>
        </is>
      </c>
      <c r="D328" s="1" t="inlineStr">
        <is>
          <t>塗装</t>
        </is>
      </c>
      <c r="E328" s="2" t="inlineStr">
        <is>
          <t>6月</t>
        </is>
      </c>
      <c r="F328" s="68" t="n">
        <v>2727273</v>
      </c>
      <c r="G328" s="68">
        <f>IF(B328="","",F328-I328 )</f>
        <v/>
      </c>
      <c r="H328" s="5">
        <f>IF(G328="","",G328/F328)</f>
        <v/>
      </c>
      <c r="I328" s="62">
        <f>SUM(テーブル9[[#This Row],[五大]:[工場材]])</f>
        <v/>
      </c>
      <c r="J328" s="69" t="n">
        <v>260000</v>
      </c>
      <c r="K328" s="65" t="n"/>
      <c r="L328" s="65" t="n"/>
      <c r="M328" s="65" t="n"/>
      <c r="N328" s="65" t="n"/>
      <c r="O328" s="69" t="n">
        <v>850000</v>
      </c>
      <c r="P328" s="65" t="n"/>
      <c r="Q328" s="65" t="n"/>
      <c r="R328" s="69" t="n">
        <v>240000</v>
      </c>
      <c r="S328" s="65" t="n"/>
      <c r="T328" s="65" t="n"/>
      <c r="U328" s="69" t="n">
        <v>216810</v>
      </c>
      <c r="V328" s="65" t="n"/>
      <c r="W328" s="65" t="n">
        <v>200000</v>
      </c>
      <c r="X328" s="66" t="n">
        <v>28716</v>
      </c>
      <c r="Y328" s="65" t="n"/>
      <c r="Z328" s="65" t="n"/>
      <c r="AA328" s="69" t="n">
        <v>51920</v>
      </c>
      <c r="AB328" s="69" t="n"/>
      <c r="AC328" s="65" t="n"/>
      <c r="AD328" s="65" t="n"/>
      <c r="AE328" s="65" t="n"/>
      <c r="AF328" s="65" t="n"/>
      <c r="AG328" s="65" t="n"/>
      <c r="AH328" s="65" t="n"/>
      <c r="AI328" s="65" t="n"/>
      <c r="AJ328" s="65" t="n"/>
      <c r="AK328" s="65" t="n"/>
      <c r="AL328" s="65" t="n"/>
      <c r="AM328" s="65" t="n"/>
      <c r="AN328" s="65" t="n"/>
      <c r="AO328" s="65" t="n"/>
      <c r="AP328" s="65" t="n"/>
      <c r="AQ328" s="65" t="n"/>
      <c r="AR328" s="65" t="n"/>
      <c r="AS328" s="65" t="n"/>
      <c r="AT328" s="65" t="n"/>
      <c r="AU328" s="65" t="n"/>
      <c r="AV328" s="65" t="n"/>
      <c r="AW328" s="65" t="n"/>
      <c r="AX328" s="65" t="n"/>
      <c r="AY328" s="65" t="n"/>
      <c r="AZ328" s="65" t="n"/>
      <c r="BA328" s="65" t="n"/>
      <c r="BB328" s="65" t="n"/>
      <c r="BC328" s="65" t="n"/>
      <c r="BD328" s="65" t="n"/>
      <c r="BE328" s="65" t="n"/>
      <c r="BF328" s="65" t="n"/>
      <c r="BG328" s="65" t="n"/>
    </row>
    <row r="329">
      <c r="B329" s="1" t="inlineStr">
        <is>
          <t>仙台医療センター</t>
        </is>
      </c>
      <c r="C329" s="1" t="inlineStr">
        <is>
          <t>サステム</t>
        </is>
      </c>
      <c r="D329" s="1" t="inlineStr">
        <is>
          <t>トイレ内装</t>
        </is>
      </c>
      <c r="E329" s="2" t="inlineStr">
        <is>
          <t>6月</t>
        </is>
      </c>
      <c r="F329" s="68" t="n">
        <v>147290</v>
      </c>
      <c r="G329" s="68">
        <f>IF(B329="","",F329-I329 )</f>
        <v/>
      </c>
      <c r="H329" s="5">
        <f>IF(G329="","",G329/F329)</f>
        <v/>
      </c>
      <c r="I329" s="62">
        <f>SUM(テーブル9[[#This Row],[五大]:[工場材]])</f>
        <v/>
      </c>
      <c r="J329" s="65" t="n"/>
      <c r="K329" s="65" t="n"/>
      <c r="L329" s="65" t="n"/>
      <c r="M329" s="65" t="n"/>
      <c r="N329" s="65" t="n"/>
      <c r="O329" s="69" t="n"/>
      <c r="P329" s="65" t="n"/>
      <c r="Q329" s="65" t="n"/>
      <c r="R329" s="65" t="n"/>
      <c r="S329" s="65" t="n"/>
      <c r="T329" s="65" t="n"/>
      <c r="U329" s="69" t="n"/>
      <c r="V329" s="65" t="n"/>
      <c r="W329" s="65" t="n">
        <v>40000</v>
      </c>
      <c r="X329" s="66" t="n"/>
      <c r="Y329" s="65" t="n"/>
      <c r="Z329" s="65" t="n"/>
      <c r="AA329" s="69" t="n"/>
      <c r="AB329" s="69" t="n">
        <v>44000</v>
      </c>
      <c r="AC329" s="65" t="n"/>
      <c r="AD329" s="65" t="n"/>
      <c r="AE329" s="65" t="n"/>
      <c r="AF329" s="65" t="n"/>
      <c r="AG329" s="65" t="n"/>
      <c r="AH329" s="65" t="n"/>
      <c r="AI329" s="65" t="n">
        <v>18000</v>
      </c>
      <c r="AJ329" s="65" t="n"/>
      <c r="AK329" s="65" t="n"/>
      <c r="AL329" s="65" t="n"/>
      <c r="AM329" s="65" t="n"/>
      <c r="AN329" s="65" t="n"/>
      <c r="AO329" s="65" t="n"/>
      <c r="AP329" s="65" t="n"/>
      <c r="AQ329" s="65" t="n"/>
      <c r="AR329" s="65" t="n"/>
      <c r="AS329" s="65" t="n"/>
      <c r="AT329" s="65" t="n"/>
      <c r="AU329" s="65" t="n"/>
      <c r="AV329" s="65" t="n"/>
      <c r="AW329" s="65" t="n"/>
      <c r="AX329" s="65" t="n"/>
      <c r="AY329" s="65" t="n"/>
      <c r="AZ329" s="65" t="n"/>
      <c r="BA329" s="65" t="n"/>
      <c r="BB329" s="65" t="n"/>
      <c r="BC329" s="65" t="n"/>
      <c r="BD329" s="65" t="n"/>
      <c r="BE329" s="65" t="n"/>
      <c r="BF329" s="65" t="n"/>
      <c r="BG329" s="65" t="n"/>
    </row>
    <row r="330">
      <c r="B330" s="1" t="inlineStr">
        <is>
          <t>千坂邸</t>
        </is>
      </c>
      <c r="C330" s="1" t="inlineStr">
        <is>
          <t>LIXIL</t>
        </is>
      </c>
      <c r="D330" s="1" t="inlineStr">
        <is>
          <t>トイレ一次工事</t>
        </is>
      </c>
      <c r="E330" s="2" t="inlineStr">
        <is>
          <t>6月</t>
        </is>
      </c>
      <c r="F330" s="68" t="n">
        <v>44400</v>
      </c>
      <c r="G330" s="68">
        <f>IF(B330="","",F330-I330 )</f>
        <v/>
      </c>
      <c r="H330" s="5">
        <f>IF(G330="","",G330/F330)</f>
        <v/>
      </c>
      <c r="I330" s="62">
        <f>SUM(テーブル9[[#This Row],[五大]:[工場材]])</f>
        <v/>
      </c>
      <c r="J330" s="65" t="n"/>
      <c r="K330" s="65" t="n"/>
      <c r="L330" s="65" t="n"/>
      <c r="M330" s="65" t="n"/>
      <c r="N330" s="65" t="n"/>
      <c r="O330" s="69" t="n"/>
      <c r="P330" s="65" t="n"/>
      <c r="Q330" s="65" t="n"/>
      <c r="R330" s="65" t="n"/>
      <c r="S330" s="65" t="n"/>
      <c r="T330" s="65" t="n"/>
      <c r="U330" s="69" t="n"/>
      <c r="V330" s="65" t="n"/>
      <c r="W330" s="65" t="n"/>
      <c r="X330" s="66" t="n"/>
      <c r="Y330" s="65" t="n"/>
      <c r="Z330" s="65" t="n"/>
      <c r="AA330" s="69" t="n"/>
      <c r="AB330" s="69" t="n">
        <v>18000</v>
      </c>
      <c r="AC330" s="65" t="n"/>
      <c r="AD330" s="65" t="n"/>
      <c r="AE330" s="65" t="n"/>
      <c r="AF330" s="65" t="n"/>
      <c r="AG330" s="65" t="n"/>
      <c r="AH330" s="65" t="n"/>
      <c r="AI330" s="65" t="n"/>
      <c r="AJ330" s="65" t="n"/>
      <c r="AK330" s="65" t="n"/>
      <c r="AL330" s="65" t="n"/>
      <c r="AM330" s="65" t="n"/>
      <c r="AN330" s="65" t="n"/>
      <c r="AO330" s="65" t="n"/>
      <c r="AP330" s="65" t="n"/>
      <c r="AQ330" s="65" t="n"/>
      <c r="AR330" s="65" t="n"/>
      <c r="AS330" s="65" t="n"/>
      <c r="AT330" s="65" t="n"/>
      <c r="AU330" s="65" t="n"/>
      <c r="AV330" s="65" t="n"/>
      <c r="AW330" s="65" t="n"/>
      <c r="AX330" s="65" t="n"/>
      <c r="AY330" s="65" t="n"/>
      <c r="AZ330" s="65" t="n"/>
      <c r="BA330" s="65" t="n"/>
      <c r="BB330" s="65" t="n"/>
      <c r="BC330" s="65" t="n"/>
      <c r="BD330" s="65" t="n"/>
      <c r="BE330" s="65" t="n"/>
      <c r="BF330" s="65" t="n"/>
      <c r="BG330" s="65" t="n"/>
    </row>
    <row r="331">
      <c r="B331" s="1" t="inlineStr">
        <is>
          <t>寺岡　成田邸</t>
        </is>
      </c>
      <c r="C331" s="1" t="inlineStr">
        <is>
          <t>LIXIL</t>
        </is>
      </c>
      <c r="D331" s="1" t="inlineStr">
        <is>
          <t>UB工事</t>
        </is>
      </c>
      <c r="E331" s="2" t="inlineStr">
        <is>
          <t>6月</t>
        </is>
      </c>
      <c r="F331" s="68" t="n">
        <v>172000</v>
      </c>
      <c r="G331" s="68">
        <f>IF(B331="","",F331-I331 )</f>
        <v/>
      </c>
      <c r="H331" s="5">
        <f>IF(G331="","",G331/F331)</f>
        <v/>
      </c>
      <c r="I331" s="62">
        <f>SUM(テーブル9[[#This Row],[五大]:[工場材]])</f>
        <v/>
      </c>
      <c r="J331" s="65" t="n"/>
      <c r="K331" s="65" t="n"/>
      <c r="L331" s="65" t="n"/>
      <c r="M331" s="65" t="n"/>
      <c r="N331" s="65" t="n"/>
      <c r="O331" s="69" t="n"/>
      <c r="P331" s="65" t="n"/>
      <c r="Q331" s="65" t="n"/>
      <c r="R331" s="65" t="n"/>
      <c r="S331" s="65" t="n"/>
      <c r="T331" s="65" t="n"/>
      <c r="U331" s="69" t="n"/>
      <c r="V331" s="65" t="n"/>
      <c r="W331" s="65" t="n">
        <v>80000</v>
      </c>
      <c r="X331" s="66" t="n">
        <v>39638</v>
      </c>
      <c r="Y331" s="65" t="n"/>
      <c r="Z331" s="65" t="n"/>
      <c r="AA331" s="65" t="n"/>
      <c r="AB331" s="69" t="n">
        <v>65000</v>
      </c>
      <c r="AC331" s="65" t="n"/>
      <c r="AD331" s="65" t="n"/>
      <c r="AE331" s="65" t="n"/>
      <c r="AF331" s="65" t="n"/>
      <c r="AG331" s="65" t="n"/>
      <c r="AH331" s="65" t="n"/>
      <c r="AI331" s="65" t="n"/>
      <c r="AJ331" s="65" t="n"/>
      <c r="AK331" s="65" t="n"/>
      <c r="AL331" s="65" t="n"/>
      <c r="AM331" s="65" t="n"/>
      <c r="AN331" s="65" t="n"/>
      <c r="AO331" s="65" t="n"/>
      <c r="AP331" s="65" t="n"/>
      <c r="AQ331" s="65" t="n"/>
      <c r="AR331" s="65" t="n"/>
      <c r="AS331" s="65" t="n"/>
      <c r="AT331" s="65" t="n"/>
      <c r="AU331" s="65" t="n"/>
      <c r="AV331" s="65" t="n"/>
      <c r="AW331" s="65" t="n"/>
      <c r="AX331" s="65" t="n"/>
      <c r="AY331" s="65" t="n"/>
      <c r="AZ331" s="65" t="n"/>
      <c r="BA331" s="65" t="n"/>
      <c r="BB331" s="65" t="n"/>
      <c r="BC331" s="65" t="n"/>
      <c r="BD331" s="65" t="n"/>
      <c r="BE331" s="65" t="n"/>
      <c r="BF331" s="65" t="n"/>
      <c r="BG331" s="65" t="n"/>
    </row>
    <row r="332">
      <c r="F332" s="68" t="n"/>
      <c r="G332" s="68">
        <f>IF(B332="","",F332-I332 )</f>
        <v/>
      </c>
      <c r="H332" s="5">
        <f>IF(G332="","",G332/F332)</f>
        <v/>
      </c>
      <c r="J332" s="65" t="n"/>
      <c r="K332" s="65" t="n"/>
      <c r="L332" s="65" t="n"/>
      <c r="M332" s="65" t="n"/>
      <c r="N332" s="65" t="n"/>
      <c r="O332" s="69" t="n"/>
      <c r="P332" s="65" t="n"/>
      <c r="Q332" s="65" t="n"/>
      <c r="R332" s="65" t="n"/>
      <c r="S332" s="65" t="n"/>
      <c r="T332" s="65" t="n"/>
      <c r="U332" s="69" t="n"/>
      <c r="V332" s="65" t="n"/>
      <c r="W332" s="65" t="n"/>
      <c r="X332" s="66" t="n"/>
      <c r="Y332" s="65" t="n"/>
      <c r="Z332" s="65" t="n"/>
      <c r="AA332" s="65" t="n"/>
      <c r="AB332" s="65" t="n"/>
      <c r="AC332" s="65" t="n"/>
      <c r="AD332" s="65" t="n"/>
      <c r="AE332" s="65" t="n"/>
      <c r="AF332" s="65" t="n"/>
      <c r="AG332" s="65" t="n"/>
      <c r="AH332" s="65" t="n"/>
      <c r="AI332" s="65" t="n"/>
      <c r="AJ332" s="65" t="n"/>
      <c r="AK332" s="65" t="n"/>
      <c r="AL332" s="65" t="n"/>
      <c r="AM332" s="65" t="n"/>
      <c r="AN332" s="65" t="n"/>
      <c r="AO332" s="65" t="n"/>
      <c r="AP332" s="65" t="n"/>
      <c r="AQ332" s="65" t="n"/>
      <c r="AR332" s="65" t="n"/>
      <c r="AS332" s="65" t="n"/>
      <c r="AT332" s="65" t="n"/>
      <c r="AU332" s="65" t="n"/>
      <c r="AV332" s="65" t="n"/>
      <c r="AW332" s="65" t="n"/>
      <c r="AX332" s="65" t="n"/>
      <c r="AY332" s="65" t="n"/>
      <c r="AZ332" s="65" t="n"/>
      <c r="BA332" s="65" t="n"/>
      <c r="BB332" s="65" t="n"/>
      <c r="BC332" s="65" t="n"/>
      <c r="BD332" s="65" t="n"/>
      <c r="BE332" s="65" t="n"/>
      <c r="BF332" s="65" t="n"/>
      <c r="BG332" s="65" t="n"/>
    </row>
    <row r="333">
      <c r="F333" s="68" t="n"/>
      <c r="G333" s="68">
        <f>IF(B333="","",F333-I333 )</f>
        <v/>
      </c>
      <c r="H333" s="5">
        <f>IF(G333="","",G333/F333)</f>
        <v/>
      </c>
      <c r="J333" s="65" t="n"/>
      <c r="K333" s="65" t="n"/>
      <c r="L333" s="65" t="n"/>
      <c r="M333" s="65" t="n"/>
      <c r="N333" s="65" t="n"/>
      <c r="O333" s="69" t="n"/>
      <c r="P333" s="65" t="n"/>
      <c r="Q333" s="65" t="n"/>
      <c r="R333" s="65" t="n"/>
      <c r="S333" s="65" t="n"/>
      <c r="T333" s="65" t="n"/>
      <c r="U333" s="69" t="n"/>
      <c r="V333" s="65" t="n"/>
      <c r="W333" s="65" t="n"/>
      <c r="X333" s="66" t="n"/>
      <c r="Y333" s="65" t="n"/>
      <c r="Z333" s="65" t="n"/>
      <c r="AA333" s="65" t="n"/>
      <c r="AB333" s="69" t="n"/>
      <c r="AC333" s="65" t="n"/>
      <c r="AD333" s="65" t="n"/>
      <c r="AE333" s="65" t="n"/>
      <c r="AF333" s="65" t="n"/>
      <c r="AG333" s="65" t="n"/>
      <c r="AH333" s="65" t="n"/>
      <c r="AI333" s="65" t="n"/>
      <c r="AJ333" s="65" t="n"/>
      <c r="AK333" s="65" t="n"/>
      <c r="AL333" s="65" t="n"/>
      <c r="AM333" s="65" t="n"/>
      <c r="AN333" s="65" t="n"/>
      <c r="AO333" s="65" t="n"/>
      <c r="AP333" s="65" t="n"/>
      <c r="AQ333" s="65" t="n"/>
      <c r="AR333" s="65" t="n"/>
      <c r="AS333" s="65" t="n"/>
      <c r="AT333" s="65" t="n"/>
      <c r="AU333" s="65" t="n"/>
      <c r="AV333" s="65" t="n"/>
      <c r="AW333" s="65" t="n"/>
      <c r="AX333" s="65" t="n"/>
      <c r="AY333" s="65" t="n"/>
      <c r="AZ333" s="65" t="n"/>
      <c r="BA333" s="65" t="n"/>
      <c r="BB333" s="65" t="n"/>
      <c r="BC333" s="65" t="n"/>
      <c r="BD333" s="65" t="n"/>
      <c r="BE333" s="65" t="n"/>
      <c r="BF333" s="65" t="n"/>
      <c r="BG333" s="65" t="n"/>
    </row>
    <row r="334">
      <c r="B334" s="1" t="inlineStr">
        <is>
          <t>グランシャルムB102</t>
        </is>
      </c>
      <c r="C334" s="1" t="inlineStr">
        <is>
          <t>積水不動産</t>
        </is>
      </c>
      <c r="D334" s="1" t="inlineStr">
        <is>
          <t>リノベーション</t>
        </is>
      </c>
      <c r="E334" s="2" t="inlineStr">
        <is>
          <t>7月</t>
        </is>
      </c>
      <c r="F334" s="68">
        <f>124000+920000+1390000</f>
        <v/>
      </c>
      <c r="G334" s="68">
        <f>IF(B334="","",F334-I334 )</f>
        <v/>
      </c>
      <c r="H334" s="5">
        <f>IF(G334="","",G334/F334)</f>
        <v/>
      </c>
      <c r="I334" s="62">
        <f>SUM(テーブル9[[#This Row],[五大]:[工場材]])</f>
        <v/>
      </c>
      <c r="J334" s="65" t="n"/>
      <c r="K334" s="65" t="n"/>
      <c r="L334" s="65" t="n"/>
      <c r="M334" s="65" t="n"/>
      <c r="N334" s="65" t="n"/>
      <c r="O334" s="69" t="n"/>
      <c r="P334" s="65" t="n"/>
      <c r="Q334" s="65" t="n"/>
      <c r="R334" s="65" t="n"/>
      <c r="S334" s="65" t="n"/>
      <c r="T334" s="65" t="n"/>
      <c r="U334" s="69" t="n"/>
      <c r="V334" s="65" t="n"/>
      <c r="W334" s="65" t="n">
        <v>300000</v>
      </c>
      <c r="X334" s="66" t="n">
        <v>83361</v>
      </c>
      <c r="Y334" s="65" t="n"/>
      <c r="Z334" s="65" t="n"/>
      <c r="AA334" s="69" t="n">
        <v>90000</v>
      </c>
      <c r="AB334" s="69" t="n">
        <v>133000</v>
      </c>
      <c r="AC334" s="65" t="n"/>
      <c r="AD334" s="65" t="n"/>
      <c r="AE334" s="69" t="n">
        <v>60000</v>
      </c>
      <c r="AF334" s="69" t="n"/>
      <c r="AG334" s="69">
        <f>130260+12300+14000+124700+17860+3800</f>
        <v/>
      </c>
      <c r="AH334" s="65" t="n"/>
      <c r="AI334" s="65" t="n"/>
      <c r="AJ334" s="65" t="n"/>
      <c r="AK334" s="65" t="n"/>
      <c r="AL334" s="65" t="n"/>
      <c r="AM334" s="65" t="n"/>
      <c r="AN334" s="69" t="n">
        <v>100000</v>
      </c>
      <c r="AO334" s="69">
        <f>7120+88865+66940</f>
        <v/>
      </c>
      <c r="AP334" s="65" t="n"/>
      <c r="AQ334" s="65" t="n"/>
      <c r="AR334" s="65" t="n"/>
      <c r="AS334" s="65" t="n"/>
      <c r="AT334" s="65" t="n"/>
      <c r="AU334" s="65" t="n"/>
      <c r="AV334" s="65" t="n"/>
      <c r="AW334" s="65" t="n"/>
      <c r="AX334" s="65" t="n"/>
      <c r="AY334" s="65" t="n"/>
      <c r="AZ334" s="65" t="n"/>
      <c r="BA334" s="65" t="n"/>
      <c r="BB334" s="65" t="n"/>
      <c r="BC334" s="65" t="n"/>
      <c r="BD334" s="65" t="n"/>
      <c r="BE334" s="65" t="n"/>
      <c r="BF334" s="65" t="n"/>
      <c r="BG334" s="65" t="n"/>
    </row>
    <row r="335">
      <c r="B335" s="1" t="inlineStr">
        <is>
          <t>水の森　安田邸</t>
        </is>
      </c>
      <c r="C335" s="1" t="inlineStr">
        <is>
          <t>LIXIL</t>
        </is>
      </c>
      <c r="D335" s="1" t="inlineStr">
        <is>
          <t>UB入替</t>
        </is>
      </c>
      <c r="E335" s="2" t="inlineStr">
        <is>
          <t>7月</t>
        </is>
      </c>
      <c r="F335" s="68" t="n">
        <v>234000</v>
      </c>
      <c r="G335" s="68">
        <f>IF(B335="","",F335-I335 )</f>
        <v/>
      </c>
      <c r="H335" s="5">
        <f>IF(G335="","",G335/F335)</f>
        <v/>
      </c>
      <c r="I335" s="62">
        <f>SUM(テーブル9[[#This Row],[五大]:[工場材]])</f>
        <v/>
      </c>
      <c r="J335" s="65" t="n"/>
      <c r="K335" s="65" t="n"/>
      <c r="L335" s="65" t="n"/>
      <c r="M335" s="65" t="n"/>
      <c r="N335" s="65" t="n"/>
      <c r="O335" s="69" t="n"/>
      <c r="P335" s="65" t="n"/>
      <c r="Q335" s="65" t="n"/>
      <c r="R335" s="65" t="n"/>
      <c r="S335" s="65" t="n"/>
      <c r="T335" s="65" t="n"/>
      <c r="U335" s="69" t="n"/>
      <c r="V335" s="65" t="n"/>
      <c r="W335" s="65" t="n">
        <v>100000</v>
      </c>
      <c r="X335" s="66" t="n">
        <v>29716</v>
      </c>
      <c r="Y335" s="65" t="n"/>
      <c r="Z335" s="65" t="n"/>
      <c r="AA335" s="65" t="n"/>
      <c r="AB335" s="69" t="n">
        <v>65000</v>
      </c>
      <c r="AC335" s="65" t="n"/>
      <c r="AD335" s="65" t="n"/>
      <c r="AE335" s="65" t="n"/>
      <c r="AF335" s="65" t="n"/>
      <c r="AG335" s="65" t="n"/>
      <c r="AH335" s="65" t="n"/>
      <c r="AI335" s="65" t="n">
        <v>18000</v>
      </c>
      <c r="AJ335" s="65" t="n"/>
      <c r="AK335" s="65" t="n"/>
      <c r="AL335" s="65" t="n"/>
      <c r="AM335" s="65" t="n"/>
      <c r="AN335" s="65" t="n"/>
      <c r="AO335" s="65" t="n"/>
      <c r="AP335" s="65" t="n"/>
      <c r="AQ335" s="65" t="n"/>
      <c r="AR335" s="65" t="n"/>
      <c r="AS335" s="65" t="n"/>
      <c r="AT335" s="65" t="n"/>
      <c r="AU335" s="65" t="n"/>
      <c r="AV335" s="65" t="n"/>
      <c r="AW335" s="65" t="n"/>
      <c r="AX335" s="65" t="n"/>
      <c r="AY335" s="65" t="n"/>
      <c r="AZ335" s="65" t="n"/>
      <c r="BA335" s="65" t="n"/>
      <c r="BB335" s="65" t="n"/>
      <c r="BC335" s="65" t="n"/>
      <c r="BD335" s="65" t="n"/>
      <c r="BE335" s="65" t="n"/>
      <c r="BF335" s="65" t="n"/>
      <c r="BG335" s="65" t="n"/>
    </row>
    <row r="336">
      <c r="B336" s="1" t="inlineStr">
        <is>
          <t>寺岡　佐藤邸</t>
        </is>
      </c>
      <c r="C336" s="1" t="inlineStr">
        <is>
          <t>LIXIL</t>
        </is>
      </c>
      <c r="D336" s="1" t="inlineStr">
        <is>
          <t>リフォーム</t>
        </is>
      </c>
      <c r="E336" s="2" t="inlineStr">
        <is>
          <t>7月</t>
        </is>
      </c>
      <c r="F336" s="68">
        <f>389500+930500</f>
        <v/>
      </c>
      <c r="G336" s="68">
        <f>IF(B336="","",F336-I336 )</f>
        <v/>
      </c>
      <c r="H336" s="5">
        <f>IF(G336="","",G336/F336)</f>
        <v/>
      </c>
      <c r="I336" s="62">
        <f>SUM(テーブル9[[#This Row],[五大]:[工場材]])</f>
        <v/>
      </c>
      <c r="J336" s="65" t="n"/>
      <c r="K336" s="65" t="n"/>
      <c r="L336" s="65" t="n"/>
      <c r="M336" s="65" t="n"/>
      <c r="N336" s="65" t="n"/>
      <c r="O336" s="69" t="n">
        <v>40000</v>
      </c>
      <c r="P336" s="65" t="n"/>
      <c r="Q336" s="65" t="n"/>
      <c r="R336" s="65" t="n"/>
      <c r="S336" s="65" t="n"/>
      <c r="T336" s="69" t="n">
        <v>30000</v>
      </c>
      <c r="U336" s="69" t="n"/>
      <c r="V336" s="65" t="n"/>
      <c r="W336" s="65" t="n">
        <v>250000</v>
      </c>
      <c r="X336" s="66" t="n">
        <v>76687</v>
      </c>
      <c r="Y336" s="65" t="n"/>
      <c r="Z336" s="65" t="n"/>
      <c r="AA336" s="65" t="n"/>
      <c r="AB336" s="69" t="n">
        <v>200000</v>
      </c>
      <c r="AC336" s="69" t="n">
        <v>25000</v>
      </c>
      <c r="AD336" s="69" t="n"/>
      <c r="AE336" s="65" t="n"/>
      <c r="AF336" s="65" t="n"/>
      <c r="AG336" s="65" t="n"/>
      <c r="AH336" s="65" t="n"/>
      <c r="AI336" s="64" t="n">
        <v>100000</v>
      </c>
      <c r="AJ336" s="65" t="n"/>
      <c r="AK336" s="65" t="n"/>
      <c r="AL336" s="65" t="n"/>
      <c r="AM336" s="65" t="n"/>
      <c r="AN336" s="65" t="n"/>
      <c r="AO336" s="65" t="n"/>
      <c r="AP336" s="65" t="n"/>
      <c r="AQ336" s="65" t="n"/>
      <c r="AR336" s="65" t="n"/>
      <c r="AS336" s="65" t="n"/>
      <c r="AT336" s="65" t="n"/>
      <c r="AU336" s="65" t="n"/>
      <c r="AV336" s="65" t="n"/>
      <c r="AW336" s="65" t="n"/>
      <c r="AX336" s="65" t="n"/>
      <c r="AY336" s="65" t="n"/>
      <c r="AZ336" s="65" t="n"/>
      <c r="BA336" s="65" t="n"/>
      <c r="BB336" s="65" t="n"/>
      <c r="BC336" s="65" t="n"/>
      <c r="BD336" s="65" t="n"/>
      <c r="BE336" s="65" t="n"/>
      <c r="BF336" s="65" t="n"/>
      <c r="BG336" s="65" t="n"/>
    </row>
    <row r="337">
      <c r="B337" s="1" t="inlineStr">
        <is>
          <t>アビタシオンD</t>
        </is>
      </c>
      <c r="C337" s="1" t="inlineStr">
        <is>
          <t>積水不動産</t>
        </is>
      </c>
      <c r="D337" s="1" t="inlineStr">
        <is>
          <t>塗装</t>
        </is>
      </c>
      <c r="E337" s="2" t="inlineStr">
        <is>
          <t>7月</t>
        </is>
      </c>
      <c r="F337" s="68" t="n">
        <v>1790000</v>
      </c>
      <c r="G337" s="68">
        <f>IF(B337="","",F337-I337 )</f>
        <v/>
      </c>
      <c r="H337" s="5">
        <f>IF(G337="","",G337/F337)</f>
        <v/>
      </c>
      <c r="I337" s="62">
        <f>SUM(テーブル9[[#This Row],[五大]:[工場材]])</f>
        <v/>
      </c>
      <c r="J337" s="65" t="n"/>
      <c r="K337" s="65" t="n">
        <v>365000</v>
      </c>
      <c r="L337" s="65" t="n"/>
      <c r="M337" s="65" t="n"/>
      <c r="N337" s="65" t="n"/>
      <c r="O337" s="69" t="n">
        <v>800000</v>
      </c>
      <c r="P337" s="65" t="n"/>
      <c r="Q337" s="65" t="n"/>
      <c r="R337" s="65" t="n"/>
      <c r="S337" s="65" t="n"/>
      <c r="T337" s="65" t="n"/>
      <c r="U337" s="69">
        <f>73200+50500+14500</f>
        <v/>
      </c>
      <c r="V337" s="69">
        <f>105720+28000</f>
        <v/>
      </c>
      <c r="W337" s="65" t="n"/>
      <c r="X337" s="66" t="n"/>
      <c r="Y337" s="65" t="n"/>
      <c r="Z337" s="65" t="n"/>
      <c r="AA337" s="65" t="n"/>
      <c r="AB337" s="65" t="n"/>
      <c r="AC337" s="65" t="n"/>
      <c r="AD337" s="65" t="n"/>
      <c r="AE337" s="65" t="n"/>
      <c r="AF337" s="65" t="n"/>
      <c r="AG337" s="65" t="n"/>
      <c r="AH337" s="65" t="n"/>
      <c r="AI337" s="65" t="n"/>
      <c r="AJ337" s="65" t="n"/>
      <c r="AK337" s="65" t="n"/>
      <c r="AL337" s="65" t="n"/>
      <c r="AM337" s="65" t="n"/>
      <c r="AN337" s="65" t="n"/>
      <c r="AO337" s="65" t="n"/>
      <c r="AP337" s="65" t="n"/>
      <c r="AQ337" s="65" t="n"/>
      <c r="AR337" s="65" t="n"/>
      <c r="AS337" s="65" t="n"/>
      <c r="AT337" s="65" t="n"/>
      <c r="AU337" s="65" t="n"/>
      <c r="AV337" s="65" t="n"/>
      <c r="AW337" s="65" t="n"/>
      <c r="AX337" s="65" t="n"/>
      <c r="AY337" s="65" t="n"/>
      <c r="AZ337" s="65" t="n"/>
      <c r="BA337" s="65" t="n"/>
      <c r="BB337" s="65" t="n"/>
      <c r="BC337" s="65" t="n"/>
      <c r="BD337" s="65" t="n"/>
      <c r="BE337" s="65" t="n"/>
      <c r="BF337" s="65" t="n"/>
      <c r="BG337" s="65" t="n"/>
    </row>
    <row r="338">
      <c r="B338" s="1" t="inlineStr">
        <is>
          <t>成田　戸建て</t>
        </is>
      </c>
      <c r="C338" s="1" t="inlineStr">
        <is>
          <t>カヤバ管材</t>
        </is>
      </c>
      <c r="D338" s="1" t="inlineStr">
        <is>
          <t>塗装</t>
        </is>
      </c>
      <c r="E338" s="2" t="inlineStr">
        <is>
          <t>7月</t>
        </is>
      </c>
      <c r="F338" s="68" t="n">
        <v>1130000</v>
      </c>
      <c r="G338" s="68">
        <f>IF(B338="","",F338-I338 )</f>
        <v/>
      </c>
      <c r="H338" s="5">
        <f>IF(G338="","",G338/F338)</f>
        <v/>
      </c>
      <c r="I338" s="62">
        <f>SUM(テーブル9[[#This Row],[五大]:[工場材]])</f>
        <v/>
      </c>
      <c r="J338" s="65" t="n"/>
      <c r="K338" s="65" t="n">
        <v>139000</v>
      </c>
      <c r="L338" s="65" t="n"/>
      <c r="M338" s="65" t="n"/>
      <c r="N338" s="65" t="n"/>
      <c r="O338" s="69" t="n">
        <v>500000</v>
      </c>
      <c r="P338" s="65" t="n"/>
      <c r="Q338" s="65" t="n"/>
      <c r="R338" s="65" t="n"/>
      <c r="S338" s="65" t="n"/>
      <c r="T338" s="65" t="n"/>
      <c r="U338" s="69">
        <f>118400+8700</f>
        <v/>
      </c>
      <c r="V338" s="65" t="n"/>
      <c r="W338" s="65" t="n"/>
      <c r="X338" s="66" t="n"/>
      <c r="Y338" s="65" t="n"/>
      <c r="Z338" s="65" t="n"/>
      <c r="AA338" s="65" t="n"/>
      <c r="AB338" s="65" t="n"/>
      <c r="AC338" s="65" t="n"/>
      <c r="AD338" s="65" t="n"/>
      <c r="AE338" s="65" t="n"/>
      <c r="AF338" s="65" t="n"/>
      <c r="AG338" s="65" t="n"/>
      <c r="AH338" s="65" t="n"/>
      <c r="AI338" s="65" t="n"/>
      <c r="AJ338" s="65" t="n"/>
      <c r="AK338" s="65" t="n"/>
      <c r="AL338" s="65" t="n"/>
      <c r="AM338" s="69" t="n">
        <v>15000</v>
      </c>
      <c r="AN338" s="65" t="n"/>
      <c r="AO338" s="65" t="n"/>
      <c r="AP338" s="65" t="n"/>
      <c r="AQ338" s="65" t="n"/>
      <c r="AR338" s="65" t="n"/>
      <c r="AS338" s="65" t="n"/>
      <c r="AT338" s="65" t="n"/>
      <c r="AU338" s="65" t="n"/>
      <c r="AV338" s="65" t="n"/>
      <c r="AW338" s="65" t="n"/>
      <c r="AX338" s="65" t="n"/>
      <c r="AY338" s="65" t="n"/>
      <c r="AZ338" s="65" t="n"/>
      <c r="BA338" s="65" t="n"/>
      <c r="BB338" s="65" t="n"/>
      <c r="BC338" s="65" t="n"/>
      <c r="BD338" s="65" t="n"/>
      <c r="BE338" s="65" t="n"/>
      <c r="BF338" s="65" t="n"/>
      <c r="BG338" s="65" t="n"/>
    </row>
    <row r="339">
      <c r="B339" s="1" t="inlineStr">
        <is>
          <t>角五郎　遠藤邸</t>
        </is>
      </c>
      <c r="C339" s="1" t="inlineStr">
        <is>
          <t>LIXIL</t>
        </is>
      </c>
      <c r="D339" s="1" t="inlineStr">
        <is>
          <t>UB入替</t>
        </is>
      </c>
      <c r="E339" s="2" t="inlineStr">
        <is>
          <t>8月</t>
        </is>
      </c>
      <c r="F339" s="68" t="n">
        <v>267000</v>
      </c>
      <c r="G339" s="68">
        <f>IF(B339="","",F339-I339 )</f>
        <v/>
      </c>
      <c r="H339" s="5">
        <f>IF(G339="","",G339/F339)</f>
        <v/>
      </c>
      <c r="I339" s="62">
        <f>SUM(テーブル9[[#This Row],[五大]:[工場材]])</f>
        <v/>
      </c>
      <c r="J339" s="65" t="n"/>
      <c r="K339" s="65" t="n"/>
      <c r="L339" s="65" t="n"/>
      <c r="M339" s="65" t="n"/>
      <c r="N339" s="65" t="n"/>
      <c r="O339" s="69" t="n">
        <v>25000</v>
      </c>
      <c r="P339" s="65" t="n"/>
      <c r="Q339" s="65" t="n"/>
      <c r="R339" s="65" t="n"/>
      <c r="S339" s="65" t="n"/>
      <c r="T339" s="65" t="n"/>
      <c r="U339" s="69" t="n"/>
      <c r="V339" s="65" t="n"/>
      <c r="W339" s="69" t="n">
        <v>40000</v>
      </c>
      <c r="X339" s="66" t="n">
        <v>5608</v>
      </c>
      <c r="Y339" s="65" t="n"/>
      <c r="Z339" s="65" t="n"/>
      <c r="AA339" s="65" t="n"/>
      <c r="AB339" s="69" t="n">
        <v>65000</v>
      </c>
      <c r="AC339" s="65" t="n"/>
      <c r="AD339" s="65" t="n"/>
      <c r="AE339" s="65" t="n"/>
      <c r="AF339" s="65" t="n"/>
      <c r="AG339" s="65" t="n"/>
      <c r="AH339" s="65" t="n"/>
      <c r="AI339" s="65" t="n"/>
      <c r="AJ339" s="65" t="n"/>
      <c r="AK339" s="65" t="n"/>
      <c r="AL339" s="65" t="n"/>
      <c r="AM339" s="65" t="n"/>
      <c r="AN339" s="65" t="n"/>
      <c r="AO339" s="65" t="n"/>
      <c r="AP339" s="65" t="n"/>
      <c r="AQ339" s="65" t="n"/>
      <c r="AR339" s="65" t="n"/>
      <c r="AS339" s="65" t="n"/>
      <c r="AT339" s="65" t="n"/>
      <c r="AU339" s="65" t="n"/>
      <c r="AV339" s="65" t="n"/>
      <c r="AW339" s="65" t="n"/>
      <c r="AX339" s="65" t="n"/>
      <c r="AY339" s="65" t="n"/>
      <c r="AZ339" s="65" t="n">
        <v>20000</v>
      </c>
      <c r="BA339" s="65" t="n"/>
      <c r="BB339" s="65" t="n"/>
      <c r="BC339" s="65" t="n"/>
      <c r="BD339" s="65" t="n"/>
      <c r="BE339" s="65" t="n"/>
      <c r="BF339" s="65" t="n"/>
      <c r="BG339" s="65" t="n"/>
    </row>
    <row r="340">
      <c r="B340" s="1" t="inlineStr">
        <is>
          <t>国立音楽院</t>
        </is>
      </c>
      <c r="D340" s="1" t="inlineStr">
        <is>
          <t>軒天張替</t>
        </is>
      </c>
      <c r="E340" s="2" t="inlineStr">
        <is>
          <t>8月</t>
        </is>
      </c>
      <c r="F340" s="68" t="n">
        <v>155000</v>
      </c>
      <c r="G340" s="68">
        <f>IF(B340="","",F340-I340 )</f>
        <v/>
      </c>
      <c r="H340" s="5">
        <f>IF(G340="","",G340/F340)</f>
        <v/>
      </c>
      <c r="I340" s="62">
        <f>SUM(テーブル9[[#This Row],[五大]:[工場材]])</f>
        <v/>
      </c>
      <c r="J340" s="65" t="n"/>
      <c r="K340" s="65" t="n"/>
      <c r="L340" s="65" t="n"/>
      <c r="M340" s="65" t="n"/>
      <c r="N340" s="65" t="n"/>
      <c r="O340" s="69" t="n"/>
      <c r="P340" s="65" t="n"/>
      <c r="Q340" s="65" t="n"/>
      <c r="R340" s="65" t="n"/>
      <c r="S340" s="65" t="n"/>
      <c r="T340" s="65" t="n"/>
      <c r="U340" s="69" t="n"/>
      <c r="V340" s="65" t="n"/>
      <c r="W340" s="69" t="n">
        <v>60000</v>
      </c>
      <c r="X340" s="66" t="n">
        <v>29014</v>
      </c>
      <c r="Y340" s="65" t="n"/>
      <c r="Z340" s="65" t="n"/>
      <c r="AA340" s="65" t="n"/>
      <c r="AB340" s="65" t="n"/>
      <c r="AC340" s="65" t="n"/>
      <c r="AD340" s="65" t="n"/>
      <c r="AE340" s="65" t="n"/>
      <c r="AF340" s="65" t="n"/>
      <c r="AG340" s="65" t="n"/>
      <c r="AH340" s="65" t="n"/>
      <c r="AI340" s="65" t="n"/>
      <c r="AJ340" s="65" t="n"/>
      <c r="AK340" s="65" t="n"/>
      <c r="AL340" s="65" t="n"/>
      <c r="AM340" s="65" t="n"/>
      <c r="AN340" s="65" t="n"/>
      <c r="AO340" s="65" t="n"/>
      <c r="AP340" s="65" t="n"/>
      <c r="AQ340" s="65" t="n"/>
      <c r="AR340" s="65" t="n"/>
      <c r="AS340" s="65" t="n"/>
      <c r="AT340" s="65" t="n"/>
      <c r="AU340" s="65" t="n"/>
      <c r="AV340" s="65" t="n"/>
      <c r="AW340" s="65" t="n"/>
      <c r="AX340" s="65" t="n"/>
      <c r="AY340" s="65" t="n"/>
      <c r="AZ340" s="65" t="n"/>
      <c r="BA340" s="65" t="n"/>
      <c r="BB340" s="65" t="n"/>
      <c r="BC340" s="65" t="n"/>
      <c r="BD340" s="65" t="n"/>
      <c r="BE340" s="65" t="n"/>
      <c r="BF340" s="65" t="n"/>
      <c r="BG340" s="65" t="n"/>
    </row>
    <row r="341">
      <c r="F341" s="68" t="n"/>
      <c r="G341" s="68">
        <f>IF(B341="","",F341-I341 )</f>
        <v/>
      </c>
      <c r="H341" s="5">
        <f>IF(G341="","",G341/F341)</f>
        <v/>
      </c>
      <c r="J341" s="65" t="n"/>
      <c r="K341" s="65" t="n"/>
      <c r="L341" s="65" t="n"/>
      <c r="M341" s="65" t="n"/>
      <c r="N341" s="65" t="n"/>
      <c r="O341" s="69" t="n"/>
      <c r="P341" s="65" t="n"/>
      <c r="Q341" s="65" t="n"/>
      <c r="R341" s="65" t="n"/>
      <c r="S341" s="65" t="n"/>
      <c r="T341" s="65" t="n"/>
      <c r="U341" s="69" t="n"/>
      <c r="V341" s="65" t="n"/>
      <c r="W341" s="65" t="n"/>
      <c r="X341" s="66" t="n"/>
      <c r="Y341" s="65" t="n"/>
      <c r="Z341" s="65" t="n"/>
      <c r="AA341" s="65" t="n"/>
      <c r="AB341" s="65" t="n"/>
      <c r="AC341" s="65" t="n"/>
      <c r="AD341" s="65" t="n"/>
      <c r="AE341" s="65" t="n"/>
      <c r="AF341" s="65" t="n"/>
      <c r="AG341" s="65" t="n"/>
      <c r="AH341" s="65" t="n"/>
      <c r="AI341" s="65" t="n"/>
      <c r="AJ341" s="65" t="n"/>
      <c r="AK341" s="65" t="n"/>
      <c r="AL341" s="65" t="n"/>
      <c r="AM341" s="65" t="n"/>
      <c r="AN341" s="65" t="n"/>
      <c r="AO341" s="65" t="n"/>
      <c r="AP341" s="65" t="n"/>
      <c r="AQ341" s="65" t="n"/>
      <c r="AR341" s="65" t="n"/>
      <c r="AS341" s="65" t="n"/>
      <c r="AT341" s="65" t="n"/>
      <c r="AU341" s="65" t="n"/>
      <c r="AV341" s="65" t="n"/>
      <c r="AW341" s="65" t="n"/>
      <c r="AX341" s="65" t="n"/>
      <c r="AY341" s="65" t="n"/>
      <c r="AZ341" s="65" t="n"/>
      <c r="BA341" s="65" t="n"/>
      <c r="BB341" s="65" t="n"/>
      <c r="BC341" s="65" t="n"/>
      <c r="BD341" s="65" t="n"/>
      <c r="BE341" s="65" t="n"/>
      <c r="BF341" s="65" t="n"/>
      <c r="BG341" s="65" t="n"/>
    </row>
    <row r="342">
      <c r="B342" s="1" t="inlineStr">
        <is>
          <t>もみじが丘　和野邸</t>
        </is>
      </c>
      <c r="C342" s="1" t="inlineStr">
        <is>
          <t>光和工業</t>
        </is>
      </c>
      <c r="D342" s="1" t="inlineStr">
        <is>
          <t>塗装</t>
        </is>
      </c>
      <c r="E342" s="2" t="inlineStr">
        <is>
          <t>8月</t>
        </is>
      </c>
      <c r="F342" s="68" t="n">
        <v>1650000</v>
      </c>
      <c r="G342" s="68">
        <f>IF(B342="","",F342-I342 )</f>
        <v/>
      </c>
      <c r="H342" s="5">
        <f>IF(G342="","",G342/F342)</f>
        <v/>
      </c>
      <c r="I342" s="62">
        <f>SUM(テーブル9[[#This Row],[五大]:[工場材]])</f>
        <v/>
      </c>
      <c r="J342" s="65" t="n"/>
      <c r="K342" s="65" t="n">
        <v>203500</v>
      </c>
      <c r="L342" s="65" t="n"/>
      <c r="M342" s="65" t="n"/>
      <c r="N342" s="65" t="n"/>
      <c r="O342" s="69" t="n">
        <v>600000</v>
      </c>
      <c r="P342" s="65" t="n"/>
      <c r="Q342" s="65" t="n"/>
      <c r="R342" s="69" t="n">
        <v>42980</v>
      </c>
      <c r="S342" s="65" t="n"/>
      <c r="T342" s="65" t="n"/>
      <c r="U342" s="69" t="n">
        <v>38700</v>
      </c>
      <c r="V342" s="65" t="n"/>
      <c r="W342" s="65" t="n"/>
      <c r="X342" s="66" t="n"/>
      <c r="Y342" s="65" t="n"/>
      <c r="Z342" s="65" t="n"/>
      <c r="AA342" s="65" t="n"/>
      <c r="AB342" s="65" t="n"/>
      <c r="AC342" s="65" t="n"/>
      <c r="AD342" s="65" t="n"/>
      <c r="AE342" s="65" t="n"/>
      <c r="AF342" s="65" t="n"/>
      <c r="AG342" s="65" t="n"/>
      <c r="AH342" s="65" t="n"/>
      <c r="AI342" s="65" t="n"/>
      <c r="AJ342" s="65" t="n"/>
      <c r="AK342" s="65" t="n"/>
      <c r="AL342" s="65" t="n"/>
      <c r="AM342" s="65" t="n"/>
      <c r="AN342" s="65" t="n"/>
      <c r="AO342" s="65" t="n"/>
      <c r="AP342" s="65" t="n"/>
      <c r="AQ342" s="65" t="n"/>
      <c r="AR342" s="65" t="n"/>
      <c r="AS342" s="65" t="n"/>
      <c r="AT342" s="65" t="n"/>
      <c r="AU342" s="65" t="n"/>
      <c r="AV342" s="65" t="n"/>
      <c r="AW342" s="65" t="n"/>
      <c r="AX342" s="65" t="n"/>
      <c r="AY342" s="65" t="n"/>
      <c r="AZ342" s="65" t="n"/>
      <c r="BA342" s="65" t="n"/>
      <c r="BB342" s="65" t="n"/>
      <c r="BC342" s="65" t="n"/>
      <c r="BD342" s="65" t="n"/>
      <c r="BE342" s="65" t="n"/>
      <c r="BF342" s="65" t="n"/>
      <c r="BG342" s="65" t="n"/>
    </row>
    <row r="343">
      <c r="B343" s="1" t="inlineStr">
        <is>
          <t>泉崎　関矢邸</t>
        </is>
      </c>
      <c r="C343" s="1" t="inlineStr">
        <is>
          <t>光和工業</t>
        </is>
      </c>
      <c r="D343" s="1" t="inlineStr">
        <is>
          <t>階段工事</t>
        </is>
      </c>
      <c r="E343" s="2" t="inlineStr">
        <is>
          <t>8月</t>
        </is>
      </c>
      <c r="F343" s="68" t="n">
        <v>727273</v>
      </c>
      <c r="G343" s="68">
        <f>IF(B343="","",F343-I343 )</f>
        <v/>
      </c>
      <c r="H343" s="5">
        <f>IF(G343="","",G343/F343)</f>
        <v/>
      </c>
      <c r="I343" s="62">
        <f>SUM(テーブル9[[#This Row],[五大]:[工場材]])</f>
        <v/>
      </c>
      <c r="J343" s="65" t="n"/>
      <c r="K343" s="65" t="n"/>
      <c r="L343" s="65" t="n"/>
      <c r="M343" s="65" t="n"/>
      <c r="N343" s="65" t="n"/>
      <c r="O343" s="69" t="n">
        <v>100000</v>
      </c>
      <c r="P343" s="65" t="n"/>
      <c r="Q343" s="65" t="n"/>
      <c r="R343" s="69" t="n">
        <v>18000</v>
      </c>
      <c r="S343" s="65" t="n"/>
      <c r="T343" s="65" t="n"/>
      <c r="U343" s="69" t="n"/>
      <c r="V343" s="65" t="n"/>
      <c r="W343" s="69" t="n">
        <v>30000</v>
      </c>
      <c r="X343" s="66" t="n"/>
      <c r="Y343" s="65" t="n"/>
      <c r="Z343" s="65" t="n"/>
      <c r="AA343" s="65" t="n"/>
      <c r="AB343" s="65" t="n"/>
      <c r="AC343" s="65" t="n"/>
      <c r="AD343" s="65" t="n"/>
      <c r="AE343" s="65" t="n"/>
      <c r="AF343" s="65" t="n"/>
      <c r="AG343" s="65" t="n"/>
      <c r="AH343" s="65" t="n"/>
      <c r="AI343" s="64" t="n">
        <v>98000</v>
      </c>
      <c r="AJ343" s="65" t="n"/>
      <c r="AK343" s="65" t="n"/>
      <c r="AL343" s="65" t="n"/>
      <c r="AM343" s="65" t="n"/>
      <c r="AN343" s="65" t="n"/>
      <c r="AO343" s="65" t="n"/>
      <c r="AP343" s="65" t="n"/>
      <c r="AQ343" s="65" t="n"/>
      <c r="AR343" s="65" t="n"/>
      <c r="AS343" s="65" t="n"/>
      <c r="AT343" s="65" t="n"/>
      <c r="AU343" s="65" t="n"/>
      <c r="AV343" s="65" t="n"/>
      <c r="AW343" s="65" t="n"/>
      <c r="AX343" s="65" t="n"/>
      <c r="AY343" s="65" t="n"/>
      <c r="AZ343" s="69" t="n">
        <v>230000</v>
      </c>
      <c r="BA343" s="65" t="n"/>
      <c r="BB343" s="65" t="n"/>
      <c r="BC343" s="65" t="n"/>
      <c r="BD343" s="65" t="n"/>
      <c r="BE343" s="65" t="n"/>
      <c r="BF343" s="65" t="n"/>
      <c r="BG343" s="65" t="n"/>
    </row>
    <row r="344">
      <c r="B344" s="1" t="inlineStr">
        <is>
          <t>泉崎　関矢邸</t>
        </is>
      </c>
      <c r="C344" s="1" t="inlineStr">
        <is>
          <t>光和工業</t>
        </is>
      </c>
      <c r="D344" s="1" t="inlineStr">
        <is>
          <t>化粧台・手摺</t>
        </is>
      </c>
      <c r="E344" s="2" t="inlineStr">
        <is>
          <t>8月</t>
        </is>
      </c>
      <c r="F344" s="68" t="n">
        <v>142364</v>
      </c>
      <c r="G344" s="68">
        <f>IF(B344="","",F344-I344 )</f>
        <v/>
      </c>
      <c r="H344" s="5">
        <f>IF(G344="","",G344/F344)</f>
        <v/>
      </c>
      <c r="I344" s="62">
        <f>SUM(テーブル9[[#This Row],[五大]:[工場材]])</f>
        <v/>
      </c>
      <c r="J344" s="65" t="n"/>
      <c r="K344" s="65" t="n"/>
      <c r="L344" s="65" t="n"/>
      <c r="M344" s="65" t="n"/>
      <c r="N344" s="65" t="n"/>
      <c r="O344" s="69" t="n"/>
      <c r="P344" s="65" t="n"/>
      <c r="Q344" s="65" t="n"/>
      <c r="R344" s="65" t="n"/>
      <c r="S344" s="65" t="n"/>
      <c r="T344" s="65" t="n"/>
      <c r="U344" s="65" t="n"/>
      <c r="V344" s="65" t="n"/>
      <c r="W344" s="69" t="n">
        <v>35000</v>
      </c>
      <c r="X344" s="66" t="n"/>
      <c r="Y344" s="65" t="n"/>
      <c r="Z344" s="65" t="n"/>
      <c r="AA344" s="65" t="n"/>
      <c r="AB344" s="65" t="n">
        <v>15000</v>
      </c>
      <c r="AC344" s="65" t="n"/>
      <c r="AD344" s="65" t="n"/>
      <c r="AE344" s="65" t="n"/>
      <c r="AF344" s="65" t="n"/>
      <c r="AG344" s="65" t="n"/>
      <c r="AH344" s="65" t="n"/>
      <c r="AI344" s="65" t="n"/>
      <c r="AJ344" s="65" t="n"/>
      <c r="AK344" s="65" t="n"/>
      <c r="AL344" s="65" t="n"/>
      <c r="AM344" s="65" t="n"/>
      <c r="AN344" s="65" t="n"/>
      <c r="AO344" s="65" t="n"/>
      <c r="AP344" s="65" t="n"/>
      <c r="AQ344" s="65" t="n"/>
      <c r="AR344" s="65" t="n"/>
      <c r="AS344" s="65" t="n"/>
      <c r="AT344" s="65" t="n"/>
      <c r="AU344" s="65" t="n"/>
      <c r="AV344" s="65" t="n"/>
      <c r="AW344" s="65" t="n"/>
      <c r="AX344" s="65" t="n"/>
      <c r="AY344" s="65" t="n"/>
      <c r="AZ344" s="65" t="n"/>
      <c r="BA344" s="65" t="n"/>
      <c r="BB344" s="65" t="n"/>
      <c r="BC344" s="65" t="n"/>
      <c r="BD344" s="65" t="n"/>
      <c r="BE344" s="65" t="n"/>
      <c r="BF344" s="65" t="n"/>
      <c r="BG344" s="65" t="n"/>
    </row>
    <row r="345">
      <c r="B345" s="1" t="inlineStr">
        <is>
          <t>市名坂　コイン</t>
        </is>
      </c>
      <c r="C345" s="1" t="inlineStr">
        <is>
          <t>カイト</t>
        </is>
      </c>
      <c r="D345" s="1" t="inlineStr">
        <is>
          <t>大工・内装</t>
        </is>
      </c>
      <c r="E345" s="2" t="inlineStr">
        <is>
          <t>8月</t>
        </is>
      </c>
      <c r="F345" s="68" t="n">
        <v>100000</v>
      </c>
      <c r="G345" s="68">
        <f>IF(B345="","",F345-I345 )</f>
        <v/>
      </c>
      <c r="H345" s="5">
        <f>IF(G345="","",G345/F345)</f>
        <v/>
      </c>
      <c r="I345" s="62">
        <f>SUM(テーブル9[[#This Row],[五大]:[工場材]])</f>
        <v/>
      </c>
      <c r="J345" s="65" t="n"/>
      <c r="K345" s="65" t="n"/>
      <c r="L345" s="65" t="n"/>
      <c r="M345" s="65" t="n"/>
      <c r="N345" s="65" t="n"/>
      <c r="O345" s="69" t="n"/>
      <c r="P345" s="65" t="n"/>
      <c r="Q345" s="65" t="n"/>
      <c r="R345" s="65" t="n"/>
      <c r="S345" s="65" t="n"/>
      <c r="T345" s="65" t="n"/>
      <c r="U345" s="65" t="n"/>
      <c r="V345" s="65" t="n"/>
      <c r="W345" s="69" t="n">
        <v>35000</v>
      </c>
      <c r="X345" s="66" t="n"/>
      <c r="Y345" s="65" t="n"/>
      <c r="Z345" s="65" t="n"/>
      <c r="AA345" s="65" t="n"/>
      <c r="AB345" s="65" t="n"/>
      <c r="AC345" s="65" t="n"/>
      <c r="AD345" s="65" t="n"/>
      <c r="AE345" s="65" t="n"/>
      <c r="AF345" s="65" t="n"/>
      <c r="AG345" s="65" t="n"/>
      <c r="AH345" s="65" t="n"/>
      <c r="AI345" s="65" t="n"/>
      <c r="AJ345" s="65" t="n"/>
      <c r="AK345" s="65" t="n"/>
      <c r="AL345" s="65" t="n"/>
      <c r="AM345" s="65" t="n"/>
      <c r="AN345" s="65" t="n"/>
      <c r="AO345" s="65" t="n"/>
      <c r="AP345" s="65" t="n"/>
      <c r="AQ345" s="65" t="n"/>
      <c r="AR345" s="65" t="n"/>
      <c r="AS345" s="65" t="n"/>
      <c r="AT345" s="65" t="n"/>
      <c r="AU345" s="65" t="n"/>
      <c r="AV345" s="65" t="n"/>
      <c r="AW345" s="65" t="n"/>
      <c r="AX345" s="65" t="n"/>
      <c r="AY345" s="65" t="n"/>
      <c r="AZ345" s="65" t="n"/>
      <c r="BA345" s="65" t="n"/>
      <c r="BB345" s="65" t="n"/>
      <c r="BC345" s="65" t="n"/>
      <c r="BD345" s="65" t="n"/>
      <c r="BE345" s="65" t="n"/>
      <c r="BF345" s="65" t="n"/>
      <c r="BG345" s="65" t="n"/>
    </row>
    <row r="346">
      <c r="B346" s="1" t="inlineStr">
        <is>
          <t>館　コイン</t>
        </is>
      </c>
      <c r="C346" s="1" t="inlineStr">
        <is>
          <t>カイト</t>
        </is>
      </c>
      <c r="D346" s="1" t="inlineStr">
        <is>
          <t>大工・内装</t>
        </is>
      </c>
      <c r="E346" s="2" t="inlineStr">
        <is>
          <t>8月</t>
        </is>
      </c>
      <c r="F346" s="68" t="n">
        <v>150000</v>
      </c>
      <c r="G346" s="68">
        <f>IF(B346="","",F346-I346 )</f>
        <v/>
      </c>
      <c r="H346" s="5">
        <f>IF(G346="","",G346/F346)</f>
        <v/>
      </c>
      <c r="I346" s="62">
        <f>SUM(テーブル9[[#This Row],[五大]:[工場材]])</f>
        <v/>
      </c>
      <c r="J346" s="65" t="n"/>
      <c r="K346" s="65" t="n"/>
      <c r="L346" s="65" t="n"/>
      <c r="M346" s="65" t="n"/>
      <c r="N346" s="65" t="n"/>
      <c r="O346" s="69" t="n"/>
      <c r="P346" s="65" t="n"/>
      <c r="Q346" s="65" t="n"/>
      <c r="R346" s="65" t="n"/>
      <c r="S346" s="65" t="n"/>
      <c r="T346" s="65" t="n"/>
      <c r="U346" s="65" t="n"/>
      <c r="V346" s="65" t="n"/>
      <c r="W346" s="69" t="n">
        <v>35000</v>
      </c>
      <c r="X346" s="66" t="n">
        <v>15762</v>
      </c>
      <c r="Y346" s="65" t="n"/>
      <c r="Z346" s="65" t="n"/>
      <c r="AA346" s="65" t="n"/>
      <c r="AB346" s="65" t="n"/>
      <c r="AC346" s="65" t="n"/>
      <c r="AD346" s="65" t="n"/>
      <c r="AE346" s="65" t="n"/>
      <c r="AF346" s="65" t="n"/>
      <c r="AG346" s="65" t="n"/>
      <c r="AH346" s="65" t="n"/>
      <c r="AI346" s="65" t="n"/>
      <c r="AJ346" s="65" t="n"/>
      <c r="AK346" s="65" t="n"/>
      <c r="AL346" s="65" t="n"/>
      <c r="AM346" s="65" t="n"/>
      <c r="AN346" s="65" t="n"/>
      <c r="AO346" s="65" t="n"/>
      <c r="AP346" s="65" t="n"/>
      <c r="AQ346" s="65" t="n"/>
      <c r="AR346" s="65" t="n"/>
      <c r="AS346" s="65" t="n"/>
      <c r="AT346" s="65" t="n"/>
      <c r="AU346" s="65" t="n"/>
      <c r="AV346" s="65" t="n"/>
      <c r="AW346" s="65" t="n"/>
      <c r="AX346" s="65" t="n"/>
      <c r="AY346" s="65" t="n"/>
      <c r="AZ346" s="65" t="n"/>
      <c r="BA346" s="65" t="n"/>
      <c r="BB346" s="65" t="n"/>
      <c r="BC346" s="65" t="n"/>
      <c r="BD346" s="65" t="n"/>
      <c r="BE346" s="65" t="n"/>
      <c r="BF346" s="65" t="n"/>
      <c r="BG346" s="65" t="n"/>
    </row>
    <row r="347">
      <c r="B347" s="1" t="inlineStr">
        <is>
          <t>パストラル一本杉</t>
        </is>
      </c>
      <c r="C347" s="1" t="inlineStr">
        <is>
          <t>積水不動産</t>
        </is>
      </c>
      <c r="D347" s="1" t="inlineStr">
        <is>
          <t>樋交換+雪止め</t>
        </is>
      </c>
      <c r="E347" s="2" t="inlineStr">
        <is>
          <t>8月</t>
        </is>
      </c>
      <c r="F347" s="68">
        <f>160800+103200</f>
        <v/>
      </c>
      <c r="G347" s="68">
        <f>IF(B347="","",F347-I347 )</f>
        <v/>
      </c>
      <c r="H347" s="5">
        <f>IF(G347="","",G347/F347)</f>
        <v/>
      </c>
      <c r="I347" s="62">
        <f>SUM(テーブル9[[#This Row],[五大]:[工場材]])</f>
        <v/>
      </c>
      <c r="J347" s="65" t="n"/>
      <c r="K347" s="69" t="n">
        <v>45000</v>
      </c>
      <c r="L347" s="69" t="n"/>
      <c r="M347" s="65" t="n"/>
      <c r="N347" s="65" t="n"/>
      <c r="O347" s="69" t="n"/>
      <c r="P347" s="65" t="n"/>
      <c r="Q347" s="65" t="n"/>
      <c r="R347" s="65" t="n"/>
      <c r="S347" s="65" t="n"/>
      <c r="T347" s="65" t="n"/>
      <c r="U347" s="65" t="n"/>
      <c r="V347" s="65" t="n"/>
      <c r="W347" s="69" t="n">
        <v>50000</v>
      </c>
      <c r="X347" s="66" t="n">
        <v>3841</v>
      </c>
      <c r="Y347" s="65" t="n"/>
      <c r="Z347" s="65" t="n"/>
      <c r="AA347" s="65" t="n"/>
      <c r="AB347" s="65" t="n"/>
      <c r="AC347" s="65" t="n"/>
      <c r="AD347" s="65" t="n"/>
      <c r="AE347" s="65" t="n"/>
      <c r="AF347" s="65" t="n"/>
      <c r="AG347" s="65" t="n"/>
      <c r="AH347" s="65" t="n"/>
      <c r="AI347" s="65" t="n"/>
      <c r="AJ347" s="65" t="n"/>
      <c r="AK347" s="65" t="n"/>
      <c r="AL347" s="65" t="n"/>
      <c r="AM347" s="65" t="n"/>
      <c r="AN347" s="65" t="n"/>
      <c r="AO347" s="65" t="n"/>
      <c r="AP347" s="65" t="n"/>
      <c r="AQ347" s="65" t="n"/>
      <c r="AR347" s="65" t="n"/>
      <c r="AS347" s="65" t="n"/>
      <c r="AT347" s="65" t="n"/>
      <c r="AU347" s="65" t="n"/>
      <c r="AV347" s="65" t="n"/>
      <c r="AW347" s="65" t="n"/>
      <c r="AX347" s="65" t="n"/>
      <c r="AY347" s="65" t="n"/>
      <c r="AZ347" s="65" t="n"/>
      <c r="BA347" s="65" t="n"/>
      <c r="BB347" s="65" t="n"/>
      <c r="BC347" s="65" t="n"/>
      <c r="BD347" s="65" t="n"/>
      <c r="BE347" s="65" t="n"/>
      <c r="BF347" s="65" t="n"/>
      <c r="BG347" s="65" t="n">
        <v>40000</v>
      </c>
    </row>
    <row r="348">
      <c r="B348" s="1" t="inlineStr">
        <is>
          <t>フローラ一本杉</t>
        </is>
      </c>
      <c r="C348" s="1" t="inlineStr">
        <is>
          <t>積水不動産</t>
        </is>
      </c>
      <c r="D348" s="1" t="inlineStr">
        <is>
          <t>樋交換+雪止め</t>
        </is>
      </c>
      <c r="E348" s="2" t="inlineStr">
        <is>
          <t>8月</t>
        </is>
      </c>
      <c r="F348" s="68" t="n">
        <v>298000</v>
      </c>
      <c r="G348" s="68">
        <f>IF(B348="","",F348-I348 )</f>
        <v/>
      </c>
      <c r="H348" s="5">
        <f>IF(G348="","",G348/F348)</f>
        <v/>
      </c>
      <c r="I348" s="62">
        <f>SUM(テーブル9[[#This Row],[五大]:[工場材]])</f>
        <v/>
      </c>
      <c r="J348" s="65" t="n"/>
      <c r="K348" s="69" t="n">
        <v>45000</v>
      </c>
      <c r="L348" s="69" t="n"/>
      <c r="M348" s="65" t="n"/>
      <c r="N348" s="65" t="n"/>
      <c r="O348" s="69" t="n"/>
      <c r="P348" s="65" t="n"/>
      <c r="Q348" s="65" t="n"/>
      <c r="R348" s="65" t="n"/>
      <c r="S348" s="65" t="n"/>
      <c r="T348" s="65" t="n"/>
      <c r="U348" s="65" t="n"/>
      <c r="V348" s="65" t="n"/>
      <c r="W348" s="69" t="n">
        <v>50000</v>
      </c>
      <c r="X348" s="66" t="n"/>
      <c r="Y348" s="65" t="n"/>
      <c r="Z348" s="65" t="n"/>
      <c r="AA348" s="65" t="n"/>
      <c r="AB348" s="65" t="n"/>
      <c r="AC348" s="65" t="n"/>
      <c r="AD348" s="65" t="n"/>
      <c r="AE348" s="65" t="n"/>
      <c r="AF348" s="65" t="n"/>
      <c r="AG348" s="65" t="n"/>
      <c r="AH348" s="65" t="n"/>
      <c r="AI348" s="65" t="n"/>
      <c r="AJ348" s="65" t="n"/>
      <c r="AK348" s="65" t="n"/>
      <c r="AL348" s="65" t="n"/>
      <c r="AM348" s="65" t="n"/>
      <c r="AN348" s="65" t="n"/>
      <c r="AO348" s="65" t="n"/>
      <c r="AP348" s="65" t="n"/>
      <c r="AQ348" s="65" t="n"/>
      <c r="AR348" s="65" t="n"/>
      <c r="AS348" s="65" t="n"/>
      <c r="AT348" s="65" t="n"/>
      <c r="AU348" s="65" t="n"/>
      <c r="AV348" s="65" t="n"/>
      <c r="AW348" s="65" t="n"/>
      <c r="AX348" s="65" t="n"/>
      <c r="AY348" s="65" t="n"/>
      <c r="AZ348" s="65" t="n"/>
      <c r="BA348" s="65" t="n"/>
      <c r="BB348" s="65" t="n"/>
      <c r="BC348" s="65" t="n"/>
      <c r="BD348" s="65" t="n"/>
      <c r="BE348" s="65" t="n"/>
      <c r="BF348" s="65" t="n"/>
      <c r="BG348" s="65" t="n">
        <v>40000</v>
      </c>
    </row>
    <row r="349">
      <c r="F349" s="68" t="n"/>
      <c r="G349" s="68">
        <f>IF(B349="","",F349-I349 )</f>
        <v/>
      </c>
      <c r="H349" s="5">
        <f>IF(G349="","",G349/F349)</f>
        <v/>
      </c>
      <c r="J349" s="65" t="n"/>
      <c r="K349" s="65" t="n"/>
      <c r="L349" s="65" t="n"/>
      <c r="M349" s="65" t="n"/>
      <c r="N349" s="65" t="n"/>
      <c r="O349" s="69" t="n"/>
      <c r="P349" s="65" t="n"/>
      <c r="Q349" s="65" t="n"/>
      <c r="R349" s="65" t="n"/>
      <c r="S349" s="65" t="n"/>
      <c r="T349" s="65" t="n"/>
      <c r="U349" s="65" t="n"/>
      <c r="V349" s="65" t="n"/>
      <c r="W349" s="69" t="n"/>
      <c r="X349" s="66" t="n"/>
      <c r="Y349" s="65" t="n"/>
      <c r="Z349" s="65" t="n"/>
      <c r="AA349" s="65" t="n"/>
      <c r="AB349" s="65" t="n"/>
      <c r="AC349" s="65" t="n"/>
      <c r="AD349" s="65" t="n"/>
      <c r="AE349" s="65" t="n"/>
      <c r="AF349" s="65" t="n"/>
      <c r="AG349" s="65" t="n"/>
      <c r="AH349" s="65" t="n"/>
      <c r="AI349" s="65" t="n"/>
      <c r="AJ349" s="65" t="n"/>
      <c r="AK349" s="65" t="n"/>
      <c r="AL349" s="65" t="n"/>
      <c r="AM349" s="65" t="n"/>
      <c r="AN349" s="65" t="n"/>
      <c r="AO349" s="65" t="n"/>
      <c r="AP349" s="65" t="n"/>
      <c r="AQ349" s="65" t="n"/>
      <c r="AR349" s="65" t="n"/>
      <c r="AS349" s="65" t="n"/>
      <c r="AT349" s="65" t="n"/>
      <c r="AU349" s="65" t="n"/>
      <c r="AV349" s="65" t="n"/>
      <c r="AW349" s="65" t="n"/>
      <c r="AX349" s="65" t="n"/>
      <c r="AY349" s="65" t="n"/>
      <c r="AZ349" s="65" t="n"/>
      <c r="BA349" s="65" t="n"/>
      <c r="BB349" s="65" t="n"/>
      <c r="BC349" s="65" t="n"/>
      <c r="BD349" s="65" t="n"/>
      <c r="BE349" s="65" t="n"/>
      <c r="BF349" s="65" t="n"/>
      <c r="BG349" s="65" t="n"/>
    </row>
    <row r="350">
      <c r="F350" s="68" t="n"/>
      <c r="G350" s="68">
        <f>IF(B350="","",F350-I350 )</f>
        <v/>
      </c>
      <c r="H350" s="5">
        <f>IF(G350="","",G350/F350)</f>
        <v/>
      </c>
      <c r="J350" s="65" t="n"/>
      <c r="K350" s="65" t="n"/>
      <c r="L350" s="65" t="n"/>
      <c r="M350" s="65" t="n"/>
      <c r="N350" s="65" t="n"/>
      <c r="O350" s="69" t="n"/>
      <c r="P350" s="65" t="n"/>
      <c r="Q350" s="65" t="n"/>
      <c r="R350" s="65" t="n"/>
      <c r="S350" s="65" t="n"/>
      <c r="T350" s="65" t="n"/>
      <c r="U350" s="65" t="n"/>
      <c r="V350" s="65" t="n"/>
      <c r="W350" s="69" t="n"/>
      <c r="X350" s="66" t="n"/>
      <c r="Y350" s="65" t="n"/>
      <c r="Z350" s="65" t="n"/>
      <c r="AA350" s="65" t="n"/>
      <c r="AB350" s="65" t="n"/>
      <c r="AC350" s="65" t="n"/>
      <c r="AD350" s="65" t="n"/>
      <c r="AE350" s="65" t="n"/>
      <c r="AF350" s="65" t="n"/>
      <c r="AG350" s="65" t="n"/>
      <c r="AH350" s="65" t="n"/>
      <c r="AI350" s="65" t="n"/>
      <c r="AJ350" s="65" t="n"/>
      <c r="AK350" s="65" t="n"/>
      <c r="AL350" s="65" t="n"/>
      <c r="AM350" s="65" t="n"/>
      <c r="AN350" s="65" t="n"/>
      <c r="AO350" s="65" t="n"/>
      <c r="AP350" s="65" t="n"/>
      <c r="AQ350" s="65" t="n"/>
      <c r="AR350" s="65" t="n"/>
      <c r="AS350" s="65" t="n"/>
      <c r="AT350" s="65" t="n"/>
      <c r="AU350" s="65" t="n"/>
      <c r="AV350" s="65" t="n"/>
      <c r="AW350" s="65" t="n"/>
      <c r="AX350" s="65" t="n"/>
      <c r="AY350" s="65" t="n"/>
      <c r="AZ350" s="65" t="n"/>
      <c r="BA350" s="65" t="n"/>
      <c r="BB350" s="65" t="n"/>
      <c r="BC350" s="65" t="n"/>
      <c r="BD350" s="65" t="n"/>
      <c r="BE350" s="65" t="n"/>
      <c r="BF350" s="65" t="n"/>
      <c r="BG350" s="65" t="n"/>
    </row>
    <row r="351">
      <c r="B351" s="1" t="inlineStr">
        <is>
          <t>サザンパークAB</t>
        </is>
      </c>
      <c r="C351" s="1" t="inlineStr">
        <is>
          <t>積水不動産</t>
        </is>
      </c>
      <c r="D351" s="1" t="inlineStr">
        <is>
          <t>屋根塗装　樋交換　雪止め　フェンス</t>
        </is>
      </c>
      <c r="E351" s="2" t="inlineStr">
        <is>
          <t>9月</t>
        </is>
      </c>
      <c r="F351" s="68">
        <f>247000+420000+8000+106000+191000+357000+357000</f>
        <v/>
      </c>
      <c r="G351" s="68">
        <f>IF(B351="","",F351-I351 )</f>
        <v/>
      </c>
      <c r="H351" s="5">
        <f>IF(G351="","",G351/F351)</f>
        <v/>
      </c>
      <c r="I351" s="62">
        <f>SUM(テーブル9[[#This Row],[五大]:[工場材]])</f>
        <v/>
      </c>
      <c r="J351" s="65" t="n"/>
      <c r="K351" s="65" t="n">
        <v>220000</v>
      </c>
      <c r="L351" s="65" t="n"/>
      <c r="M351" s="65" t="n"/>
      <c r="N351" s="65" t="n"/>
      <c r="O351" s="69" t="n">
        <v>400000</v>
      </c>
      <c r="P351" s="65" t="n"/>
      <c r="Q351" s="65" t="n"/>
      <c r="R351" s="65" t="n"/>
      <c r="S351" s="65" t="n"/>
      <c r="T351" s="65" t="n"/>
      <c r="U351" s="69">
        <f>6500+10800+125000</f>
        <v/>
      </c>
      <c r="V351" s="65" t="n"/>
      <c r="W351" s="69">
        <f>72000+70000</f>
        <v/>
      </c>
      <c r="X351" s="66" t="n"/>
      <c r="Y351" s="65" t="n"/>
      <c r="Z351" s="65" t="n"/>
      <c r="AA351" s="65" t="n"/>
      <c r="AB351" s="65" t="n"/>
      <c r="AC351" s="65" t="n"/>
      <c r="AD351" s="65" t="n"/>
      <c r="AE351" s="65" t="n">
        <v>70000</v>
      </c>
      <c r="AF351" s="65" t="n"/>
      <c r="AG351" s="65" t="n"/>
      <c r="AH351" s="65" t="n"/>
      <c r="AI351" s="65" t="n"/>
      <c r="AJ351" s="65" t="n"/>
      <c r="AK351" s="65" t="n"/>
      <c r="AL351" s="65" t="n"/>
      <c r="AM351" s="65" t="n"/>
      <c r="AN351" s="65" t="n"/>
      <c r="AO351" s="65" t="n"/>
      <c r="AP351" s="65" t="n"/>
      <c r="AQ351" s="65" t="n"/>
      <c r="AR351" s="65" t="n"/>
      <c r="AS351" s="65" t="n"/>
      <c r="AT351" s="65" t="n"/>
      <c r="AU351" s="65" t="n"/>
      <c r="AV351" s="65" t="n"/>
      <c r="AW351" s="65" t="n"/>
      <c r="AX351" s="65" t="n"/>
      <c r="AY351" s="65" t="n"/>
      <c r="AZ351" s="64">
        <f>5000*21</f>
        <v/>
      </c>
      <c r="BA351" s="65" t="n"/>
      <c r="BB351" s="65" t="n"/>
      <c r="BC351" s="65" t="n"/>
      <c r="BD351" s="65" t="n"/>
      <c r="BE351" s="65" t="n"/>
      <c r="BF351" s="65" t="n"/>
      <c r="BG351" s="64">
        <f>26229+45000</f>
        <v/>
      </c>
    </row>
    <row r="352">
      <c r="B352" s="1" t="inlineStr">
        <is>
          <t>フォルテス南小泉</t>
        </is>
      </c>
      <c r="C352" s="1" t="inlineStr">
        <is>
          <t>積和建設</t>
        </is>
      </c>
      <c r="D352" s="1" t="inlineStr">
        <is>
          <t>塗装・注入</t>
        </is>
      </c>
      <c r="E352" s="2" t="inlineStr">
        <is>
          <t>10月</t>
        </is>
      </c>
      <c r="F352" s="68" t="n">
        <v>516000</v>
      </c>
      <c r="G352" s="68">
        <f>IF(B352="","",F352-I352 )</f>
        <v/>
      </c>
      <c r="H352" s="5">
        <f>IF(G352="","",G352/F352)</f>
        <v/>
      </c>
      <c r="I352" s="62">
        <f>SUM(テーブル9[[#This Row],[五大]:[工場材]])</f>
        <v/>
      </c>
      <c r="J352" s="65" t="n"/>
      <c r="K352" s="65" t="n"/>
      <c r="L352" s="65" t="n"/>
      <c r="M352" s="65" t="n"/>
      <c r="N352" s="65" t="n"/>
      <c r="O352" s="69" t="n">
        <v>250000</v>
      </c>
      <c r="P352" s="65" t="n"/>
      <c r="Q352" s="65" t="n"/>
      <c r="R352" s="65" t="n"/>
      <c r="S352" s="65" t="n"/>
      <c r="T352" s="65" t="n"/>
      <c r="U352" s="65" t="n">
        <v>35000</v>
      </c>
      <c r="V352" s="65" t="n"/>
      <c r="W352" s="69" t="n"/>
      <c r="X352" s="66" t="n"/>
      <c r="Y352" s="65" t="n"/>
      <c r="Z352" s="65" t="n"/>
      <c r="AA352" s="65" t="n"/>
      <c r="AB352" s="65" t="n"/>
      <c r="AC352" s="65" t="n"/>
      <c r="AD352" s="65" t="n"/>
      <c r="AE352" s="65" t="n"/>
      <c r="AF352" s="65" t="n"/>
      <c r="AG352" s="65" t="n"/>
      <c r="AH352" s="65" t="n"/>
      <c r="AI352" s="65" t="n"/>
      <c r="AJ352" s="65" t="n"/>
      <c r="AK352" s="65" t="n"/>
      <c r="AL352" s="65" t="n"/>
      <c r="AM352" s="65" t="n"/>
      <c r="AN352" s="65" t="n"/>
      <c r="AO352" s="65" t="n"/>
      <c r="AP352" s="65" t="n"/>
      <c r="AQ352" s="65" t="n"/>
      <c r="AR352" s="65" t="n"/>
      <c r="AS352" s="65" t="n"/>
      <c r="AT352" s="65" t="n"/>
      <c r="AU352" s="65" t="n"/>
      <c r="AV352" s="65" t="n"/>
      <c r="AW352" s="65" t="n"/>
      <c r="AX352" s="65" t="n"/>
      <c r="AY352" s="65" t="n"/>
      <c r="AZ352" s="65">
        <f>60820+60820</f>
        <v/>
      </c>
      <c r="BA352" s="65" t="n"/>
      <c r="BB352" s="65" t="n"/>
      <c r="BC352" s="65" t="n"/>
      <c r="BD352" s="65" t="n"/>
      <c r="BE352" s="65" t="n"/>
      <c r="BF352" s="65" t="n"/>
      <c r="BG352" s="64" t="n">
        <v>15000</v>
      </c>
    </row>
    <row r="353">
      <c r="B353" s="1" t="inlineStr">
        <is>
          <t>小高邸</t>
        </is>
      </c>
      <c r="C353" s="1" t="inlineStr">
        <is>
          <t>光和工業</t>
        </is>
      </c>
      <c r="D353" s="1" t="inlineStr">
        <is>
          <t>塗装</t>
        </is>
      </c>
      <c r="E353" s="2" t="inlineStr">
        <is>
          <t>9月</t>
        </is>
      </c>
      <c r="F353" s="68" t="n">
        <v>1145455</v>
      </c>
      <c r="G353" s="68">
        <f>IF(B353="","",F353-I353 )</f>
        <v/>
      </c>
      <c r="H353" s="5">
        <f>IF(G353="","",G353/F353)</f>
        <v/>
      </c>
      <c r="I353" s="62">
        <f>SUM(テーブル9[[#This Row],[五大]:[工場材]])</f>
        <v/>
      </c>
      <c r="J353" s="65" t="n"/>
      <c r="K353" s="65" t="n"/>
      <c r="L353" s="65" t="n"/>
      <c r="M353" s="65" t="n"/>
      <c r="N353" s="65" t="n"/>
      <c r="O353" s="69" t="n">
        <v>600000</v>
      </c>
      <c r="P353" s="65" t="n"/>
      <c r="Q353" s="65" t="n"/>
      <c r="R353" s="65" t="n"/>
      <c r="S353" s="65" t="n"/>
      <c r="T353" s="65" t="n"/>
      <c r="U353" s="69" t="n">
        <v>105000</v>
      </c>
      <c r="V353" s="65" t="n"/>
      <c r="W353" s="69">
        <f>30000+18000</f>
        <v/>
      </c>
      <c r="X353" s="66" t="n"/>
      <c r="Y353" s="65" t="n"/>
      <c r="Z353" s="65" t="n"/>
      <c r="AA353" s="65" t="n"/>
      <c r="AB353" s="65" t="n"/>
      <c r="AC353" s="65" t="n"/>
      <c r="AD353" s="65" t="n"/>
      <c r="AE353" s="65" t="n"/>
      <c r="AF353" s="65" t="n"/>
      <c r="AG353" s="65" t="n"/>
      <c r="AH353" s="65" t="n"/>
      <c r="AI353" s="65" t="n"/>
      <c r="AJ353" s="65" t="n"/>
      <c r="AK353" s="65" t="n"/>
      <c r="AL353" s="65" t="n"/>
      <c r="AM353" s="65" t="n"/>
      <c r="AN353" s="65" t="n"/>
      <c r="AO353" s="65" t="n"/>
      <c r="AP353" s="65" t="n"/>
      <c r="AQ353" s="65" t="n"/>
      <c r="AR353" s="65" t="n"/>
      <c r="AS353" s="65" t="n"/>
      <c r="AT353" s="65" t="n"/>
      <c r="AU353" s="65" t="n"/>
      <c r="AV353" s="65" t="n"/>
      <c r="AW353" s="65" t="n"/>
      <c r="AX353" s="65" t="n"/>
      <c r="AY353" s="65" t="n"/>
      <c r="AZ353" s="65" t="n"/>
      <c r="BA353" s="65" t="n"/>
      <c r="BB353" s="65" t="n"/>
      <c r="BC353" s="65" t="n"/>
      <c r="BD353" s="65" t="n"/>
      <c r="BE353" s="65" t="n"/>
      <c r="BF353" s="65" t="n"/>
      <c r="BG353" s="65" t="n">
        <v>38000</v>
      </c>
    </row>
    <row r="354">
      <c r="B354" s="1" t="inlineStr">
        <is>
          <t>うさちゃん岩沼</t>
        </is>
      </c>
      <c r="C354" s="1" t="inlineStr">
        <is>
          <t>一心</t>
        </is>
      </c>
      <c r="D354" s="1" t="inlineStr">
        <is>
          <t>解体工事</t>
        </is>
      </c>
      <c r="E354" s="2" t="inlineStr">
        <is>
          <t>9月</t>
        </is>
      </c>
      <c r="F354" s="68" t="n">
        <v>428000</v>
      </c>
      <c r="G354" s="68">
        <f>IF(B354="","",F354-I354 )</f>
        <v/>
      </c>
      <c r="H354" s="5">
        <f>IF(G354="","",G354/F354)</f>
        <v/>
      </c>
      <c r="I354" s="62">
        <f>SUM(テーブル9[[#This Row],[五大]:[工場材]])</f>
        <v/>
      </c>
      <c r="J354" s="65" t="n"/>
      <c r="K354" s="65" t="n"/>
      <c r="L354" s="65" t="n"/>
      <c r="M354" s="65" t="n"/>
      <c r="N354" s="65" t="n"/>
      <c r="O354" s="69" t="n"/>
      <c r="P354" s="65" t="n"/>
      <c r="Q354" s="65" t="n"/>
      <c r="R354" s="65" t="n"/>
      <c r="S354" s="65" t="n"/>
      <c r="T354" s="65" t="n"/>
      <c r="U354" s="65" t="n"/>
      <c r="V354" s="65" t="n"/>
      <c r="W354" s="69" t="n"/>
      <c r="X354" s="66" t="n"/>
      <c r="Y354" s="65" t="n"/>
      <c r="Z354" s="65" t="n"/>
      <c r="AA354" s="65" t="n"/>
      <c r="AB354" s="69" t="n">
        <v>30000</v>
      </c>
      <c r="AC354" s="65" t="n"/>
      <c r="AD354" s="65" t="n"/>
      <c r="AE354" s="65" t="n"/>
      <c r="AF354" s="65" t="n"/>
      <c r="AG354" s="65" t="n"/>
      <c r="AH354" s="65" t="n"/>
      <c r="AI354" s="65" t="n"/>
      <c r="AJ354" s="65" t="n"/>
      <c r="AK354" s="65" t="n"/>
      <c r="AL354" s="65" t="n"/>
      <c r="AM354" s="65" t="n"/>
      <c r="AN354" s="65" t="n"/>
      <c r="AO354" s="65" t="n"/>
      <c r="AP354" s="65" t="n"/>
      <c r="AQ354" s="65" t="n"/>
      <c r="AR354" s="65" t="n"/>
      <c r="AS354" s="65" t="n"/>
      <c r="AT354" s="65" t="n"/>
      <c r="AU354" s="65" t="n"/>
      <c r="AV354" s="65" t="n"/>
      <c r="AW354" s="65" t="n"/>
      <c r="AX354" s="65" t="n"/>
      <c r="AY354" s="65" t="n"/>
      <c r="AZ354" s="64" t="n">
        <v>360000</v>
      </c>
      <c r="BA354" s="65" t="n"/>
      <c r="BB354" s="65" t="n"/>
      <c r="BC354" s="65" t="n"/>
      <c r="BD354" s="65" t="n"/>
      <c r="BE354" s="65" t="n"/>
      <c r="BF354" s="65" t="n"/>
      <c r="BG354" s="65" t="n"/>
    </row>
    <row r="355">
      <c r="B355" s="1" t="inlineStr">
        <is>
          <t>大郷大久保様邸</t>
        </is>
      </c>
      <c r="C355" s="1" t="inlineStr">
        <is>
          <t>サステム</t>
        </is>
      </c>
      <c r="F355" s="68" t="n"/>
      <c r="G355" s="68">
        <f>IF(B355="","",F355-I355 )</f>
        <v/>
      </c>
      <c r="H355" s="5">
        <f>IF(OR(G355="",F355=0),"",G355/F355)</f>
        <v/>
      </c>
      <c r="I355" s="62">
        <f>SUM(テーブル9[[#This Row],[五大]:[工場材]])</f>
        <v/>
      </c>
      <c r="J355" s="65" t="n"/>
      <c r="K355" s="65" t="n"/>
      <c r="L355" s="65" t="n"/>
      <c r="M355" s="65" t="n"/>
      <c r="N355" s="65" t="n"/>
      <c r="O355" s="69" t="n"/>
      <c r="P355" s="65" t="n"/>
      <c r="Q355" s="65" t="n"/>
      <c r="R355" s="65" t="n"/>
      <c r="S355" s="65" t="n"/>
      <c r="T355" s="65" t="n"/>
      <c r="U355" s="65" t="n"/>
      <c r="V355" s="65" t="n"/>
      <c r="W355" s="69" t="n"/>
      <c r="X355" s="66" t="n"/>
      <c r="Y355" s="65" t="n"/>
      <c r="Z355" s="65" t="n"/>
      <c r="AA355" s="65" t="n"/>
      <c r="AB355" s="65" t="n"/>
      <c r="AC355" s="65" t="n"/>
      <c r="AD355" s="65" t="n"/>
      <c r="AE355" s="65" t="n"/>
      <c r="AF355" s="65" t="n"/>
      <c r="AG355" s="65" t="n"/>
      <c r="AH355" s="65" t="n"/>
      <c r="AI355" s="65" t="n"/>
      <c r="AJ355" s="65" t="n"/>
      <c r="AK355" s="65" t="n"/>
      <c r="AL355" s="65" t="n"/>
      <c r="AM355" s="65" t="n"/>
      <c r="AN355" s="65" t="n"/>
      <c r="AO355" s="65" t="n"/>
      <c r="AP355" s="65" t="n"/>
      <c r="AQ355" s="65" t="n"/>
      <c r="AR355" s="65" t="n"/>
      <c r="AS355" s="65" t="n"/>
      <c r="AT355" s="65" t="n"/>
      <c r="AU355" s="65" t="n"/>
      <c r="AV355" s="65" t="n"/>
      <c r="AW355" s="65" t="n"/>
      <c r="AX355" s="65" t="n"/>
      <c r="AY355" s="65" t="n"/>
      <c r="AZ355" s="65" t="n"/>
      <c r="BA355" s="65" t="n"/>
      <c r="BB355" s="65" t="n"/>
      <c r="BC355" s="65" t="n"/>
      <c r="BD355" s="65" t="n"/>
      <c r="BE355" s="65" t="n"/>
      <c r="BF355" s="65" t="n"/>
      <c r="BG355" s="65" t="n"/>
    </row>
    <row r="356">
      <c r="B356" s="1" t="inlineStr">
        <is>
          <t>千坂邸　２期工事</t>
        </is>
      </c>
      <c r="C356" s="1" t="inlineStr">
        <is>
          <t>LIXIL</t>
        </is>
      </c>
      <c r="D356" s="1" t="inlineStr">
        <is>
          <t>足場 クロス 化粧台 大工</t>
        </is>
      </c>
      <c r="E356" s="2" t="inlineStr">
        <is>
          <t>9月</t>
        </is>
      </c>
      <c r="F356" s="68">
        <f>385000+171900</f>
        <v/>
      </c>
      <c r="G356" s="68">
        <f>IF(B356="","",F356-I356 )</f>
        <v/>
      </c>
      <c r="H356" s="5">
        <f>IF(G356="","",G356/F356)</f>
        <v/>
      </c>
      <c r="I356" s="62">
        <f>SUM(テーブル9[[#This Row],[五大]:[工場材]])</f>
        <v/>
      </c>
      <c r="J356" s="65" t="n">
        <v>50000</v>
      </c>
      <c r="K356" s="65" t="n"/>
      <c r="L356" s="65" t="n"/>
      <c r="M356" s="65" t="n"/>
      <c r="N356" s="65" t="n"/>
      <c r="O356" s="69" t="n"/>
      <c r="P356" s="65" t="n"/>
      <c r="Q356" s="65" t="n"/>
      <c r="R356" s="65" t="n"/>
      <c r="S356" s="65" t="n"/>
      <c r="T356" s="65" t="n"/>
      <c r="U356" s="65" t="n"/>
      <c r="V356" s="65" t="n"/>
      <c r="W356" s="69" t="n">
        <v>50000</v>
      </c>
      <c r="X356" s="66" t="n"/>
      <c r="Y356" s="65" t="n"/>
      <c r="Z356" s="65" t="n"/>
      <c r="AA356" s="69" t="n"/>
      <c r="AB356" s="69" t="n">
        <v>47000</v>
      </c>
      <c r="AC356" s="65" t="n"/>
      <c r="AD356" s="65" t="n"/>
      <c r="AE356" s="65" t="n"/>
      <c r="AF356" s="65" t="n"/>
      <c r="AG356" s="65" t="n"/>
      <c r="AH356" s="65" t="n"/>
      <c r="AI356" s="65" t="n">
        <v>200000</v>
      </c>
      <c r="AJ356" s="65" t="n"/>
      <c r="AK356" s="65" t="n"/>
      <c r="AL356" s="65" t="n"/>
      <c r="AM356" s="65" t="n"/>
      <c r="AN356" s="65" t="n"/>
      <c r="AO356" s="65" t="n"/>
      <c r="AP356" s="65" t="n"/>
      <c r="AQ356" s="65" t="n"/>
      <c r="AR356" s="65" t="n"/>
      <c r="AS356" s="65" t="n"/>
      <c r="AT356" s="65" t="n"/>
      <c r="AU356" s="65" t="n"/>
      <c r="AV356" s="65" t="n"/>
      <c r="AW356" s="65" t="n"/>
      <c r="AX356" s="65" t="n"/>
      <c r="AY356" s="65" t="n"/>
      <c r="AZ356" s="65" t="n"/>
      <c r="BA356" s="65" t="n"/>
      <c r="BB356" s="65" t="n"/>
      <c r="BC356" s="65" t="n"/>
      <c r="BD356" s="65" t="n"/>
      <c r="BE356" s="65" t="n"/>
      <c r="BF356" s="65" t="n"/>
      <c r="BG356" s="65" t="n"/>
    </row>
    <row r="357">
      <c r="B357" s="1" t="inlineStr">
        <is>
          <t>ミストラルビレッジ203</t>
        </is>
      </c>
      <c r="C357" s="1" t="inlineStr">
        <is>
          <t>積水不動産</t>
        </is>
      </c>
      <c r="D357" s="1" t="inlineStr">
        <is>
          <t>内装リノベ</t>
        </is>
      </c>
      <c r="E357" s="2" t="inlineStr">
        <is>
          <t>9月</t>
        </is>
      </c>
      <c r="F357" s="68" t="n">
        <v>1380000</v>
      </c>
      <c r="G357" s="68">
        <f>IF(B357="","",F357-I357 )</f>
        <v/>
      </c>
      <c r="H357" s="5">
        <f>IF(G357="","",G357/F357)</f>
        <v/>
      </c>
      <c r="I357" s="62">
        <f>SUM(テーブル9[[#This Row],[五大]:[工場材]])</f>
        <v/>
      </c>
      <c r="J357" s="65" t="n"/>
      <c r="K357" s="65" t="n"/>
      <c r="L357" s="65" t="n"/>
      <c r="M357" s="65" t="n"/>
      <c r="N357" s="65" t="n"/>
      <c r="O357" s="69" t="n"/>
      <c r="P357" s="65" t="n"/>
      <c r="Q357" s="65" t="n"/>
      <c r="R357" s="65" t="n"/>
      <c r="S357" s="65" t="n"/>
      <c r="T357" s="65" t="n"/>
      <c r="U357" s="65" t="n"/>
      <c r="V357" s="65" t="n"/>
      <c r="W357" s="69" t="n">
        <v>120000</v>
      </c>
      <c r="X357" s="65">
        <f>9622+2180</f>
        <v/>
      </c>
      <c r="Y357" s="65" t="n"/>
      <c r="Z357" s="65" t="n"/>
      <c r="AA357" s="69" t="n">
        <v>26000</v>
      </c>
      <c r="AB357" s="69" t="n">
        <v>77000</v>
      </c>
      <c r="AC357" s="65" t="n"/>
      <c r="AD357" s="65" t="n"/>
      <c r="AE357" s="65" t="n"/>
      <c r="AF357" s="65" t="n"/>
      <c r="AG357" s="65" t="n"/>
      <c r="AH357" s="65" t="n"/>
      <c r="AI357" s="65" t="n"/>
      <c r="AJ357" s="65" t="n"/>
      <c r="AK357" s="65" t="n"/>
      <c r="AL357" s="65" t="n"/>
      <c r="AM357" s="65" t="n"/>
      <c r="AN357" s="65" t="n"/>
      <c r="AO357" s="65">
        <f>187680+68120</f>
        <v/>
      </c>
      <c r="AP357" s="65" t="n"/>
      <c r="AQ357" s="65" t="n"/>
      <c r="AR357" s="65" t="n"/>
      <c r="AS357" s="65" t="n"/>
      <c r="AT357" s="65" t="n"/>
      <c r="AU357" s="65" t="n"/>
      <c r="AV357" s="65" t="n"/>
      <c r="AW357" s="65" t="n"/>
      <c r="AX357" s="65" t="n"/>
      <c r="AY357" s="65" t="n"/>
      <c r="AZ357" s="64" t="n">
        <v>20000</v>
      </c>
      <c r="BA357" s="65" t="n"/>
      <c r="BB357" s="65" t="n"/>
      <c r="BC357" s="65" t="n"/>
      <c r="BD357" s="65" t="n"/>
      <c r="BE357" s="65" t="n"/>
      <c r="BF357" s="65" t="n"/>
      <c r="BG357" s="65" t="n">
        <v>30000</v>
      </c>
    </row>
    <row r="358">
      <c r="B358" s="1" t="inlineStr">
        <is>
          <t>グリーンハイツ早坂</t>
        </is>
      </c>
      <c r="C358" s="1" t="inlineStr">
        <is>
          <t>積水不動産</t>
        </is>
      </c>
      <c r="D358" s="1" t="inlineStr">
        <is>
          <t>樋・雪止め</t>
        </is>
      </c>
      <c r="E358" s="2" t="inlineStr">
        <is>
          <t>10月</t>
        </is>
      </c>
      <c r="F358" s="68" t="n">
        <v>270000</v>
      </c>
      <c r="G358" s="68">
        <f>IF(B358="","",F358-I358 )</f>
        <v/>
      </c>
      <c r="H358" s="5">
        <f>IF(G358="","",G358/F358)</f>
        <v/>
      </c>
      <c r="I358" s="62">
        <f>SUM(テーブル9[[#This Row],[五大]:[工場材]])</f>
        <v/>
      </c>
      <c r="J358" s="65" t="n"/>
      <c r="K358" s="65" t="n">
        <v>70000</v>
      </c>
      <c r="L358" s="65" t="n"/>
      <c r="M358" s="65" t="n"/>
      <c r="N358" s="65" t="n"/>
      <c r="O358" s="69" t="n"/>
      <c r="P358" s="65" t="n"/>
      <c r="Q358" s="65" t="n"/>
      <c r="R358" s="65" t="n"/>
      <c r="S358" s="65" t="n"/>
      <c r="T358" s="65" t="n"/>
      <c r="U358" s="65" t="n"/>
      <c r="V358" s="65" t="n"/>
      <c r="W358" s="69" t="n">
        <v>48000</v>
      </c>
      <c r="X358" s="66" t="n"/>
      <c r="Y358" s="65" t="n"/>
      <c r="Z358" s="65" t="n"/>
      <c r="AA358" s="69" t="n"/>
      <c r="AB358" s="65" t="n"/>
      <c r="AC358" s="65" t="n"/>
      <c r="AD358" s="65" t="n"/>
      <c r="AE358" s="65" t="n"/>
      <c r="AF358" s="65" t="n"/>
      <c r="AG358" s="65" t="n"/>
      <c r="AH358" s="65" t="n"/>
      <c r="AI358" s="65" t="n"/>
      <c r="AJ358" s="65" t="n"/>
      <c r="AK358" s="65" t="n"/>
      <c r="AL358" s="65" t="n"/>
      <c r="AM358" s="65" t="n"/>
      <c r="AN358" s="65" t="n"/>
      <c r="AO358" s="65" t="n"/>
      <c r="AP358" s="65" t="n"/>
      <c r="AQ358" s="65" t="n"/>
      <c r="AR358" s="65" t="n"/>
      <c r="AS358" s="65" t="n"/>
      <c r="AT358" s="65" t="n"/>
      <c r="AU358" s="65" t="n"/>
      <c r="AV358" s="65" t="n"/>
      <c r="AW358" s="65" t="n"/>
      <c r="AX358" s="65" t="n"/>
      <c r="AY358" s="65" t="n"/>
      <c r="AZ358" s="65" t="n">
        <v>40000</v>
      </c>
      <c r="BA358" s="65" t="n"/>
      <c r="BB358" s="65" t="n"/>
      <c r="BC358" s="65" t="n"/>
      <c r="BD358" s="65" t="n"/>
      <c r="BE358" s="65" t="n"/>
      <c r="BF358" s="65" t="n"/>
      <c r="BG358" s="65" t="n">
        <v>20000</v>
      </c>
    </row>
    <row r="359">
      <c r="B359" s="1" t="inlineStr">
        <is>
          <t>メゾンドシャトン</t>
        </is>
      </c>
      <c r="C359" s="1" t="inlineStr">
        <is>
          <t>積水不動産</t>
        </is>
      </c>
      <c r="D359" s="1" t="inlineStr">
        <is>
          <t>樋・雪止め</t>
        </is>
      </c>
      <c r="E359" s="2" t="inlineStr">
        <is>
          <t>10月</t>
        </is>
      </c>
      <c r="F359" s="68" t="n">
        <v>282000</v>
      </c>
      <c r="G359" s="68">
        <f>IF(B359="","",F359-I359 )</f>
        <v/>
      </c>
      <c r="H359" s="5">
        <f>IF(G359="","",G359/F359)</f>
        <v/>
      </c>
      <c r="I359" s="62">
        <f>SUM(テーブル9[[#This Row],[五大]:[工場材]])</f>
        <v/>
      </c>
      <c r="J359" s="65" t="n"/>
      <c r="K359" s="65" t="n">
        <v>65000</v>
      </c>
      <c r="L359" s="65" t="n"/>
      <c r="M359" s="65" t="n"/>
      <c r="N359" s="65" t="n"/>
      <c r="O359" s="69" t="n"/>
      <c r="P359" s="65" t="n"/>
      <c r="Q359" s="65" t="n"/>
      <c r="R359" s="65" t="n"/>
      <c r="S359" s="65" t="n"/>
      <c r="T359" s="65" t="n"/>
      <c r="U359" s="65" t="n"/>
      <c r="V359" s="65" t="n"/>
      <c r="W359" s="69" t="n">
        <v>48000</v>
      </c>
      <c r="X359" s="66" t="n"/>
      <c r="Y359" s="65" t="n"/>
      <c r="Z359" s="65" t="n"/>
      <c r="AA359" s="69" t="n"/>
      <c r="AB359" s="65" t="n"/>
      <c r="AC359" s="65" t="n"/>
      <c r="AD359" s="65" t="n"/>
      <c r="AE359" s="65" t="n"/>
      <c r="AF359" s="65" t="n"/>
      <c r="AG359" s="65" t="n"/>
      <c r="AH359" s="65" t="n"/>
      <c r="AI359" s="65" t="n"/>
      <c r="AJ359" s="65" t="n"/>
      <c r="AK359" s="65" t="n"/>
      <c r="AL359" s="65" t="n"/>
      <c r="AM359" s="65" t="n"/>
      <c r="AN359" s="65" t="n"/>
      <c r="AO359" s="65" t="n"/>
      <c r="AP359" s="65" t="n"/>
      <c r="AQ359" s="65" t="n"/>
      <c r="AR359" s="65" t="n"/>
      <c r="AS359" s="65" t="n"/>
      <c r="AT359" s="65" t="n"/>
      <c r="AU359" s="65" t="n"/>
      <c r="AV359" s="65" t="n"/>
      <c r="AW359" s="65" t="n"/>
      <c r="AX359" s="65" t="n"/>
      <c r="AY359" s="65" t="n"/>
      <c r="AZ359" s="65" t="n">
        <v>60000</v>
      </c>
      <c r="BA359" s="65" t="n"/>
      <c r="BB359" s="65" t="n"/>
      <c r="BC359" s="65" t="n"/>
      <c r="BD359" s="65" t="n"/>
      <c r="BE359" s="65" t="n"/>
      <c r="BF359" s="65" t="n"/>
      <c r="BG359" s="65" t="n">
        <v>20000</v>
      </c>
    </row>
    <row r="360">
      <c r="F360" s="68" t="n"/>
      <c r="G360" s="68">
        <f>IF(B360="","",F360-I360 )</f>
        <v/>
      </c>
      <c r="H360" s="5">
        <f>IF(G360="","",G360/F360)</f>
        <v/>
      </c>
      <c r="I360" s="62">
        <f>SUM(テーブル9[[#This Row],[五大]:[工場材]])</f>
        <v/>
      </c>
      <c r="J360" s="65" t="n"/>
      <c r="K360" s="65" t="n"/>
      <c r="L360" s="65" t="n"/>
      <c r="M360" s="65" t="n"/>
      <c r="N360" s="65" t="n"/>
      <c r="O360" s="69" t="n"/>
      <c r="P360" s="65" t="n"/>
      <c r="Q360" s="65" t="n"/>
      <c r="R360" s="65" t="n"/>
      <c r="S360" s="65" t="n"/>
      <c r="T360" s="65" t="n"/>
      <c r="U360" s="65" t="n"/>
      <c r="V360" s="65" t="n"/>
      <c r="W360" s="69" t="n"/>
      <c r="X360" s="66" t="n"/>
      <c r="Y360" s="65" t="n"/>
      <c r="Z360" s="65" t="n"/>
      <c r="AA360" s="69" t="n"/>
      <c r="AB360" s="65" t="n"/>
      <c r="AC360" s="65" t="n"/>
      <c r="AD360" s="65" t="n"/>
      <c r="AE360" s="65" t="n"/>
      <c r="AF360" s="65" t="n"/>
      <c r="AG360" s="65" t="n"/>
      <c r="AH360" s="65" t="n"/>
      <c r="AI360" s="65" t="n"/>
      <c r="AJ360" s="65" t="n"/>
      <c r="AK360" s="65" t="n"/>
      <c r="AL360" s="65" t="n"/>
      <c r="AM360" s="65" t="n"/>
      <c r="AN360" s="65" t="n"/>
      <c r="AO360" s="65" t="n"/>
      <c r="AP360" s="65" t="n"/>
      <c r="AQ360" s="65" t="n"/>
      <c r="AR360" s="65" t="n"/>
      <c r="AS360" s="65" t="n"/>
      <c r="AT360" s="65" t="n"/>
      <c r="AU360" s="65" t="n"/>
      <c r="AV360" s="65" t="n"/>
      <c r="AW360" s="65" t="n"/>
      <c r="AX360" s="65" t="n"/>
      <c r="AY360" s="65" t="n"/>
      <c r="AZ360" s="65" t="n"/>
      <c r="BA360" s="65" t="n"/>
      <c r="BB360" s="65" t="n"/>
      <c r="BC360" s="65" t="n"/>
      <c r="BD360" s="65" t="n"/>
      <c r="BE360" s="65" t="n"/>
      <c r="BF360" s="65" t="n"/>
      <c r="BG360" s="65" t="n"/>
    </row>
    <row r="361">
      <c r="F361" s="68" t="n"/>
      <c r="G361" s="68">
        <f>IF(B361="","",F361-I361 )</f>
        <v/>
      </c>
      <c r="H361" s="5">
        <f>IF(G361="","",G361/F361)</f>
        <v/>
      </c>
      <c r="I361" s="62">
        <f>SUM(テーブル9[[#This Row],[五大]:[工場材]])</f>
        <v/>
      </c>
      <c r="J361" s="65" t="n"/>
      <c r="K361" s="65" t="n"/>
      <c r="L361" s="65" t="n"/>
      <c r="M361" s="65" t="n"/>
      <c r="N361" s="65" t="n"/>
      <c r="O361" s="69" t="n"/>
      <c r="P361" s="65" t="n"/>
      <c r="Q361" s="65" t="n"/>
      <c r="R361" s="65" t="n"/>
      <c r="S361" s="65" t="n"/>
      <c r="T361" s="65" t="n"/>
      <c r="U361" s="65" t="n"/>
      <c r="V361" s="65" t="n"/>
      <c r="W361" s="69" t="n"/>
      <c r="X361" s="66" t="n"/>
      <c r="Y361" s="65" t="n"/>
      <c r="Z361" s="65" t="n"/>
      <c r="AA361" s="69" t="n"/>
      <c r="AB361" s="65" t="n"/>
      <c r="AC361" s="65" t="n"/>
      <c r="AD361" s="65" t="n"/>
      <c r="AE361" s="65" t="n"/>
      <c r="AF361" s="65" t="n"/>
      <c r="AG361" s="65" t="n"/>
      <c r="AH361" s="65" t="n"/>
      <c r="AI361" s="65" t="n"/>
      <c r="AJ361" s="65" t="n"/>
      <c r="AK361" s="65" t="n"/>
      <c r="AL361" s="65" t="n"/>
      <c r="AM361" s="65" t="n"/>
      <c r="AN361" s="65" t="n"/>
      <c r="AO361" s="65" t="n"/>
      <c r="AP361" s="65" t="n"/>
      <c r="AQ361" s="65" t="n"/>
      <c r="AR361" s="65" t="n"/>
      <c r="AS361" s="65" t="n"/>
      <c r="AT361" s="65" t="n"/>
      <c r="AU361" s="65" t="n"/>
      <c r="AV361" s="65" t="n"/>
      <c r="AW361" s="65" t="n"/>
      <c r="AX361" s="65" t="n"/>
      <c r="AY361" s="65" t="n"/>
      <c r="AZ361" s="65" t="n"/>
      <c r="BA361" s="65" t="n"/>
      <c r="BB361" s="65" t="n"/>
      <c r="BC361" s="65" t="n"/>
      <c r="BD361" s="65" t="n"/>
      <c r="BE361" s="65" t="n"/>
      <c r="BF361" s="65" t="n"/>
      <c r="BG361" s="65" t="n"/>
    </row>
    <row r="362">
      <c r="B362" s="1" t="inlineStr">
        <is>
          <t>プログレッソT-1.2（浜田健一）</t>
        </is>
      </c>
      <c r="C362" s="1" t="inlineStr">
        <is>
          <t>積和建設</t>
        </is>
      </c>
      <c r="D362" s="1" t="inlineStr">
        <is>
          <t>塗装</t>
        </is>
      </c>
      <c r="E362" s="2" t="inlineStr">
        <is>
          <t>10月</t>
        </is>
      </c>
      <c r="F362" s="68" t="n">
        <v>4190000</v>
      </c>
      <c r="G362" s="68">
        <f>IF(B362="","",F362-I362 )</f>
        <v/>
      </c>
      <c r="H362" s="5">
        <f>IF(G362="","",G362/F362)</f>
        <v/>
      </c>
      <c r="I362" s="62">
        <f>SUM(テーブル9[[#This Row],[五大]:[工場材]])</f>
        <v/>
      </c>
      <c r="J362" s="65" t="n"/>
      <c r="K362" s="65" t="n"/>
      <c r="L362" s="65" t="n">
        <v>0</v>
      </c>
      <c r="M362" s="65" t="n"/>
      <c r="N362" s="65" t="n"/>
      <c r="O362" s="69">
        <f>800000*2</f>
        <v/>
      </c>
      <c r="P362" s="65" t="n"/>
      <c r="Q362" s="65" t="n"/>
      <c r="R362" s="65">
        <f>146*700</f>
        <v/>
      </c>
      <c r="S362" s="65" t="n"/>
      <c r="T362" s="65" t="n"/>
      <c r="U362" s="69">
        <f>265100+14500+13500+17000</f>
        <v/>
      </c>
      <c r="V362" s="69">
        <f>133200+130800</f>
        <v/>
      </c>
      <c r="W362" s="69" t="n"/>
      <c r="X362" s="66" t="n"/>
      <c r="Y362" s="65" t="n"/>
      <c r="Z362" s="69" t="n">
        <v>208000</v>
      </c>
      <c r="AA362" s="69" t="n">
        <v>24000</v>
      </c>
      <c r="AB362" s="65" t="n"/>
      <c r="AC362" s="65" t="n"/>
      <c r="AD362" s="65" t="n"/>
      <c r="AE362" s="65" t="n"/>
      <c r="AF362" s="65" t="n"/>
      <c r="AG362" s="65" t="n"/>
      <c r="AH362" s="65" t="n"/>
      <c r="AI362" s="65" t="n"/>
      <c r="AJ362" s="65" t="n"/>
      <c r="AK362" s="65" t="n"/>
      <c r="AL362" s="65" t="n"/>
      <c r="AM362" s="65" t="n">
        <v>15000</v>
      </c>
      <c r="AN362" s="65" t="n"/>
      <c r="AO362" s="65" t="n"/>
      <c r="AP362" s="65" t="n"/>
      <c r="AQ362" s="65" t="n"/>
      <c r="AR362" s="65" t="n"/>
      <c r="AS362" s="65" t="n"/>
      <c r="AT362" s="65" t="n"/>
      <c r="AU362" s="65" t="n"/>
      <c r="AV362" s="65" t="n"/>
      <c r="AW362" s="65" t="n"/>
      <c r="AX362" s="65" t="n"/>
      <c r="AY362" s="65" t="n"/>
      <c r="AZ362" s="65" t="n"/>
      <c r="BA362" s="65" t="n"/>
      <c r="BB362" s="65" t="n"/>
      <c r="BC362" s="65" t="n"/>
      <c r="BD362" s="65" t="n"/>
      <c r="BE362" s="65" t="n"/>
      <c r="BF362" s="65" t="n"/>
      <c r="BG362" s="65" t="n"/>
    </row>
    <row r="363">
      <c r="B363" s="1" t="inlineStr">
        <is>
          <t>パークタワー台原</t>
        </is>
      </c>
      <c r="C363" s="1" t="inlineStr">
        <is>
          <t>LIXIL</t>
        </is>
      </c>
      <c r="D363" s="1" t="inlineStr">
        <is>
          <t>UB・K・トイレ入替</t>
        </is>
      </c>
      <c r="E363" s="2" t="inlineStr">
        <is>
          <t>11月</t>
        </is>
      </c>
      <c r="F363" s="68" t="n">
        <v>160500</v>
      </c>
      <c r="G363" s="68">
        <f>IF(B363="","",F363-I363 )</f>
        <v/>
      </c>
      <c r="H363" s="5">
        <f>IF(G363="","",G363/F363)</f>
        <v/>
      </c>
      <c r="I363" s="62">
        <f>SUM(テーブル9[[#This Row],[五大]:[工場材]])</f>
        <v/>
      </c>
      <c r="J363" s="65" t="n"/>
      <c r="K363" s="65" t="n"/>
      <c r="L363" s="65" t="n"/>
      <c r="M363" s="65" t="n"/>
      <c r="N363" s="65" t="n"/>
      <c r="O363" s="69" t="n"/>
      <c r="P363" s="65" t="n"/>
      <c r="Q363" s="65" t="n"/>
      <c r="R363" s="65" t="n"/>
      <c r="S363" s="65" t="n"/>
      <c r="T363" s="65" t="n"/>
      <c r="U363" s="69" t="n"/>
      <c r="V363" s="65" t="n"/>
      <c r="W363" s="69" t="n"/>
      <c r="X363" s="66" t="n"/>
      <c r="Y363" s="65" t="n"/>
      <c r="Z363" s="65" t="n"/>
      <c r="AA363" s="69" t="n"/>
      <c r="AB363" s="65" t="n">
        <v>170000</v>
      </c>
      <c r="AC363" s="65" t="n"/>
      <c r="AD363" s="65" t="n"/>
      <c r="AE363" s="65" t="n"/>
      <c r="AF363" s="65" t="n"/>
      <c r="AG363" s="65" t="n"/>
      <c r="AH363" s="65" t="n"/>
      <c r="AI363" s="65" t="n"/>
      <c r="AJ363" s="65" t="n"/>
      <c r="AK363" s="65" t="n"/>
      <c r="AL363" s="65" t="n"/>
      <c r="AM363" s="65" t="n"/>
      <c r="AN363" s="65" t="n"/>
      <c r="AO363" s="65" t="n"/>
      <c r="AP363" s="65" t="n"/>
      <c r="AQ363" s="65" t="n"/>
      <c r="AR363" s="65" t="n"/>
      <c r="AS363" s="65" t="n"/>
      <c r="AT363" s="65" t="n"/>
      <c r="AU363" s="65" t="n"/>
      <c r="AV363" s="65" t="n"/>
      <c r="AW363" s="65" t="n"/>
      <c r="AX363" s="65" t="n"/>
      <c r="AY363" s="65" t="n"/>
      <c r="AZ363" s="65" t="n"/>
      <c r="BA363" s="65" t="n"/>
      <c r="BB363" s="65" t="n"/>
      <c r="BC363" s="65" t="n"/>
      <c r="BD363" s="65" t="n"/>
      <c r="BE363" s="65" t="n"/>
      <c r="BF363" s="65" t="n"/>
      <c r="BG363" s="65" t="n"/>
    </row>
    <row r="364">
      <c r="B364" s="1" t="inlineStr">
        <is>
          <t>南光台　櫻井邸</t>
        </is>
      </c>
      <c r="C364" s="1" t="inlineStr">
        <is>
          <t>LIXIL</t>
        </is>
      </c>
      <c r="D364" s="1" t="inlineStr">
        <is>
          <t>UB入替</t>
        </is>
      </c>
      <c r="E364" s="2" t="inlineStr">
        <is>
          <t>11月</t>
        </is>
      </c>
      <c r="F364" s="68" t="n">
        <v>551000</v>
      </c>
      <c r="G364" s="68">
        <f>IF(B364="","",F364-I364 )</f>
        <v/>
      </c>
      <c r="H364" s="5">
        <f>IF(G364="","",G364/F364)</f>
        <v/>
      </c>
      <c r="I364" s="62">
        <f>SUM(テーブル9[[#This Row],[五大]:[工場材]])</f>
        <v/>
      </c>
      <c r="J364" s="65" t="n"/>
      <c r="K364" s="65" t="n"/>
      <c r="L364" s="65" t="n"/>
      <c r="M364" s="65" t="n"/>
      <c r="N364" s="65" t="n"/>
      <c r="O364" s="69" t="n">
        <v>18000</v>
      </c>
      <c r="P364" s="65" t="n"/>
      <c r="Q364" s="65" t="n"/>
      <c r="R364" s="65" t="n"/>
      <c r="S364" s="65" t="n"/>
      <c r="T364" s="65" t="n"/>
      <c r="U364" s="69" t="n"/>
      <c r="V364" s="65" t="n"/>
      <c r="W364" s="69">
        <f>70000+20000</f>
        <v/>
      </c>
      <c r="X364" s="66" t="n">
        <v>31436</v>
      </c>
      <c r="Y364" s="65" t="n"/>
      <c r="Z364" s="65" t="n"/>
      <c r="AA364" s="69" t="n">
        <v>60000</v>
      </c>
      <c r="AB364" s="73" t="n">
        <v>118000</v>
      </c>
      <c r="AC364" s="65" t="n"/>
      <c r="AD364" s="65" t="n"/>
      <c r="AE364" s="65" t="n"/>
      <c r="AF364" s="65" t="n"/>
      <c r="AG364" s="65" t="n"/>
      <c r="AH364" s="69" t="n"/>
      <c r="AI364" s="64" t="n">
        <v>23000</v>
      </c>
      <c r="AJ364" s="65" t="n"/>
      <c r="AK364" s="65" t="n"/>
      <c r="AL364" s="65" t="n"/>
      <c r="AM364" s="65" t="n"/>
      <c r="AN364" s="65" t="n"/>
      <c r="AO364" s="69" t="n">
        <v>18360</v>
      </c>
      <c r="AP364" s="65" t="n"/>
      <c r="AQ364" s="65" t="n"/>
      <c r="AR364" s="65" t="n"/>
      <c r="AS364" s="65" t="n"/>
      <c r="AT364" s="65" t="n"/>
      <c r="AU364" s="65" t="n"/>
      <c r="AV364" s="65" t="n"/>
      <c r="AW364" s="65" t="n"/>
      <c r="AX364" s="65" t="n"/>
      <c r="AY364" s="65" t="n"/>
      <c r="AZ364" s="65" t="n"/>
      <c r="BA364" s="65" t="n"/>
      <c r="BB364" s="65" t="n"/>
      <c r="BC364" s="65" t="n"/>
      <c r="BD364" s="65" t="n"/>
      <c r="BE364" s="65" t="n"/>
      <c r="BF364" s="65" t="n"/>
      <c r="BG364" s="65" t="n">
        <v>8000</v>
      </c>
    </row>
    <row r="365">
      <c r="B365" s="1" t="inlineStr">
        <is>
          <t>沖野　針生邸</t>
        </is>
      </c>
      <c r="C365" s="1" t="inlineStr">
        <is>
          <t>LIXIL</t>
        </is>
      </c>
      <c r="D365" s="1" t="inlineStr">
        <is>
          <t>UB・化粧台</t>
        </is>
      </c>
      <c r="E365" s="2" t="inlineStr">
        <is>
          <t>11月</t>
        </is>
      </c>
      <c r="F365" s="68" t="n">
        <v>566960</v>
      </c>
      <c r="G365" s="68">
        <f>IF(B365="","",F365-I365 )</f>
        <v/>
      </c>
      <c r="H365" s="5">
        <f>IF(G365="","",G365/F365)</f>
        <v/>
      </c>
      <c r="I365" s="62">
        <f>SUM(テーブル9[[#This Row],[五大]:[工場材]])</f>
        <v/>
      </c>
      <c r="J365" s="65" t="n"/>
      <c r="K365" s="65" t="n"/>
      <c r="L365" s="65" t="n"/>
      <c r="M365" s="65" t="n"/>
      <c r="N365" s="65" t="n"/>
      <c r="O365" s="69" t="n">
        <v>18000</v>
      </c>
      <c r="P365" s="65" t="n"/>
      <c r="Q365" s="65" t="n"/>
      <c r="R365" s="65" t="n"/>
      <c r="S365" s="65" t="n"/>
      <c r="T365" s="65" t="n"/>
      <c r="U365" s="69">
        <f>6700+12500</f>
        <v/>
      </c>
      <c r="V365" s="65" t="n"/>
      <c r="W365" s="69" t="n">
        <v>160000</v>
      </c>
      <c r="X365" s="66" t="n">
        <v>45762</v>
      </c>
      <c r="Y365" s="65" t="n"/>
      <c r="Z365" s="65" t="n"/>
      <c r="AA365" s="69" t="n">
        <v>40000</v>
      </c>
      <c r="AB365" s="69" t="n">
        <v>116000</v>
      </c>
      <c r="AC365" s="65" t="n"/>
      <c r="AD365" s="65" t="n"/>
      <c r="AE365" s="65" t="n"/>
      <c r="AF365" s="65" t="n"/>
      <c r="AG365" s="65" t="n"/>
      <c r="AH365" s="69" t="n">
        <v>30000</v>
      </c>
      <c r="AI365" s="64" t="n">
        <v>20000</v>
      </c>
      <c r="AJ365" s="65" t="n"/>
      <c r="AK365" s="65" t="n"/>
      <c r="AL365" s="65" t="n"/>
      <c r="AM365" s="65" t="n"/>
      <c r="AN365" s="65" t="n"/>
      <c r="AO365" s="65" t="n"/>
      <c r="AP365" s="65" t="n"/>
      <c r="AQ365" s="65" t="n"/>
      <c r="AR365" s="65" t="n"/>
      <c r="AS365" s="65" t="n"/>
      <c r="AT365" s="65" t="n"/>
      <c r="AU365" s="65" t="n"/>
      <c r="AV365" s="65" t="n"/>
      <c r="AW365" s="65" t="n"/>
      <c r="AX365" s="65" t="n"/>
      <c r="AY365" s="65" t="n"/>
      <c r="AZ365" s="65" t="n"/>
      <c r="BA365" s="65" t="n"/>
      <c r="BB365" s="65" t="n"/>
      <c r="BC365" s="65" t="n"/>
      <c r="BD365" s="65" t="n"/>
      <c r="BE365" s="65" t="n"/>
      <c r="BF365" s="65" t="n"/>
      <c r="BG365" s="65" t="n"/>
    </row>
    <row r="366">
      <c r="F366" s="68" t="n"/>
      <c r="G366" s="68">
        <f>IF(B366="","",F366-I366 )</f>
        <v/>
      </c>
      <c r="H366" s="5">
        <f>IF(G366="","",G366/F366)</f>
        <v/>
      </c>
      <c r="I366" s="62">
        <f>SUM(テーブル9[[#This Row],[五大]:[工場材]])</f>
        <v/>
      </c>
      <c r="J366" s="65" t="n"/>
      <c r="K366" s="65" t="n"/>
      <c r="L366" s="65" t="n"/>
      <c r="M366" s="65" t="n"/>
      <c r="N366" s="65" t="n"/>
      <c r="O366" s="69" t="n"/>
      <c r="P366" s="65" t="n"/>
      <c r="Q366" s="65" t="n"/>
      <c r="R366" s="65" t="n"/>
      <c r="S366" s="65" t="n"/>
      <c r="T366" s="65" t="n"/>
      <c r="U366" s="69" t="n"/>
      <c r="V366" s="65" t="n"/>
      <c r="W366" s="69" t="n"/>
      <c r="X366" s="66" t="n"/>
      <c r="Y366" s="65" t="n"/>
      <c r="Z366" s="65" t="n"/>
      <c r="AA366" s="69" t="n"/>
      <c r="AB366" s="65" t="n"/>
      <c r="AC366" s="65" t="n"/>
      <c r="AD366" s="65" t="n"/>
      <c r="AE366" s="65" t="n"/>
      <c r="AF366" s="65" t="n"/>
      <c r="AG366" s="65" t="n"/>
      <c r="AH366" s="69" t="n"/>
      <c r="AI366" s="65" t="n"/>
      <c r="AJ366" s="65" t="n"/>
      <c r="AK366" s="65" t="n"/>
      <c r="AL366" s="65" t="n"/>
      <c r="AM366" s="65" t="n"/>
      <c r="AN366" s="65" t="n"/>
      <c r="AO366" s="65" t="n"/>
      <c r="AP366" s="65" t="n"/>
      <c r="AQ366" s="65" t="n"/>
      <c r="AR366" s="65" t="n"/>
      <c r="AS366" s="65" t="n"/>
      <c r="AT366" s="65" t="n"/>
      <c r="AU366" s="65" t="n"/>
      <c r="AV366" s="65" t="n"/>
      <c r="AW366" s="65" t="n"/>
      <c r="AX366" s="65" t="n"/>
      <c r="AY366" s="65" t="n"/>
      <c r="AZ366" s="65" t="n"/>
      <c r="BA366" s="65" t="n"/>
      <c r="BB366" s="65" t="n"/>
      <c r="BC366" s="65" t="n"/>
      <c r="BD366" s="65" t="n"/>
      <c r="BE366" s="65" t="n"/>
      <c r="BF366" s="65" t="n"/>
      <c r="BG366" s="65" t="n"/>
    </row>
    <row r="367">
      <c r="F367" s="68" t="n"/>
      <c r="G367" s="68">
        <f>IF(B367="","",F367-I367 )</f>
        <v/>
      </c>
      <c r="H367" s="5">
        <f>IF(G367="","",G367/F367)</f>
        <v/>
      </c>
      <c r="I367" s="62">
        <f>SUM(テーブル9[[#This Row],[五大]:[工場材]])</f>
        <v/>
      </c>
      <c r="J367" s="65" t="n"/>
      <c r="K367" s="65" t="n"/>
      <c r="L367" s="65" t="n"/>
      <c r="M367" s="65" t="n"/>
      <c r="N367" s="65" t="n"/>
      <c r="O367" s="69" t="n"/>
      <c r="P367" s="65" t="n"/>
      <c r="Q367" s="65" t="n"/>
      <c r="R367" s="65" t="n"/>
      <c r="S367" s="65" t="n"/>
      <c r="T367" s="65" t="n"/>
      <c r="U367" s="69" t="n"/>
      <c r="V367" s="65" t="n"/>
      <c r="W367" s="69" t="n"/>
      <c r="X367" s="66" t="n"/>
      <c r="Y367" s="65" t="n"/>
      <c r="Z367" s="65" t="n"/>
      <c r="AA367" s="69" t="n"/>
      <c r="AB367" s="65" t="n"/>
      <c r="AC367" s="65" t="n"/>
      <c r="AD367" s="65" t="n"/>
      <c r="AE367" s="65" t="n"/>
      <c r="AF367" s="65" t="n"/>
      <c r="AG367" s="65" t="n"/>
      <c r="AH367" s="69" t="n"/>
      <c r="AI367" s="65" t="n"/>
      <c r="AJ367" s="65" t="n"/>
      <c r="AK367" s="65" t="n"/>
      <c r="AL367" s="65" t="n"/>
      <c r="AM367" s="65" t="n"/>
      <c r="AN367" s="65" t="n"/>
      <c r="AO367" s="65" t="n"/>
      <c r="AP367" s="65" t="n"/>
      <c r="AQ367" s="65" t="n"/>
      <c r="AR367" s="65" t="n"/>
      <c r="AS367" s="65" t="n"/>
      <c r="AT367" s="65" t="n"/>
      <c r="AU367" s="65" t="n"/>
      <c r="AV367" s="65" t="n"/>
      <c r="AW367" s="65" t="n"/>
      <c r="AX367" s="65" t="n"/>
      <c r="AY367" s="65" t="n"/>
      <c r="AZ367" s="65" t="n"/>
      <c r="BA367" s="65" t="n"/>
      <c r="BB367" s="65" t="n"/>
      <c r="BC367" s="65" t="n"/>
      <c r="BD367" s="65" t="n"/>
      <c r="BE367" s="65" t="n"/>
      <c r="BF367" s="65" t="n"/>
      <c r="BG367" s="65" t="n"/>
    </row>
    <row r="368">
      <c r="B368" s="1" t="inlineStr">
        <is>
          <t>サニービル</t>
        </is>
      </c>
      <c r="C368" s="1" t="inlineStr">
        <is>
          <t>一心工芸</t>
        </is>
      </c>
      <c r="D368" s="1" t="inlineStr">
        <is>
          <t>コイン新築</t>
        </is>
      </c>
      <c r="E368" s="2" t="inlineStr">
        <is>
          <t>11月</t>
        </is>
      </c>
      <c r="F368" s="68">
        <f>1139000+25000+32000</f>
        <v/>
      </c>
      <c r="G368" s="68">
        <f>IF(B368="","",F368-I368 )</f>
        <v/>
      </c>
      <c r="H368" s="5">
        <f>IF(G368="","",G368/F368)</f>
        <v/>
      </c>
      <c r="I368" s="62">
        <f>SUM(テーブル9[[#This Row],[五大]:[工場材]])</f>
        <v/>
      </c>
      <c r="J368" s="65" t="n"/>
      <c r="K368" s="65" t="n"/>
      <c r="L368" s="65" t="n"/>
      <c r="M368" s="65" t="n"/>
      <c r="N368" s="65" t="n"/>
      <c r="O368" s="69" t="n"/>
      <c r="P368" s="65" t="n"/>
      <c r="Q368" s="65" t="n"/>
      <c r="R368" s="65" t="n"/>
      <c r="S368" s="65" t="n"/>
      <c r="T368" s="65" t="n"/>
      <c r="U368" s="69" t="n"/>
      <c r="V368" s="65" t="n"/>
      <c r="W368" s="69" t="n">
        <v>120000</v>
      </c>
      <c r="X368" s="66" t="n">
        <v>45422</v>
      </c>
      <c r="Y368" s="65" t="n">
        <v>97000</v>
      </c>
      <c r="Z368" s="65" t="n"/>
      <c r="AA368" s="73" t="n">
        <v>171000</v>
      </c>
      <c r="AB368" s="69" t="n">
        <v>91350</v>
      </c>
      <c r="AC368" s="65" t="n"/>
      <c r="AD368" s="65" t="n"/>
      <c r="AE368" s="69" t="n">
        <v>20000</v>
      </c>
      <c r="AF368" s="69" t="n">
        <v>483000</v>
      </c>
      <c r="AG368" s="65" t="n"/>
      <c r="AH368" s="69" t="n">
        <v>18000</v>
      </c>
      <c r="AI368" s="65" t="n"/>
      <c r="AJ368" s="65" t="n"/>
      <c r="AK368" s="65" t="n"/>
      <c r="AL368" s="65" t="n"/>
      <c r="AM368" s="65" t="n"/>
      <c r="AN368" s="69" t="n">
        <v>20000</v>
      </c>
      <c r="AO368" s="69" t="n"/>
      <c r="AP368" s="69" t="n"/>
      <c r="AQ368" s="69" t="n"/>
      <c r="AR368" s="69" t="n"/>
      <c r="AS368" s="69" t="n"/>
      <c r="AT368" s="69" t="n"/>
      <c r="AU368" s="65" t="n"/>
      <c r="AV368" s="65" t="n"/>
      <c r="AW368" s="65" t="n"/>
      <c r="AX368" s="65" t="n"/>
      <c r="AY368" s="65" t="n"/>
      <c r="AZ368" s="65" t="n"/>
      <c r="BA368" s="65" t="n"/>
      <c r="BB368" s="65" t="n"/>
      <c r="BC368" s="65" t="n"/>
      <c r="BD368" s="65" t="n"/>
      <c r="BE368" s="65" t="n"/>
      <c r="BF368" s="65" t="n"/>
      <c r="BG368" s="65" t="n"/>
    </row>
    <row r="369">
      <c r="B369" s="1" t="inlineStr">
        <is>
          <t>国見　戸建て</t>
        </is>
      </c>
      <c r="C369" s="1" t="inlineStr">
        <is>
          <t>積水不動産</t>
        </is>
      </c>
      <c r="D369" s="1" t="inlineStr">
        <is>
          <t>リノベーション</t>
        </is>
      </c>
      <c r="E369" s="2" t="inlineStr">
        <is>
          <t>11月</t>
        </is>
      </c>
      <c r="F369" s="68">
        <f>4350000+436000</f>
        <v/>
      </c>
      <c r="G369" s="68">
        <f>IF(B369="","",F369-I369 )</f>
        <v/>
      </c>
      <c r="H369" s="5">
        <f>IF(G369="","",G369/F369)</f>
        <v/>
      </c>
      <c r="I369" s="62">
        <f>SUM(テーブル9[[#This Row],[五大]:[工場材]])</f>
        <v/>
      </c>
      <c r="J369" s="65" t="n"/>
      <c r="K369" s="65" t="n"/>
      <c r="L369" s="65" t="n"/>
      <c r="M369" s="65" t="n"/>
      <c r="N369" s="65" t="n"/>
      <c r="O369" s="69" t="n"/>
      <c r="P369" s="65" t="n"/>
      <c r="Q369" s="65" t="n"/>
      <c r="R369" s="65" t="n"/>
      <c r="S369" s="65" t="n"/>
      <c r="T369" s="65" t="n"/>
      <c r="U369" s="69" t="n"/>
      <c r="V369" s="65" t="n"/>
      <c r="W369" s="69" t="n">
        <v>900000</v>
      </c>
      <c r="X369" s="66" t="n">
        <v>140527</v>
      </c>
      <c r="Y369" s="65" t="n"/>
      <c r="Z369" s="65" t="n"/>
      <c r="AA369" s="69">
        <f>392490+104000</f>
        <v/>
      </c>
      <c r="AB369" s="65" t="n">
        <v>70000</v>
      </c>
      <c r="AC369" s="65" t="n"/>
      <c r="AD369" s="65" t="n"/>
      <c r="AE369" s="69" t="n">
        <v>676370</v>
      </c>
      <c r="AF369" s="65" t="n"/>
      <c r="AG369" s="69">
        <f>323960+8200+3800+48000+3500</f>
        <v/>
      </c>
      <c r="AH369" s="69" t="n"/>
      <c r="AI369" s="65" t="n"/>
      <c r="AJ369" s="65" t="n"/>
      <c r="AK369" s="65" t="n">
        <v>140000</v>
      </c>
      <c r="AL369" s="65" t="n"/>
      <c r="AM369" s="65" t="n"/>
      <c r="AN369" s="69" t="n"/>
      <c r="AO369" s="69" t="n"/>
      <c r="AP369" s="69" t="n"/>
      <c r="AQ369" s="69" t="n"/>
      <c r="AR369" s="69" t="n"/>
      <c r="AS369" s="69" t="n"/>
      <c r="AT369" s="69" t="n"/>
      <c r="AU369" s="65" t="n"/>
      <c r="AV369" s="65" t="n"/>
      <c r="AW369" s="65" t="n"/>
      <c r="AX369" s="65" t="n"/>
      <c r="AY369" s="65" t="n"/>
      <c r="AZ369" s="65" t="n"/>
      <c r="BA369" s="65" t="n"/>
      <c r="BB369" s="65" t="n"/>
      <c r="BC369" s="65" t="n"/>
      <c r="BD369" s="65" t="n"/>
      <c r="BE369" s="65" t="n"/>
      <c r="BF369" s="65" t="n"/>
      <c r="BG369" s="65" t="n"/>
    </row>
    <row r="370">
      <c r="B370" s="1" t="inlineStr">
        <is>
          <t>ジュネスM　202</t>
        </is>
      </c>
      <c r="C370" s="1" t="inlineStr">
        <is>
          <t>積水不動産</t>
        </is>
      </c>
      <c r="D370" s="1" t="inlineStr">
        <is>
          <t>プチリノベ</t>
        </is>
      </c>
      <c r="E370" s="2" t="inlineStr">
        <is>
          <t>11月</t>
        </is>
      </c>
      <c r="F370" s="68" t="n">
        <v>1120000</v>
      </c>
      <c r="G370" s="68">
        <f>IF(B370="","",F370-I370 )</f>
        <v/>
      </c>
      <c r="H370" s="5">
        <f>IF(G370="","",G370/F370)</f>
        <v/>
      </c>
      <c r="I370" s="62">
        <f>SUM(テーブル9[[#This Row],[五大]:[工場材]])</f>
        <v/>
      </c>
      <c r="J370" s="65" t="n"/>
      <c r="K370" s="65" t="n"/>
      <c r="L370" s="65" t="n"/>
      <c r="M370" s="65" t="n"/>
      <c r="N370" s="65" t="n"/>
      <c r="O370" s="69" t="n"/>
      <c r="P370" s="65" t="n"/>
      <c r="Q370" s="65" t="n"/>
      <c r="R370" s="65" t="n"/>
      <c r="S370" s="65" t="n"/>
      <c r="T370" s="65" t="n"/>
      <c r="U370" s="69" t="n"/>
      <c r="V370" s="65" t="n"/>
      <c r="W370" s="69" t="n">
        <v>150000</v>
      </c>
      <c r="X370" s="66" t="n">
        <v>26615</v>
      </c>
      <c r="Y370" s="65" t="n"/>
      <c r="Z370" s="65" t="n"/>
      <c r="AA370" s="69" t="n">
        <v>35000</v>
      </c>
      <c r="AB370" s="65" t="n">
        <v>91000</v>
      </c>
      <c r="AC370" s="65" t="n"/>
      <c r="AD370" s="65" t="n"/>
      <c r="AE370" s="65" t="n"/>
      <c r="AF370" s="65" t="n"/>
      <c r="AG370" s="65" t="n">
        <v>150000</v>
      </c>
      <c r="AH370" s="69" t="n"/>
      <c r="AI370" s="65" t="n"/>
      <c r="AJ370" s="65" t="n"/>
      <c r="AK370" s="65" t="n"/>
      <c r="AL370" s="65" t="n"/>
      <c r="AM370" s="65" t="n"/>
      <c r="AN370" s="69" t="n"/>
      <c r="AO370" s="69">
        <f>5380+65080+199080</f>
        <v/>
      </c>
      <c r="AP370" s="69" t="n">
        <v>26000</v>
      </c>
      <c r="AQ370" s="69" t="n"/>
      <c r="AR370" s="69" t="n"/>
      <c r="AS370" s="69" t="n"/>
      <c r="AT370" s="69" t="n"/>
      <c r="AU370" s="65" t="n"/>
      <c r="AV370" s="65" t="n"/>
      <c r="AW370" s="69" t="n">
        <v>64000</v>
      </c>
      <c r="AX370" s="69" t="n"/>
      <c r="AY370" s="69" t="n"/>
      <c r="AZ370" s="65" t="n">
        <v>42000</v>
      </c>
      <c r="BA370" s="65" t="n"/>
      <c r="BB370" s="65" t="n"/>
      <c r="BC370" s="65" t="n"/>
      <c r="BD370" s="65" t="n"/>
      <c r="BE370" s="65" t="n"/>
      <c r="BF370" s="65" t="n"/>
      <c r="BG370" s="65">
        <f>59414+7000</f>
        <v/>
      </c>
    </row>
    <row r="371">
      <c r="B371" s="1" t="inlineStr">
        <is>
          <t>国見　戸建て（表札高橋）</t>
        </is>
      </c>
      <c r="C371" s="1" t="inlineStr">
        <is>
          <t>積和建設</t>
        </is>
      </c>
      <c r="D371" s="1" t="inlineStr">
        <is>
          <t>リフォーム</t>
        </is>
      </c>
      <c r="E371" s="2" t="inlineStr">
        <is>
          <t>11月</t>
        </is>
      </c>
      <c r="F371" s="68" t="n">
        <v>755000</v>
      </c>
      <c r="G371" s="68">
        <f>IF(B371="","",F371-I371 )</f>
        <v/>
      </c>
      <c r="H371" s="5">
        <f>IF(G371="","",G371/F371)</f>
        <v/>
      </c>
      <c r="I371" s="62">
        <f>SUM(テーブル9[[#This Row],[五大]:[工場材]])</f>
        <v/>
      </c>
      <c r="J371" s="65" t="n"/>
      <c r="K371" s="65" t="n"/>
      <c r="L371" s="65" t="n"/>
      <c r="M371" s="65" t="n"/>
      <c r="N371" s="65" t="n"/>
      <c r="O371" s="69" t="n"/>
      <c r="P371" s="65" t="n"/>
      <c r="Q371" s="65" t="n"/>
      <c r="R371" s="65" t="n"/>
      <c r="S371" s="65" t="n"/>
      <c r="T371" s="65" t="n"/>
      <c r="U371" s="69" t="n"/>
      <c r="V371" s="65" t="n"/>
      <c r="W371" s="69">
        <f>150000*0.8</f>
        <v/>
      </c>
      <c r="X371" s="66" t="n">
        <v>27818</v>
      </c>
      <c r="Y371" s="65" t="n"/>
      <c r="Z371" s="65">
        <f>275*2</f>
        <v/>
      </c>
      <c r="AA371" s="69" t="n">
        <v>141000</v>
      </c>
      <c r="AB371" s="69" t="n">
        <v>77000</v>
      </c>
      <c r="AC371" s="65" t="n"/>
      <c r="AD371" s="65" t="n"/>
      <c r="AE371" s="65" t="n"/>
      <c r="AF371" s="65" t="n"/>
      <c r="AG371" s="65" t="n"/>
      <c r="AH371" s="69" t="n">
        <v>116450</v>
      </c>
      <c r="AI371" s="65" t="n"/>
      <c r="AJ371" s="65" t="n"/>
      <c r="AK371" s="65" t="n"/>
      <c r="AL371" s="65" t="n"/>
      <c r="AM371" s="65" t="n"/>
      <c r="AN371" s="69" t="n"/>
      <c r="AO371" s="69">
        <f>5380+10760</f>
        <v/>
      </c>
      <c r="AP371" s="69">
        <f>36000+23700+12300+9300</f>
        <v/>
      </c>
      <c r="AQ371" s="69" t="n"/>
      <c r="AR371" s="69" t="n"/>
      <c r="AS371" s="69" t="n"/>
      <c r="AT371" s="69" t="n"/>
      <c r="AU371" s="65" t="n"/>
      <c r="AV371" s="65" t="n"/>
      <c r="AW371" s="65" t="n"/>
      <c r="AX371" s="65" t="n"/>
      <c r="AY371" s="65" t="n"/>
      <c r="AZ371" s="65" t="n"/>
      <c r="BA371" s="65" t="n"/>
      <c r="BB371" s="65" t="n"/>
      <c r="BC371" s="65" t="n"/>
      <c r="BD371" s="65" t="n"/>
      <c r="BE371" s="65" t="n"/>
      <c r="BF371" s="65" t="n"/>
      <c r="BG371" s="65" t="n"/>
    </row>
    <row r="372">
      <c r="B372" s="1" t="inlineStr">
        <is>
          <t>ライオンズマンション長町802</t>
        </is>
      </c>
      <c r="C372" s="1" t="inlineStr">
        <is>
          <t>積和建設</t>
        </is>
      </c>
      <c r="D372" s="1" t="inlineStr">
        <is>
          <t>リフォーム</t>
        </is>
      </c>
      <c r="E372" s="2" t="inlineStr">
        <is>
          <t>11月</t>
        </is>
      </c>
      <c r="F372" s="68" t="n">
        <v>3848000</v>
      </c>
      <c r="G372" s="68">
        <f>IF(B372="","",F372-I372 )</f>
        <v/>
      </c>
      <c r="H372" s="5">
        <f>IF(G372="","",G372/F372)</f>
        <v/>
      </c>
      <c r="I372" s="62">
        <f>SUM(テーブル9[[#This Row],[五大]:[工場材]])</f>
        <v/>
      </c>
      <c r="J372" s="65" t="n"/>
      <c r="K372" s="65" t="n"/>
      <c r="L372" s="65" t="n"/>
      <c r="M372" s="65" t="n"/>
      <c r="N372" s="65" t="n"/>
      <c r="O372" s="69" t="n">
        <v>25700</v>
      </c>
      <c r="P372" s="65" t="n"/>
      <c r="Q372" s="65" t="n"/>
      <c r="R372" s="65" t="n"/>
      <c r="S372" s="65" t="n"/>
      <c r="T372" s="65" t="n"/>
      <c r="U372" s="69" t="n"/>
      <c r="V372" s="65" t="n"/>
      <c r="W372" s="69" t="n">
        <v>500000</v>
      </c>
      <c r="X372" s="66" t="n">
        <v>159460</v>
      </c>
      <c r="Y372" s="65" t="n"/>
      <c r="Z372" s="65" t="n"/>
      <c r="AA372" s="69" t="n">
        <v>200000</v>
      </c>
      <c r="AB372" s="69" t="n">
        <v>240000</v>
      </c>
      <c r="AC372" s="65" t="n"/>
      <c r="AD372" s="65" t="n"/>
      <c r="AE372" s="65" t="n"/>
      <c r="AF372" s="65" t="n"/>
      <c r="AG372" s="69">
        <f>166140+18450+17000+8190+19000+4900</f>
        <v/>
      </c>
      <c r="AH372" s="69" t="n"/>
      <c r="AI372" s="65" t="n"/>
      <c r="AJ372" s="65" t="n"/>
      <c r="AK372" s="65" t="n"/>
      <c r="AL372" s="65" t="n"/>
      <c r="AM372" s="65" t="n"/>
      <c r="AN372" s="69" t="n"/>
      <c r="AO372" s="69">
        <f>18400+92090+19050+255208+82840+5300+28766</f>
        <v/>
      </c>
      <c r="AP372" s="69">
        <f>684084-81300+480826</f>
        <v/>
      </c>
      <c r="AQ372" s="69" t="n"/>
      <c r="AR372" s="69" t="n"/>
      <c r="AS372" s="69" t="n"/>
      <c r="AT372" s="69" t="n"/>
      <c r="AU372" s="65" t="n"/>
      <c r="AV372" s="65" t="n"/>
      <c r="AW372" s="65" t="n"/>
      <c r="AX372" s="65" t="n"/>
      <c r="AY372" s="65" t="n"/>
      <c r="AZ372" s="65" t="n"/>
      <c r="BA372" s="65" t="n"/>
      <c r="BB372" s="65" t="n"/>
      <c r="BC372" s="65" t="n"/>
      <c r="BD372" s="65" t="n"/>
      <c r="BE372" s="65" t="n"/>
      <c r="BF372" s="65" t="n"/>
      <c r="BG372" s="65" t="n"/>
    </row>
    <row r="373">
      <c r="B373" s="1" t="inlineStr">
        <is>
          <t>リバティーファクトリー</t>
        </is>
      </c>
      <c r="C373" s="1" t="inlineStr">
        <is>
          <t>積水不動産</t>
        </is>
      </c>
      <c r="D373" s="1" t="inlineStr">
        <is>
          <t>塗装</t>
        </is>
      </c>
      <c r="E373" s="2" t="inlineStr">
        <is>
          <t>11月</t>
        </is>
      </c>
      <c r="F373" s="68">
        <f>1170000+70000+95000</f>
        <v/>
      </c>
      <c r="G373" s="68">
        <f>IF(B373="","",F373-I373 )</f>
        <v/>
      </c>
      <c r="H373" s="5">
        <f>IF(G373="","",G373/F373)</f>
        <v/>
      </c>
      <c r="I373" s="62">
        <f>SUM(テーブル9[[#This Row],[五大]:[工場材]])</f>
        <v/>
      </c>
      <c r="J373" s="65" t="n"/>
      <c r="K373" s="69" t="n">
        <v>179000</v>
      </c>
      <c r="L373" s="65" t="n"/>
      <c r="M373" s="65" t="n"/>
      <c r="N373" s="65" t="n"/>
      <c r="O373" s="69" t="n">
        <v>500000</v>
      </c>
      <c r="P373" s="65" t="n"/>
      <c r="Q373" s="65" t="n"/>
      <c r="R373" s="65" t="n"/>
      <c r="S373" s="65" t="n"/>
      <c r="T373" s="65" t="n"/>
      <c r="U373" s="69" t="n">
        <v>192150</v>
      </c>
      <c r="V373" s="65" t="n">
        <v>131300</v>
      </c>
      <c r="W373" s="69" t="n"/>
      <c r="X373" s="66" t="n"/>
      <c r="Y373" s="65" t="n"/>
      <c r="Z373" s="65" t="n"/>
      <c r="AA373" s="69" t="n"/>
      <c r="AB373" s="65" t="n"/>
      <c r="AC373" s="65" t="n"/>
      <c r="AD373" s="65" t="n"/>
      <c r="AE373" s="65" t="n"/>
      <c r="AF373" s="65" t="n"/>
      <c r="AG373" s="65" t="n"/>
      <c r="AH373" s="69" t="n"/>
      <c r="AI373" s="65" t="n"/>
      <c r="AJ373" s="65" t="n"/>
      <c r="AK373" s="65" t="n"/>
      <c r="AL373" s="65" t="n"/>
      <c r="AM373" s="69" t="n"/>
      <c r="AN373" s="69" t="n"/>
      <c r="AO373" s="69" t="n"/>
      <c r="AP373" s="69" t="n"/>
      <c r="AQ373" s="69" t="n"/>
      <c r="AR373" s="69" t="n"/>
      <c r="AS373" s="69" t="n"/>
      <c r="AT373" s="69" t="n"/>
      <c r="AU373" s="65" t="n"/>
      <c r="AV373" s="65" t="n"/>
      <c r="AW373" s="65" t="n">
        <v>30000</v>
      </c>
      <c r="AX373" s="65" t="n"/>
      <c r="AY373" s="65" t="n"/>
      <c r="AZ373" s="65" t="n"/>
      <c r="BA373" s="65" t="n"/>
      <c r="BB373" s="65" t="n"/>
      <c r="BC373" s="65" t="n"/>
      <c r="BD373" s="65" t="n"/>
      <c r="BE373" s="65" t="n"/>
      <c r="BF373" s="65" t="n"/>
      <c r="BG373" s="65" t="n"/>
    </row>
    <row r="374">
      <c r="B374" s="1" t="inlineStr">
        <is>
          <t>茂庭　大型コインランドリー</t>
        </is>
      </c>
      <c r="C374" s="1" t="inlineStr">
        <is>
          <t>カイト</t>
        </is>
      </c>
      <c r="D374" s="1" t="inlineStr">
        <is>
          <t>コイン改修</t>
        </is>
      </c>
      <c r="E374" s="2" t="inlineStr">
        <is>
          <t>11月</t>
        </is>
      </c>
      <c r="F374" s="68" t="n">
        <v>750000</v>
      </c>
      <c r="G374" s="68">
        <f>IF(B374="","",F374-I374 )</f>
        <v/>
      </c>
      <c r="H374" s="5">
        <f>IF(G374="","",G374/F374)</f>
        <v/>
      </c>
      <c r="I374" s="62">
        <f>SUM(テーブル9[[#This Row],[五大]:[工場材]])</f>
        <v/>
      </c>
      <c r="J374" s="65" t="n"/>
      <c r="K374" s="65" t="n"/>
      <c r="L374" s="65" t="n"/>
      <c r="M374" s="65" t="n"/>
      <c r="N374" s="65" t="n"/>
      <c r="O374" s="69" t="n"/>
      <c r="P374" s="65" t="n"/>
      <c r="Q374" s="65" t="n"/>
      <c r="R374" s="65" t="n"/>
      <c r="S374" s="65" t="n"/>
      <c r="T374" s="65" t="n"/>
      <c r="U374" s="69" t="n"/>
      <c r="V374" s="65" t="n"/>
      <c r="W374" s="69" t="n">
        <v>35000</v>
      </c>
      <c r="X374" s="66" t="n">
        <v>12899</v>
      </c>
      <c r="Y374" s="65" t="n"/>
      <c r="Z374" s="65" t="n"/>
      <c r="AA374" s="69" t="n">
        <v>113000</v>
      </c>
      <c r="AB374" s="69" t="n">
        <v>226000</v>
      </c>
      <c r="AC374" s="65" t="n"/>
      <c r="AD374" s="65" t="n"/>
      <c r="AE374" s="65" t="n"/>
      <c r="AF374" s="69" t="n">
        <v>250000</v>
      </c>
      <c r="AG374" s="65" t="n"/>
      <c r="AH374" s="69" t="n">
        <v>18000</v>
      </c>
      <c r="AI374" s="65" t="n"/>
      <c r="AJ374" s="65" t="n"/>
      <c r="AK374" s="65" t="n"/>
      <c r="AL374" s="65" t="n"/>
      <c r="AM374" s="69" t="n"/>
      <c r="AN374" s="69" t="n"/>
      <c r="AO374" s="69" t="n"/>
      <c r="AP374" s="69" t="n"/>
      <c r="AQ374" s="69" t="n"/>
      <c r="AR374" s="69" t="n"/>
      <c r="AS374" s="69" t="n"/>
      <c r="AT374" s="69" t="n"/>
      <c r="AU374" s="65" t="n"/>
      <c r="AV374" s="65" t="n"/>
      <c r="AW374" s="65" t="n"/>
      <c r="AX374" s="65" t="n"/>
      <c r="AY374" s="65" t="n"/>
      <c r="AZ374" s="65" t="n"/>
      <c r="BA374" s="65" t="n"/>
      <c r="BB374" s="65" t="n"/>
      <c r="BC374" s="65" t="n"/>
      <c r="BD374" s="65" t="n"/>
      <c r="BE374" s="65" t="n"/>
      <c r="BF374" s="65" t="n"/>
      <c r="BG374" s="65" t="n"/>
    </row>
    <row r="375">
      <c r="B375" s="1" t="inlineStr">
        <is>
          <t>エクセレンスMAY</t>
        </is>
      </c>
      <c r="C375" s="1" t="inlineStr">
        <is>
          <t>積和建設</t>
        </is>
      </c>
      <c r="D375" s="1" t="inlineStr">
        <is>
          <t>防水・塗装</t>
        </is>
      </c>
      <c r="E375" s="2" t="inlineStr">
        <is>
          <t>12月</t>
        </is>
      </c>
      <c r="F375" s="68">
        <f>27000+1925000+5846000+260000</f>
        <v/>
      </c>
      <c r="G375" s="68">
        <f>IF(B375="","",F375-I375 )</f>
        <v/>
      </c>
      <c r="H375" s="5">
        <f>IF(G375="","",G375/F375)</f>
        <v/>
      </c>
      <c r="I375" s="62">
        <f>SUM(テーブル9[[#This Row],[五大]:[工場材]])</f>
        <v/>
      </c>
      <c r="J375" s="69" t="n">
        <v>550000</v>
      </c>
      <c r="K375" s="65" t="n"/>
      <c r="L375" s="65" t="n"/>
      <c r="M375" s="65" t="n"/>
      <c r="N375" s="65" t="n"/>
      <c r="O375" s="69" t="n"/>
      <c r="P375" s="65" t="n"/>
      <c r="Q375" s="65" t="n"/>
      <c r="R375" s="69">
        <f>200*700</f>
        <v/>
      </c>
      <c r="S375" s="65" t="n"/>
      <c r="T375" s="65" t="n"/>
      <c r="U375" s="69" t="n"/>
      <c r="V375" s="65" t="n"/>
      <c r="W375" s="65" t="n"/>
      <c r="X375" s="66" t="n"/>
      <c r="Y375" s="65" t="n"/>
      <c r="Z375" s="65" t="n"/>
      <c r="AA375" s="69" t="n"/>
      <c r="AB375" s="65" t="n"/>
      <c r="AC375" s="65" t="n"/>
      <c r="AD375" s="65" t="n"/>
      <c r="AE375" s="69">
        <f>1591300+2814375</f>
        <v/>
      </c>
      <c r="AF375" s="65" t="n"/>
      <c r="AG375" s="65" t="n"/>
      <c r="AH375" s="69" t="n"/>
      <c r="AI375" s="65" t="n"/>
      <c r="AJ375" s="65" t="n"/>
      <c r="AK375" s="65" t="n"/>
      <c r="AL375" s="65" t="n"/>
      <c r="AM375" s="69" t="n">
        <v>15000</v>
      </c>
      <c r="AN375" s="69" t="n"/>
      <c r="AO375" s="69" t="n"/>
      <c r="AP375" s="69" t="n"/>
      <c r="AQ375" s="69" t="n"/>
      <c r="AR375" s="69" t="n"/>
      <c r="AS375" s="69" t="n"/>
      <c r="AT375" s="69" t="n"/>
      <c r="AU375" s="65" t="n"/>
      <c r="AV375" s="65" t="n"/>
      <c r="AW375" s="65" t="n"/>
      <c r="AX375" s="65" t="n"/>
      <c r="AY375" s="65" t="n"/>
      <c r="AZ375" s="64" t="n">
        <v>930710</v>
      </c>
      <c r="BA375" s="65" t="n"/>
      <c r="BB375" s="65" t="n"/>
      <c r="BC375" s="65" t="n"/>
      <c r="BD375" s="65" t="n"/>
      <c r="BE375" s="65" t="n"/>
      <c r="BF375" s="65" t="n"/>
      <c r="BG375" s="65" t="n"/>
    </row>
    <row r="376">
      <c r="B376" s="1" t="inlineStr">
        <is>
          <t>アービス向陽台</t>
        </is>
      </c>
      <c r="C376" s="1" t="inlineStr">
        <is>
          <t>カスタマーズ</t>
        </is>
      </c>
      <c r="D376" s="1" t="inlineStr">
        <is>
          <t>通路天井塗装・シール</t>
        </is>
      </c>
      <c r="E376" s="2" t="inlineStr">
        <is>
          <t>11月</t>
        </is>
      </c>
      <c r="F376" s="68" t="n">
        <v>320000</v>
      </c>
      <c r="G376" s="68">
        <f>IF(B376="","",F376-I376 )</f>
        <v/>
      </c>
      <c r="H376" s="5">
        <f>IF(G376="","",G376/F376)</f>
        <v/>
      </c>
      <c r="I376" s="62">
        <f>SUM(テーブル9[[#This Row],[五大]:[工場材]])</f>
        <v/>
      </c>
      <c r="J376" s="65" t="n"/>
      <c r="K376" s="65" t="n"/>
      <c r="L376" s="65" t="n"/>
      <c r="M376" s="65" t="n"/>
      <c r="N376" s="65" t="n"/>
      <c r="O376" s="69" t="n">
        <v>80000</v>
      </c>
      <c r="P376" s="65" t="n"/>
      <c r="Q376" s="65" t="n"/>
      <c r="R376" s="65">
        <f>123*700</f>
        <v/>
      </c>
      <c r="S376" s="65" t="n"/>
      <c r="T376" s="65" t="n"/>
      <c r="U376" s="69" t="n"/>
      <c r="V376" s="65" t="n"/>
      <c r="W376" s="65" t="n"/>
      <c r="X376" s="66" t="n"/>
      <c r="Y376" s="65" t="n"/>
      <c r="Z376" s="65" t="n"/>
      <c r="AA376" s="69" t="n"/>
      <c r="AB376" s="65" t="n"/>
      <c r="AC376" s="65" t="n"/>
      <c r="AD376" s="65" t="n"/>
      <c r="AE376" s="65" t="n"/>
      <c r="AF376" s="65" t="n"/>
      <c r="AG376" s="65" t="n"/>
      <c r="AH376" s="65" t="n"/>
      <c r="AI376" s="65" t="n"/>
      <c r="AJ376" s="65" t="n"/>
      <c r="AK376" s="65" t="n"/>
      <c r="AL376" s="65" t="n"/>
      <c r="AM376" s="69" t="n"/>
      <c r="AN376" s="65" t="n"/>
      <c r="AO376" s="65" t="n"/>
      <c r="AP376" s="65" t="n"/>
      <c r="AQ376" s="65" t="n"/>
      <c r="AR376" s="65" t="n"/>
      <c r="AS376" s="65" t="n"/>
      <c r="AT376" s="65" t="n"/>
      <c r="AU376" s="65" t="n"/>
      <c r="AV376" s="65" t="n"/>
      <c r="AW376" s="65" t="n"/>
      <c r="AX376" s="65" t="n"/>
      <c r="AY376" s="65" t="n"/>
      <c r="AZ376" s="65" t="n"/>
      <c r="BA376" s="65" t="n"/>
      <c r="BB376" s="65" t="n"/>
      <c r="BC376" s="65" t="n"/>
      <c r="BD376" s="65" t="n"/>
      <c r="BE376" s="65" t="n"/>
      <c r="BF376" s="65" t="n"/>
      <c r="BG376" s="65" t="n"/>
    </row>
    <row r="377">
      <c r="B377" s="1" t="inlineStr">
        <is>
          <t>サンハイムサクライ</t>
        </is>
      </c>
      <c r="C377" s="1" t="inlineStr">
        <is>
          <t>庄司コーポレーション</t>
        </is>
      </c>
      <c r="D377" s="1" t="inlineStr">
        <is>
          <t>1F塗装</t>
        </is>
      </c>
      <c r="E377" s="2" t="inlineStr">
        <is>
          <t>10月</t>
        </is>
      </c>
      <c r="F377" s="68" t="n">
        <v>1350000</v>
      </c>
      <c r="G377" s="68">
        <f>IF(B377="","",F377-I377 )</f>
        <v/>
      </c>
      <c r="H377" s="5">
        <f>IF(G377="","",G377/F377)</f>
        <v/>
      </c>
      <c r="I377" s="62">
        <f>SUM(テーブル9[[#This Row],[五大]:[工場材]])</f>
        <v/>
      </c>
      <c r="J377" s="65" t="n"/>
      <c r="K377" s="65" t="n">
        <v>165000</v>
      </c>
      <c r="L377" s="65" t="n"/>
      <c r="M377" s="65" t="n"/>
      <c r="N377" s="65" t="n"/>
      <c r="O377" s="69" t="n">
        <v>450000</v>
      </c>
      <c r="P377" s="65" t="n"/>
      <c r="Q377" s="65" t="n"/>
      <c r="R377" s="65" t="n">
        <v>294000</v>
      </c>
      <c r="S377" s="65" t="n"/>
      <c r="T377" s="65" t="n"/>
      <c r="U377" s="69">
        <f>8900+10800+37500</f>
        <v/>
      </c>
      <c r="V377" s="65" t="n"/>
      <c r="W377" s="69" t="n"/>
      <c r="X377" s="66" t="n"/>
      <c r="Y377" s="65" t="n"/>
      <c r="Z377" s="65" t="n"/>
      <c r="AA377" s="69" t="n"/>
      <c r="AB377" s="65" t="n"/>
      <c r="AC377" s="65" t="n"/>
      <c r="AD377" s="65" t="n"/>
      <c r="AE377" s="65" t="n"/>
      <c r="AF377" s="65" t="n"/>
      <c r="AG377" s="65" t="n"/>
      <c r="AH377" s="65" t="n"/>
      <c r="AI377" s="65" t="n"/>
      <c r="AJ377" s="65" t="n"/>
      <c r="AK377" s="65" t="n"/>
      <c r="AL377" s="65" t="n"/>
      <c r="AM377" s="69" t="n"/>
      <c r="AN377" s="65" t="n"/>
      <c r="AO377" s="65" t="n"/>
      <c r="AP377" s="65" t="n"/>
      <c r="AQ377" s="65" t="n"/>
      <c r="AR377" s="65" t="n"/>
      <c r="AS377" s="65" t="n"/>
      <c r="AT377" s="65" t="n"/>
      <c r="AU377" s="65" t="n"/>
      <c r="AV377" s="65" t="n"/>
      <c r="AW377" s="65" t="n"/>
      <c r="AX377" s="65" t="n"/>
      <c r="AY377" s="65" t="n"/>
      <c r="AZ377" s="65" t="n"/>
      <c r="BA377" s="65" t="n"/>
      <c r="BB377" s="65" t="n"/>
      <c r="BC377" s="65" t="n"/>
      <c r="BD377" s="65" t="n"/>
      <c r="BE377" s="65" t="n"/>
      <c r="BF377" s="65" t="n"/>
      <c r="BG377" s="65" t="n"/>
    </row>
    <row r="378">
      <c r="B378" s="1" t="inlineStr">
        <is>
          <t>フォーブル杜　101.201</t>
        </is>
      </c>
      <c r="C378" s="1" t="inlineStr">
        <is>
          <t>積水不動産</t>
        </is>
      </c>
      <c r="D378" s="1" t="inlineStr">
        <is>
          <t>内装</t>
        </is>
      </c>
      <c r="E378" s="2" t="inlineStr">
        <is>
          <t>1011月</t>
        </is>
      </c>
      <c r="F378" s="68">
        <f>204000+500000</f>
        <v/>
      </c>
      <c r="G378" s="68">
        <f>IF(B378="","",F378-I378 )</f>
        <v/>
      </c>
      <c r="H378" s="5">
        <f>IF(G378="","",G378/F378)</f>
        <v/>
      </c>
      <c r="I378" s="62">
        <f>SUM(テーブル9[[#This Row],[五大]:[工場材]])</f>
        <v/>
      </c>
      <c r="J378" s="65" t="n"/>
      <c r="K378" s="65" t="n"/>
      <c r="L378" s="65" t="n"/>
      <c r="M378" s="65" t="n"/>
      <c r="N378" s="65" t="n"/>
      <c r="O378" s="69" t="n"/>
      <c r="P378" s="65" t="n"/>
      <c r="Q378" s="65" t="n"/>
      <c r="R378" s="65" t="n"/>
      <c r="S378" s="65" t="n"/>
      <c r="T378" s="65" t="n"/>
      <c r="U378" s="69" t="n"/>
      <c r="V378" s="65" t="n"/>
      <c r="W378" s="69">
        <f>60000+120000</f>
        <v/>
      </c>
      <c r="X378" s="66" t="n">
        <v>54230</v>
      </c>
      <c r="Y378" s="65" t="n"/>
      <c r="Z378" s="65" t="n"/>
      <c r="AA378" s="69" t="n"/>
      <c r="AB378" s="69" t="n">
        <v>65000</v>
      </c>
      <c r="AC378" s="65" t="n"/>
      <c r="AD378" s="65" t="n"/>
      <c r="AE378" s="65" t="n"/>
      <c r="AF378" s="65" t="n"/>
      <c r="AG378" s="65" t="n"/>
      <c r="AH378" s="65" t="n"/>
      <c r="AI378" s="65" t="n"/>
      <c r="AJ378" s="65" t="n"/>
      <c r="AK378" s="65" t="n"/>
      <c r="AL378" s="65" t="n"/>
      <c r="AM378" s="69" t="n"/>
      <c r="AN378" s="65" t="n"/>
      <c r="AO378" s="65" t="n"/>
      <c r="AP378" s="65" t="n"/>
      <c r="AQ378" s="65" t="n"/>
      <c r="AR378" s="65" t="n"/>
      <c r="AS378" s="65" t="n"/>
      <c r="AT378" s="65" t="n"/>
      <c r="AU378" s="65" t="n"/>
      <c r="AV378" s="65" t="n"/>
      <c r="AW378" s="65" t="n"/>
      <c r="AX378" s="65" t="n"/>
      <c r="AY378" s="65" t="n"/>
      <c r="AZ378" s="65" t="n"/>
      <c r="BA378" s="65" t="n"/>
      <c r="BB378" s="65" t="n"/>
      <c r="BC378" s="65" t="n"/>
      <c r="BD378" s="65" t="n"/>
      <c r="BE378" s="65" t="n"/>
      <c r="BF378" s="65" t="n"/>
      <c r="BG378" s="65" t="n"/>
    </row>
    <row r="379">
      <c r="F379" s="68" t="n"/>
      <c r="G379" s="68">
        <f>IF(B379="","",F379-I379 )</f>
        <v/>
      </c>
      <c r="H379" s="5">
        <f>IF(G379="","",G379/F379)</f>
        <v/>
      </c>
      <c r="J379" s="65" t="n"/>
      <c r="K379" s="65" t="n"/>
      <c r="L379" s="65" t="n"/>
      <c r="M379" s="65" t="n"/>
      <c r="N379" s="65" t="n"/>
      <c r="O379" s="69" t="n"/>
      <c r="P379" s="65" t="n"/>
      <c r="Q379" s="65" t="n"/>
      <c r="R379" s="65" t="n"/>
      <c r="S379" s="65" t="n"/>
      <c r="T379" s="65" t="n"/>
      <c r="U379" s="69" t="n"/>
      <c r="V379" s="65" t="n"/>
      <c r="W379" s="69" t="n"/>
      <c r="X379" s="66" t="n"/>
      <c r="Y379" s="65" t="n"/>
      <c r="Z379" s="65" t="n"/>
      <c r="AA379" s="65" t="n"/>
      <c r="AB379" s="65" t="n"/>
      <c r="AC379" s="65" t="n"/>
      <c r="AD379" s="65" t="n"/>
      <c r="AE379" s="65" t="n"/>
      <c r="AF379" s="65" t="n"/>
      <c r="AG379" s="65" t="n"/>
      <c r="AH379" s="65" t="n"/>
      <c r="AI379" s="65" t="n"/>
      <c r="AJ379" s="65" t="n"/>
      <c r="AK379" s="65" t="n"/>
      <c r="AL379" s="65" t="n"/>
      <c r="AM379" s="69" t="n"/>
      <c r="AN379" s="65" t="n"/>
      <c r="AO379" s="65" t="n"/>
      <c r="AP379" s="65" t="n"/>
      <c r="AQ379" s="65" t="n"/>
      <c r="AR379" s="65" t="n"/>
      <c r="AS379" s="65" t="n"/>
      <c r="AT379" s="65" t="n"/>
      <c r="AU379" s="65" t="n"/>
      <c r="AV379" s="65" t="n"/>
      <c r="AW379" s="65" t="n"/>
      <c r="AX379" s="65" t="n"/>
      <c r="AY379" s="65" t="n"/>
      <c r="AZ379" s="65" t="n"/>
      <c r="BA379" s="65" t="n"/>
      <c r="BB379" s="65" t="n"/>
      <c r="BC379" s="65" t="n"/>
      <c r="BD379" s="65" t="n"/>
      <c r="BE379" s="65" t="n"/>
      <c r="BF379" s="65" t="n"/>
      <c r="BG379" s="65" t="n"/>
    </row>
    <row r="380">
      <c r="F380" s="68" t="n"/>
      <c r="G380" s="68">
        <f>IF(B380="","",F380-I380 )</f>
        <v/>
      </c>
      <c r="H380" s="5">
        <f>IF(G380="","",G380/F380)</f>
        <v/>
      </c>
      <c r="J380" s="65" t="n"/>
      <c r="K380" s="65" t="n"/>
      <c r="L380" s="65" t="n"/>
      <c r="M380" s="65" t="n"/>
      <c r="N380" s="65" t="n"/>
      <c r="O380" s="69" t="n"/>
      <c r="P380" s="65" t="n"/>
      <c r="Q380" s="65" t="n"/>
      <c r="R380" s="65" t="n"/>
      <c r="S380" s="65" t="n"/>
      <c r="T380" s="65" t="n"/>
      <c r="U380" s="69" t="n"/>
      <c r="V380" s="65" t="n"/>
      <c r="W380" s="69" t="n"/>
      <c r="X380" s="66" t="n"/>
      <c r="Y380" s="65" t="n"/>
      <c r="Z380" s="65" t="n"/>
      <c r="AA380" s="65" t="n"/>
      <c r="AB380" s="65" t="n"/>
      <c r="AC380" s="65" t="n"/>
      <c r="AD380" s="65" t="n"/>
      <c r="AE380" s="65" t="n"/>
      <c r="AF380" s="65" t="n"/>
      <c r="AG380" s="65" t="n"/>
      <c r="AH380" s="65" t="n"/>
      <c r="AI380" s="65" t="n"/>
      <c r="AJ380" s="65" t="n"/>
      <c r="AK380" s="65" t="n"/>
      <c r="AL380" s="65" t="n"/>
      <c r="AM380" s="69" t="n"/>
      <c r="AN380" s="65" t="n"/>
      <c r="AO380" s="65" t="n"/>
      <c r="AP380" s="65" t="n"/>
      <c r="AQ380" s="65" t="n"/>
      <c r="AR380" s="65" t="n"/>
      <c r="AS380" s="65" t="n"/>
      <c r="AT380" s="65" t="n"/>
      <c r="AU380" s="65" t="n"/>
      <c r="AV380" s="65" t="n"/>
      <c r="AW380" s="65" t="n"/>
      <c r="AX380" s="65" t="n"/>
      <c r="AY380" s="65" t="n"/>
      <c r="AZ380" s="65" t="n"/>
      <c r="BA380" s="65" t="n"/>
      <c r="BB380" s="65" t="n"/>
      <c r="BC380" s="65" t="n"/>
      <c r="BD380" s="65" t="n"/>
      <c r="BE380" s="65" t="n"/>
      <c r="BF380" s="65" t="n"/>
      <c r="BG380" s="65" t="n"/>
    </row>
    <row r="381">
      <c r="A381" s="0" t="inlineStr">
        <is>
          <t>R5.1</t>
        </is>
      </c>
      <c r="B381" s="1" t="inlineStr">
        <is>
          <t>栗原　浴槽入替</t>
        </is>
      </c>
      <c r="C381" s="1" t="inlineStr">
        <is>
          <t>サステム</t>
        </is>
      </c>
      <c r="E381" s="2" t="inlineStr">
        <is>
          <t>12月</t>
        </is>
      </c>
      <c r="F381" s="68" t="n">
        <v>160000</v>
      </c>
      <c r="G381" s="68">
        <f>IF(B381="","",F381-I381 )</f>
        <v/>
      </c>
      <c r="H381" s="5">
        <f>IF(G381="","",G381/F381)</f>
        <v/>
      </c>
      <c r="I381" s="62">
        <f>SUM(テーブル9[[#This Row],[五大]:[工場材]])</f>
        <v/>
      </c>
      <c r="J381" s="65" t="n"/>
      <c r="K381" s="65" t="n"/>
      <c r="L381" s="65" t="n"/>
      <c r="M381" s="65" t="n"/>
      <c r="N381" s="65" t="n"/>
      <c r="O381" s="69" t="n"/>
      <c r="P381" s="65" t="n"/>
      <c r="Q381" s="65" t="n"/>
      <c r="R381" s="65" t="n"/>
      <c r="S381" s="65" t="n"/>
      <c r="T381" s="65" t="n"/>
      <c r="U381" s="69" t="n"/>
      <c r="V381" s="65" t="n"/>
      <c r="W381" s="69" t="n">
        <v>80000</v>
      </c>
      <c r="X381" s="66" t="n"/>
      <c r="Y381" s="65" t="n"/>
      <c r="Z381" s="65" t="n"/>
      <c r="AA381" s="65" t="n"/>
      <c r="AB381" s="65" t="n"/>
      <c r="AC381" s="65" t="n"/>
      <c r="AD381" s="65" t="n"/>
      <c r="AE381" s="65" t="n"/>
      <c r="AF381" s="65" t="n"/>
      <c r="AG381" s="65" t="n"/>
      <c r="AH381" s="65" t="n"/>
      <c r="AI381" s="65" t="n"/>
      <c r="AJ381" s="65" t="n"/>
      <c r="AK381" s="65" t="n"/>
      <c r="AL381" s="65" t="n"/>
      <c r="AM381" s="69" t="n"/>
      <c r="AN381" s="65" t="n"/>
      <c r="AO381" s="65" t="n"/>
      <c r="AP381" s="65" t="n"/>
      <c r="AQ381" s="65" t="n"/>
      <c r="AR381" s="65" t="n"/>
      <c r="AS381" s="65" t="n"/>
      <c r="AT381" s="65" t="n"/>
      <c r="AU381" s="65" t="n"/>
      <c r="AV381" s="65" t="n"/>
      <c r="AW381" s="65" t="n"/>
      <c r="AX381" s="65" t="n"/>
      <c r="AY381" s="65" t="n"/>
      <c r="AZ381" s="65" t="n"/>
      <c r="BA381" s="65" t="n"/>
      <c r="BB381" s="65" t="n"/>
      <c r="BC381" s="65" t="n"/>
      <c r="BD381" s="65" t="n"/>
      <c r="BE381" s="65" t="n"/>
      <c r="BF381" s="65" t="n"/>
      <c r="BG381" s="65" t="n"/>
    </row>
    <row r="382">
      <c r="B382" s="1" t="inlineStr">
        <is>
          <t>シュッテンアンスバッハ　ABC</t>
        </is>
      </c>
      <c r="C382" s="1" t="inlineStr">
        <is>
          <t>積水不動産</t>
        </is>
      </c>
      <c r="D382" s="1" t="inlineStr">
        <is>
          <t>樋交換　塗装</t>
        </is>
      </c>
      <c r="E382" s="2" t="inlineStr">
        <is>
          <t>12月</t>
        </is>
      </c>
      <c r="F382" s="68">
        <f>205579+205579+353210</f>
        <v/>
      </c>
      <c r="G382" s="68">
        <f>IF(B382="","",F382-I382 )</f>
        <v/>
      </c>
      <c r="H382" s="5">
        <f>IF(G382="","",G382/F382)</f>
        <v/>
      </c>
      <c r="I382" s="62">
        <f>SUM(テーブル9[[#This Row],[五大]:[工場材]])</f>
        <v/>
      </c>
      <c r="J382" s="69" t="n">
        <v>300000</v>
      </c>
      <c r="K382" s="65" t="n"/>
      <c r="L382" s="65" t="n"/>
      <c r="M382" s="65" t="n"/>
      <c r="N382" s="65" t="n"/>
      <c r="O382" s="69" t="n">
        <v>30000</v>
      </c>
      <c r="P382" s="65" t="n"/>
      <c r="Q382" s="65" t="n"/>
      <c r="R382" s="65" t="n"/>
      <c r="S382" s="65" t="n"/>
      <c r="T382" s="65" t="n"/>
      <c r="U382" s="69" t="n">
        <v>17500</v>
      </c>
      <c r="V382" s="65" t="n"/>
      <c r="W382" s="64" t="n">
        <v>160000</v>
      </c>
      <c r="X382" s="66" t="n">
        <v>9696</v>
      </c>
      <c r="Y382" s="65" t="n"/>
      <c r="Z382" s="65" t="n"/>
      <c r="AA382" s="65" t="n"/>
      <c r="AB382" s="65" t="n"/>
      <c r="AC382" s="65" t="n"/>
      <c r="AD382" s="65" t="n"/>
      <c r="AE382" s="65" t="n"/>
      <c r="AF382" s="65" t="n"/>
      <c r="AG382" s="65" t="n"/>
      <c r="AH382" s="65" t="n"/>
      <c r="AI382" s="65" t="n"/>
      <c r="AJ382" s="65" t="n"/>
      <c r="AK382" s="65" t="n"/>
      <c r="AL382" s="65" t="n"/>
      <c r="AM382" s="69" t="n"/>
      <c r="AN382" s="65" t="n"/>
      <c r="AO382" s="65" t="n"/>
      <c r="AP382" s="65" t="n"/>
      <c r="AQ382" s="65" t="n"/>
      <c r="AR382" s="65" t="n"/>
      <c r="AS382" s="65" t="n"/>
      <c r="AT382" s="65" t="n"/>
      <c r="AU382" s="65" t="n"/>
      <c r="AV382" s="65" t="n"/>
      <c r="AW382" s="65" t="n"/>
      <c r="AX382" s="65" t="n"/>
      <c r="AY382" s="65" t="n"/>
      <c r="AZ382" s="65">
        <f>5500*45</f>
        <v/>
      </c>
      <c r="BA382" s="65" t="n"/>
      <c r="BB382" s="65" t="n"/>
      <c r="BC382" s="65" t="n"/>
      <c r="BD382" s="65" t="n"/>
      <c r="BE382" s="65" t="n"/>
      <c r="BF382" s="65" t="n"/>
      <c r="BG382" s="65" t="n"/>
    </row>
    <row r="383">
      <c r="B383" s="1" t="inlineStr">
        <is>
          <t>ホライズン</t>
        </is>
      </c>
      <c r="C383" s="1" t="inlineStr">
        <is>
          <t>積水不動産</t>
        </is>
      </c>
      <c r="D383" s="1" t="inlineStr">
        <is>
          <t>塗装</t>
        </is>
      </c>
      <c r="E383" s="2" t="inlineStr">
        <is>
          <t>12月</t>
        </is>
      </c>
      <c r="F383" s="68" t="n">
        <v>1859000</v>
      </c>
      <c r="G383" s="68">
        <f>IF(B383="","",F383-I383 )</f>
        <v/>
      </c>
      <c r="H383" s="5">
        <f>IF(G383="","",G383/F383)</f>
        <v/>
      </c>
      <c r="I383" s="62">
        <f>SUM(テーブル9[[#This Row],[五大]:[工場材]])</f>
        <v/>
      </c>
      <c r="J383" s="69" t="n"/>
      <c r="K383" s="65" t="n"/>
      <c r="L383" s="64" t="n"/>
      <c r="M383" s="65" t="n"/>
      <c r="N383" s="65" t="n"/>
      <c r="O383" s="69" t="n">
        <v>650000</v>
      </c>
      <c r="P383" s="65" t="n"/>
      <c r="Q383" s="65" t="n"/>
      <c r="R383" s="69" t="n">
        <v>50000</v>
      </c>
      <c r="S383" s="69" t="n">
        <v>35000</v>
      </c>
      <c r="T383" s="65" t="n"/>
      <c r="U383" s="69">
        <f>138600+29000</f>
        <v/>
      </c>
      <c r="V383" s="64" t="n">
        <v>466170</v>
      </c>
      <c r="W383" s="69" t="n"/>
      <c r="X383" s="66" t="n"/>
      <c r="Y383" s="65" t="n"/>
      <c r="Z383" s="65" t="n"/>
      <c r="AA383" s="69" t="n">
        <v>30000</v>
      </c>
      <c r="AB383" s="65" t="n"/>
      <c r="AC383" s="65" t="n"/>
      <c r="AD383" s="65" t="n"/>
      <c r="AE383" s="65" t="n"/>
      <c r="AF383" s="65" t="n"/>
      <c r="AG383" s="65" t="n"/>
      <c r="AH383" s="65" t="n"/>
      <c r="AI383" s="65" t="n"/>
      <c r="AJ383" s="65" t="n"/>
      <c r="AK383" s="65" t="n"/>
      <c r="AL383" s="65" t="n"/>
      <c r="AM383" s="69" t="n">
        <v>15000</v>
      </c>
      <c r="AN383" s="65" t="n"/>
      <c r="AO383" s="65" t="n"/>
      <c r="AP383" s="65" t="n"/>
      <c r="AQ383" s="65" t="n"/>
      <c r="AR383" s="65" t="n"/>
      <c r="AS383" s="65" t="n"/>
      <c r="AT383" s="65" t="n"/>
      <c r="AU383" s="65" t="n"/>
      <c r="AV383" s="65" t="n"/>
      <c r="AW383" s="65" t="n"/>
      <c r="AX383" s="65" t="n"/>
      <c r="AY383" s="65" t="n"/>
      <c r="AZ383" s="65" t="n"/>
      <c r="BA383" s="65" t="n"/>
      <c r="BB383" s="65" t="n"/>
      <c r="BC383" s="65" t="n"/>
      <c r="BD383" s="65" t="n"/>
      <c r="BE383" s="65" t="n"/>
      <c r="BF383" s="65" t="n"/>
      <c r="BG383" s="65" t="n"/>
    </row>
    <row r="384">
      <c r="B384" s="1" t="inlineStr">
        <is>
          <t>広瀬病院</t>
        </is>
      </c>
      <c r="C384" s="1" t="inlineStr">
        <is>
          <t>サステム</t>
        </is>
      </c>
      <c r="D384" s="1" t="inlineStr">
        <is>
          <t>温水器・湯沸かし器取付け</t>
        </is>
      </c>
      <c r="E384" s="2" t="inlineStr">
        <is>
          <t>12月</t>
        </is>
      </c>
      <c r="F384" s="68" t="n">
        <v>320000</v>
      </c>
      <c r="G384" s="68">
        <f>IF(B384="","",F384-I384 )</f>
        <v/>
      </c>
      <c r="H384" s="5">
        <f>IF(G384="","",G384/F384)</f>
        <v/>
      </c>
      <c r="I384" s="62">
        <f>SUM(テーブル9[[#This Row],[五大]:[工場材]])</f>
        <v/>
      </c>
      <c r="J384" s="69" t="n"/>
      <c r="K384" s="65" t="n"/>
      <c r="L384" s="65" t="n"/>
      <c r="M384" s="65" t="n"/>
      <c r="N384" s="65" t="n"/>
      <c r="O384" s="69" t="n"/>
      <c r="P384" s="65" t="n"/>
      <c r="Q384" s="65" t="n"/>
      <c r="R384" s="65" t="n"/>
      <c r="S384" s="65" t="n"/>
      <c r="T384" s="65" t="n"/>
      <c r="U384" s="69" t="n"/>
      <c r="V384" s="65" t="n"/>
      <c r="W384" s="69" t="n">
        <v>50000</v>
      </c>
      <c r="X384" s="66" t="n">
        <v>16523</v>
      </c>
      <c r="Y384" s="65" t="n"/>
      <c r="Z384" s="65" t="n"/>
      <c r="AA384" s="69" t="n">
        <v>50000</v>
      </c>
      <c r="AB384" s="69" t="n">
        <v>160000</v>
      </c>
      <c r="AC384" s="65" t="n"/>
      <c r="AD384" s="65" t="n"/>
      <c r="AE384" s="65" t="n"/>
      <c r="AF384" s="65" t="n"/>
      <c r="AG384" s="65" t="n"/>
      <c r="AH384" s="65" t="n"/>
      <c r="AI384" s="65" t="n"/>
      <c r="AJ384" s="65" t="n"/>
      <c r="AK384" s="65" t="n"/>
      <c r="AL384" s="65" t="n"/>
      <c r="AM384" s="69" t="n"/>
      <c r="AN384" s="65" t="n"/>
      <c r="AO384" s="65" t="n"/>
      <c r="AP384" s="65" t="n"/>
      <c r="AQ384" s="65" t="n"/>
      <c r="AR384" s="65" t="n"/>
      <c r="AS384" s="65" t="n"/>
      <c r="AT384" s="65" t="n"/>
      <c r="AU384" s="65" t="n"/>
      <c r="AV384" s="65" t="n"/>
      <c r="AW384" s="65" t="n"/>
      <c r="AX384" s="65" t="n"/>
      <c r="AY384" s="65" t="n"/>
      <c r="AZ384" s="65" t="n"/>
      <c r="BA384" s="65" t="n"/>
      <c r="BB384" s="65" t="n"/>
      <c r="BC384" s="65" t="n"/>
      <c r="BD384" s="65" t="n"/>
      <c r="BE384" s="65" t="n"/>
      <c r="BF384" s="65" t="n"/>
      <c r="BG384" s="65" t="n"/>
    </row>
    <row r="385">
      <c r="B385" s="1" t="inlineStr">
        <is>
          <t>涌谷　甲斐様</t>
        </is>
      </c>
      <c r="C385" s="1" t="inlineStr">
        <is>
          <t>サステム</t>
        </is>
      </c>
      <c r="D385" s="1" t="inlineStr">
        <is>
          <t>温水器→エコキュート　+給湯管入替</t>
        </is>
      </c>
      <c r="E385" s="2" t="inlineStr">
        <is>
          <t>12月</t>
        </is>
      </c>
      <c r="F385" s="68">
        <f>187770+175010+217220+28000</f>
        <v/>
      </c>
      <c r="G385" s="68">
        <f>IF(B385="","",F385-I385 )</f>
        <v/>
      </c>
      <c r="H385" s="5">
        <f>IF(G385="","",G385/F385)</f>
        <v/>
      </c>
      <c r="I385" s="62">
        <f>SUM(テーブル9[[#This Row],[五大]:[工場材]])</f>
        <v/>
      </c>
      <c r="J385" s="69" t="n"/>
      <c r="K385" s="65" t="n"/>
      <c r="L385" s="65" t="n"/>
      <c r="M385" s="65" t="n"/>
      <c r="N385" s="65" t="n"/>
      <c r="O385" s="69" t="n"/>
      <c r="P385" s="65" t="n"/>
      <c r="Q385" s="65" t="n"/>
      <c r="R385" s="65" t="n"/>
      <c r="S385" s="65" t="n"/>
      <c r="T385" s="65" t="n"/>
      <c r="U385" s="69" t="n"/>
      <c r="V385" s="65" t="n"/>
      <c r="W385" s="69" t="n"/>
      <c r="X385" s="66" t="n"/>
      <c r="Y385" s="65" t="n"/>
      <c r="Z385" s="65" t="n"/>
      <c r="AA385" s="69">
        <f>165000+30000</f>
        <v/>
      </c>
      <c r="AB385" s="69" t="n">
        <v>250000</v>
      </c>
      <c r="AC385" s="65" t="n"/>
      <c r="AD385" s="65" t="n"/>
      <c r="AE385" s="65" t="n"/>
      <c r="AF385" s="65" t="n"/>
      <c r="AG385" s="65" t="n"/>
      <c r="AH385" s="65" t="n"/>
      <c r="AI385" s="65" t="n"/>
      <c r="AJ385" s="65" t="n"/>
      <c r="AK385" s="65" t="n"/>
      <c r="AL385" s="65" t="n"/>
      <c r="AM385" s="69" t="n"/>
      <c r="AN385" s="65" t="n"/>
      <c r="AO385" s="65" t="n"/>
      <c r="AP385" s="65" t="n"/>
      <c r="AQ385" s="65" t="n"/>
      <c r="AR385" s="65" t="n"/>
      <c r="AS385" s="65" t="n"/>
      <c r="AT385" s="65" t="n"/>
      <c r="AU385" s="65" t="n"/>
      <c r="AV385" s="65" t="n"/>
      <c r="AW385" s="65" t="n"/>
      <c r="AX385" s="65" t="n"/>
      <c r="AY385" s="65" t="n"/>
      <c r="AZ385" s="65" t="n"/>
      <c r="BA385" s="65" t="n"/>
      <c r="BB385" s="65" t="n"/>
      <c r="BC385" s="65" t="n"/>
      <c r="BD385" s="65" t="n"/>
      <c r="BE385" s="65" t="n"/>
      <c r="BF385" s="65" t="n"/>
      <c r="BG385" s="65" t="n"/>
    </row>
    <row r="386">
      <c r="B386" s="1" t="inlineStr">
        <is>
          <t>ダイトシティ愛宕橋　1203</t>
        </is>
      </c>
      <c r="C386" s="1" t="inlineStr">
        <is>
          <t>アイビーエス</t>
        </is>
      </c>
      <c r="D386" s="1" t="inlineStr">
        <is>
          <t>リフォーム工事</t>
        </is>
      </c>
      <c r="E386" s="2" t="inlineStr">
        <is>
          <t>12-1月</t>
        </is>
      </c>
      <c r="F386" s="68" t="n">
        <v>1950000</v>
      </c>
      <c r="G386" s="68">
        <f>IF(B386="","",F386-I386 )</f>
        <v/>
      </c>
      <c r="H386" s="5">
        <f>IF(G386="","",G386/F386)</f>
        <v/>
      </c>
      <c r="I386" s="62">
        <f>SUM(テーブル9[[#This Row],[五大]:[工場材]])</f>
        <v/>
      </c>
      <c r="J386" s="69" t="n"/>
      <c r="K386" s="65" t="n"/>
      <c r="L386" s="65" t="n"/>
      <c r="M386" s="65" t="n"/>
      <c r="N386" s="65" t="n"/>
      <c r="O386" s="69" t="n"/>
      <c r="P386" s="65" t="n"/>
      <c r="Q386" s="65" t="n"/>
      <c r="R386" s="65" t="n"/>
      <c r="S386" s="65" t="n"/>
      <c r="T386" s="65" t="n"/>
      <c r="U386" s="69" t="n"/>
      <c r="V386" s="65" t="n"/>
      <c r="W386" s="69" t="n">
        <v>180000</v>
      </c>
      <c r="X386" s="66" t="n">
        <v>19340</v>
      </c>
      <c r="Y386" s="65" t="n"/>
      <c r="Z386" s="65" t="n"/>
      <c r="AA386" s="69" t="n">
        <v>155000</v>
      </c>
      <c r="AB386" s="69" t="n">
        <v>242000</v>
      </c>
      <c r="AC386" s="65" t="n"/>
      <c r="AD386" s="65" t="n"/>
      <c r="AE386" s="65" t="n"/>
      <c r="AF386" s="65" t="n"/>
      <c r="AG386" s="65" t="n"/>
      <c r="AH386" s="69" t="n">
        <v>331700</v>
      </c>
      <c r="AI386" s="65" t="n"/>
      <c r="AJ386" s="65" t="n">
        <v>30000</v>
      </c>
      <c r="AK386" s="64" t="n">
        <v>21000</v>
      </c>
      <c r="AL386" s="65" t="n"/>
      <c r="AM386" s="69" t="n"/>
      <c r="AN386" s="65" t="n"/>
      <c r="AO386" s="69">
        <f>10640+22420</f>
        <v/>
      </c>
      <c r="AP386" s="65" t="n"/>
      <c r="AQ386" s="65" t="n"/>
      <c r="AR386" s="69" t="n">
        <v>67100</v>
      </c>
      <c r="AS386" s="69" t="n"/>
      <c r="AT386" s="69" t="n"/>
      <c r="AU386" s="65" t="n"/>
      <c r="AV386" s="65" t="n"/>
      <c r="AW386" s="65" t="n"/>
      <c r="AX386" s="65" t="n"/>
      <c r="AY386" s="65" t="n"/>
      <c r="AZ386" s="64">
        <f>150000+(40000)</f>
        <v/>
      </c>
      <c r="BA386" s="65" t="n"/>
      <c r="BB386" s="65" t="n"/>
      <c r="BC386" s="65" t="n"/>
      <c r="BD386" s="65" t="n"/>
      <c r="BE386" s="65" t="n"/>
      <c r="BF386" s="65" t="n"/>
      <c r="BG386" s="65" t="n"/>
    </row>
    <row r="387">
      <c r="B387" s="1" t="inlineStr">
        <is>
          <t>シャーメゾンリベルタ</t>
        </is>
      </c>
      <c r="C387" s="1" t="inlineStr">
        <is>
          <t>積水不動産</t>
        </is>
      </c>
      <c r="D387" s="1" t="inlineStr">
        <is>
          <t>雪止め設置+樋交換</t>
        </is>
      </c>
      <c r="E387" s="2" t="inlineStr">
        <is>
          <t>12月</t>
        </is>
      </c>
      <c r="F387" s="68" t="n">
        <v>542000</v>
      </c>
      <c r="G387" s="68">
        <f>IF(B387="","",F387-I387 )</f>
        <v/>
      </c>
      <c r="H387" s="5">
        <f>IF(G387="","",G387/F387)</f>
        <v/>
      </c>
      <c r="I387" s="62">
        <f>SUM(テーブル9[[#This Row],[五大]:[工場材]])</f>
        <v/>
      </c>
      <c r="J387" s="69" t="n">
        <v>150000</v>
      </c>
      <c r="K387" s="65" t="n"/>
      <c r="L387" s="65" t="n"/>
      <c r="M387" s="65" t="n"/>
      <c r="N387" s="65" t="n"/>
      <c r="O387" s="69" t="n"/>
      <c r="P387" s="65" t="n"/>
      <c r="Q387" s="65" t="n"/>
      <c r="R387" s="65" t="n"/>
      <c r="S387" s="65" t="n"/>
      <c r="T387" s="65" t="n"/>
      <c r="U387" s="69" t="n"/>
      <c r="V387" s="65" t="n"/>
      <c r="W387" s="69">
        <f>16*3000+(8000)</f>
        <v/>
      </c>
      <c r="X387" s="66" t="n">
        <v>6556</v>
      </c>
      <c r="Y387" s="65" t="n"/>
      <c r="Z387" s="65" t="n"/>
      <c r="AA387" s="65" t="n"/>
      <c r="AB387" s="65" t="n"/>
      <c r="AC387" s="65" t="n"/>
      <c r="AD387" s="65" t="n"/>
      <c r="AE387" s="65" t="n"/>
      <c r="AF387" s="65" t="n"/>
      <c r="AG387" s="65" t="n"/>
      <c r="AH387" s="65" t="n"/>
      <c r="AI387" s="65" t="n"/>
      <c r="AJ387" s="65" t="n"/>
      <c r="AK387" s="65" t="n"/>
      <c r="AL387" s="65" t="n"/>
      <c r="AM387" s="69" t="n"/>
      <c r="AN387" s="65" t="n"/>
      <c r="AO387" s="65" t="n"/>
      <c r="AP387" s="65" t="n"/>
      <c r="AQ387" s="65" t="n"/>
      <c r="AR387" s="65" t="n"/>
      <c r="AS387" s="65" t="n"/>
      <c r="AT387" s="65" t="n"/>
      <c r="AU387" s="65" t="n"/>
      <c r="AV387" s="65" t="n"/>
      <c r="AW387" s="65" t="n"/>
      <c r="AX387" s="65" t="n"/>
      <c r="AY387" s="65" t="n"/>
      <c r="AZ387" s="65">
        <f>5500*16+(20000)</f>
        <v/>
      </c>
      <c r="BA387" s="65" t="n"/>
      <c r="BB387" s="65" t="n"/>
      <c r="BC387" s="65" t="n"/>
      <c r="BD387" s="65" t="n"/>
      <c r="BE387" s="65" t="n"/>
      <c r="BF387" s="65" t="n"/>
      <c r="BG387" s="65" t="n"/>
    </row>
    <row r="388">
      <c r="B388" s="1" t="inlineStr">
        <is>
          <t>サンヒルズもみじが丘B201</t>
        </is>
      </c>
      <c r="C388" s="1" t="inlineStr">
        <is>
          <t>積水不動産</t>
        </is>
      </c>
      <c r="E388" s="2" t="inlineStr">
        <is>
          <t>12月</t>
        </is>
      </c>
      <c r="F388" s="68" t="n">
        <v>802624</v>
      </c>
      <c r="G388" s="68">
        <f>IF(B388="","",F388-I388 )</f>
        <v/>
      </c>
      <c r="H388" s="5">
        <f>IF(G388="","",G388/F388)</f>
        <v/>
      </c>
      <c r="I388" s="62">
        <f>SUM(テーブル9[[#This Row],[五大]:[工場材]])</f>
        <v/>
      </c>
      <c r="J388" s="69" t="n"/>
      <c r="K388" s="65" t="n"/>
      <c r="L388" s="65" t="n"/>
      <c r="M388" s="65" t="n"/>
      <c r="N388" s="65" t="n"/>
      <c r="O388" s="69" t="n"/>
      <c r="P388" s="65" t="n"/>
      <c r="Q388" s="65" t="n"/>
      <c r="R388" s="65" t="n"/>
      <c r="S388" s="65" t="n"/>
      <c r="T388" s="65" t="n"/>
      <c r="U388" s="69" t="n"/>
      <c r="V388" s="65" t="n"/>
      <c r="W388" s="69" t="n">
        <v>60000</v>
      </c>
      <c r="X388" s="66" t="n">
        <v>27614</v>
      </c>
      <c r="Y388" s="65" t="n"/>
      <c r="Z388" s="65" t="n"/>
      <c r="AA388" s="65" t="n"/>
      <c r="AB388" s="65" t="n"/>
      <c r="AC388" s="65" t="n"/>
      <c r="AD388" s="65" t="n"/>
      <c r="AE388" s="65" t="n"/>
      <c r="AF388" s="65" t="n"/>
      <c r="AG388" s="65" t="n"/>
      <c r="AH388" s="65" t="n"/>
      <c r="AI388" s="65" t="n"/>
      <c r="AJ388" s="65" t="n"/>
      <c r="AK388" s="65" t="n"/>
      <c r="AL388" s="65" t="n"/>
      <c r="AM388" s="69" t="n"/>
      <c r="AN388" s="65" t="n"/>
      <c r="AO388" s="65" t="n"/>
      <c r="AP388" s="65" t="n"/>
      <c r="AQ388" s="65" t="n"/>
      <c r="AR388" s="65" t="n"/>
      <c r="AS388" s="65" t="n"/>
      <c r="AT388" s="65" t="n"/>
      <c r="AU388" s="65" t="n"/>
      <c r="AV388" s="65" t="n"/>
      <c r="AW388" s="65" t="n"/>
      <c r="AX388" s="65" t="n"/>
      <c r="AY388" s="65" t="n"/>
      <c r="AZ388" s="65" t="n"/>
      <c r="BA388" s="65" t="n"/>
      <c r="BB388" s="65" t="n"/>
      <c r="BC388" s="65" t="n"/>
      <c r="BD388" s="65" t="n"/>
      <c r="BE388" s="65" t="n"/>
      <c r="BF388" s="65" t="n"/>
      <c r="BG388" s="65">
        <f>92000+7000</f>
        <v/>
      </c>
      <c r="BH388" s="0">
        <f>99000+70000</f>
        <v/>
      </c>
    </row>
    <row r="389">
      <c r="F389" s="68" t="n"/>
      <c r="G389" s="68">
        <f>IF(B389="","",F389-I389 )</f>
        <v/>
      </c>
      <c r="H389" s="5">
        <f>IF(G389="","",G389/F389)</f>
        <v/>
      </c>
      <c r="J389" s="65" t="n"/>
      <c r="K389" s="65" t="n"/>
      <c r="L389" s="65" t="n"/>
      <c r="M389" s="65" t="n"/>
      <c r="N389" s="65" t="n"/>
      <c r="O389" s="69" t="n"/>
      <c r="P389" s="65" t="n"/>
      <c r="Q389" s="65" t="n"/>
      <c r="R389" s="65" t="n"/>
      <c r="S389" s="65" t="n"/>
      <c r="T389" s="65" t="n"/>
      <c r="U389" s="69" t="n"/>
      <c r="V389" s="65" t="n"/>
      <c r="W389" s="65" t="inlineStr">
        <is>
          <t>↓予定350万から400（屋根10まんちょい）</t>
        </is>
      </c>
      <c r="X389" s="66" t="n"/>
      <c r="Y389" s="65" t="n"/>
      <c r="Z389" s="65" t="n"/>
      <c r="AA389" s="65" t="n"/>
      <c r="AB389" s="65" t="n"/>
      <c r="AC389" s="65" t="n"/>
      <c r="AD389" s="65" t="n"/>
      <c r="AE389" s="65" t="n"/>
      <c r="AF389" s="65" t="n"/>
      <c r="AG389" s="65" t="n"/>
      <c r="AH389" s="65" t="n"/>
      <c r="AI389" s="65" t="n"/>
      <c r="AJ389" s="65" t="n"/>
      <c r="AK389" s="65" t="n"/>
      <c r="AL389" s="65" t="n"/>
      <c r="AM389" s="65" t="n"/>
      <c r="AN389" s="65" t="n"/>
      <c r="AO389" s="65" t="n"/>
      <c r="AP389" s="65" t="n"/>
      <c r="AQ389" s="65" t="n"/>
      <c r="AR389" s="65" t="n"/>
      <c r="AS389" s="65" t="n"/>
      <c r="AT389" s="65" t="n"/>
      <c r="AU389" s="65" t="n"/>
      <c r="AV389" s="65" t="n"/>
      <c r="AW389" s="65" t="n"/>
      <c r="AX389" s="65" t="n"/>
      <c r="AY389" s="65" t="n"/>
      <c r="AZ389" s="65" t="n"/>
      <c r="BA389" s="65" t="n"/>
      <c r="BB389" s="65" t="n"/>
      <c r="BC389" s="65" t="n"/>
      <c r="BD389" s="65" t="n"/>
      <c r="BE389" s="65" t="n"/>
      <c r="BF389" s="65" t="n"/>
      <c r="BG389" s="65" t="n"/>
    </row>
    <row r="390">
      <c r="A390" s="0" t="inlineStr">
        <is>
          <t>R5.2</t>
        </is>
      </c>
      <c r="B390" s="1" t="inlineStr">
        <is>
          <t>人来田　鈴木邸</t>
        </is>
      </c>
      <c r="C390" s="1" t="inlineStr">
        <is>
          <t>光和工業</t>
        </is>
      </c>
      <c r="D390" s="1" t="inlineStr">
        <is>
          <t>リフォーム</t>
        </is>
      </c>
      <c r="F390" s="68" t="n">
        <v>14000000</v>
      </c>
      <c r="G390" s="68">
        <f>IF(B390="","",F390-I390 )</f>
        <v/>
      </c>
      <c r="H390" s="5">
        <f>IF(G390="","",G390/F390)</f>
        <v/>
      </c>
      <c r="I390" s="62">
        <f>SUM(テーブル9[[#This Row],[五大]:[工場材]])</f>
        <v/>
      </c>
      <c r="J390" s="65" t="n"/>
      <c r="K390" s="65" t="n"/>
      <c r="L390" s="65" t="n"/>
      <c r="M390" s="65" t="n"/>
      <c r="N390" s="65" t="n"/>
      <c r="O390" s="64">
        <f>18000+50000+15000+25000</f>
        <v/>
      </c>
      <c r="P390" s="65" t="n"/>
      <c r="Q390" s="65" t="n"/>
      <c r="R390" s="65" t="n"/>
      <c r="S390" s="65" t="n"/>
      <c r="T390" s="65" t="n"/>
      <c r="U390" s="69" t="n"/>
      <c r="V390" s="65" t="n"/>
      <c r="W390" s="69">
        <f>700000+2000000+2000000</f>
        <v/>
      </c>
      <c r="X390" s="66">
        <f>245369+1425541</f>
        <v/>
      </c>
      <c r="Y390" s="69">
        <f>121000+231000</f>
        <v/>
      </c>
      <c r="Z390" s="69" t="n">
        <v>371000</v>
      </c>
      <c r="AA390" s="69" t="n">
        <v>1380000</v>
      </c>
      <c r="AB390" s="64" t="n">
        <v>592000</v>
      </c>
      <c r="AC390" s="65" t="n"/>
      <c r="AD390" s="65" t="n"/>
      <c r="AE390" s="69">
        <f>25500+29600+79000</f>
        <v/>
      </c>
      <c r="AF390" s="65" t="n"/>
      <c r="AG390" s="65" t="n"/>
      <c r="AH390" s="69" t="n">
        <v>108480</v>
      </c>
      <c r="AI390" s="65" t="n"/>
      <c r="AJ390" s="65" t="n"/>
      <c r="AK390" s="65" t="n"/>
      <c r="AL390" s="65" t="n"/>
      <c r="AM390" s="65" t="n"/>
      <c r="AN390" s="65" t="n"/>
      <c r="AO390" s="69">
        <f>260490+452295+368760+229840+15000+40000+16000+26600+10488+2888+2888+314600+201476+83650</f>
        <v/>
      </c>
      <c r="AP390" s="65" t="n"/>
      <c r="AQ390" s="65" t="n"/>
      <c r="AR390" s="65" t="n"/>
      <c r="AS390" s="65" t="n"/>
      <c r="AT390" s="65" t="n"/>
      <c r="AU390" s="65" t="n"/>
      <c r="AV390" s="65" t="n"/>
      <c r="AW390" s="69" t="n">
        <v>60000</v>
      </c>
      <c r="AX390" s="65" t="n"/>
      <c r="AY390" s="65" t="n"/>
      <c r="AZ390" s="64">
        <f>156200+85000</f>
        <v/>
      </c>
      <c r="BA390" s="65" t="n"/>
      <c r="BB390" s="65" t="n"/>
      <c r="BC390" s="65" t="n"/>
      <c r="BD390" s="65" t="n"/>
      <c r="BE390" s="65" t="n"/>
      <c r="BF390" s="65" t="n"/>
      <c r="BG390" s="64" t="n">
        <v>35100</v>
      </c>
    </row>
    <row r="391">
      <c r="B391" s="1" t="inlineStr">
        <is>
          <t>市名坂　コイン</t>
        </is>
      </c>
      <c r="C391" s="1" t="inlineStr">
        <is>
          <t>カイト</t>
        </is>
      </c>
      <c r="D391" s="1" t="inlineStr">
        <is>
          <t>機器入替　大工電気内装</t>
        </is>
      </c>
      <c r="E391" s="2" t="inlineStr">
        <is>
          <t>1月</t>
        </is>
      </c>
      <c r="F391" s="68" t="n">
        <v>185000</v>
      </c>
      <c r="G391" s="68">
        <f>IF(B391="","",F391-I391 )</f>
        <v/>
      </c>
      <c r="H391" s="5">
        <f>IF(G391="","",G391/F391)</f>
        <v/>
      </c>
      <c r="I391" s="62">
        <f>SUM(テーブル9[[#This Row],[五大]:[工場材]])</f>
        <v/>
      </c>
      <c r="J391" s="65" t="n"/>
      <c r="K391" s="65" t="n"/>
      <c r="L391" s="65" t="n"/>
      <c r="M391" s="65" t="n"/>
      <c r="N391" s="65" t="n"/>
      <c r="O391" s="69" t="n"/>
      <c r="P391" s="65" t="n"/>
      <c r="Q391" s="65" t="n"/>
      <c r="R391" s="65" t="n"/>
      <c r="S391" s="65" t="n"/>
      <c r="T391" s="65" t="n"/>
      <c r="U391" s="65" t="n"/>
      <c r="V391" s="65" t="n"/>
      <c r="W391" s="69" t="n">
        <v>60000</v>
      </c>
      <c r="X391" s="66" t="n">
        <v>14442</v>
      </c>
      <c r="Y391" s="65" t="n"/>
      <c r="Z391" s="65" t="n"/>
      <c r="AA391" s="69" t="n">
        <v>20000</v>
      </c>
      <c r="AB391" s="65" t="n"/>
      <c r="AC391" s="65" t="n"/>
      <c r="AD391" s="65" t="n"/>
      <c r="AE391" s="65" t="n"/>
      <c r="AF391" s="65" t="n"/>
      <c r="AG391" s="65" t="n"/>
      <c r="AH391" s="65" t="n"/>
      <c r="AI391" s="65" t="n">
        <v>20000</v>
      </c>
      <c r="AJ391" s="65" t="n"/>
      <c r="AK391" s="65" t="n"/>
      <c r="AL391" s="65" t="n"/>
      <c r="AM391" s="65" t="n"/>
      <c r="AN391" s="65" t="n"/>
      <c r="AO391" s="65" t="n"/>
      <c r="AP391" s="65" t="n"/>
      <c r="AQ391" s="65" t="n"/>
      <c r="AR391" s="65" t="n"/>
      <c r="AS391" s="65" t="n"/>
      <c r="AT391" s="65" t="n"/>
      <c r="AU391" s="65" t="n"/>
      <c r="AV391" s="65" t="n"/>
      <c r="AW391" s="65" t="n"/>
      <c r="AX391" s="65" t="n"/>
      <c r="AY391" s="65" t="n"/>
      <c r="AZ391" s="65" t="n"/>
      <c r="BA391" s="65" t="n"/>
      <c r="BB391" s="65" t="n"/>
      <c r="BC391" s="65" t="n"/>
      <c r="BD391" s="65" t="n"/>
      <c r="BE391" s="65" t="n"/>
      <c r="BF391" s="65" t="n"/>
      <c r="BG391" s="65" t="n"/>
    </row>
    <row r="392">
      <c r="B392" s="1" t="inlineStr">
        <is>
          <t>広瀬病院</t>
        </is>
      </c>
      <c r="C392" s="1" t="inlineStr">
        <is>
          <t>サステム</t>
        </is>
      </c>
      <c r="D392" s="1" t="inlineStr">
        <is>
          <t>照明・ﾀｲﾏｰ水栓交換</t>
        </is>
      </c>
      <c r="E392" s="2" t="inlineStr">
        <is>
          <t>1月</t>
        </is>
      </c>
      <c r="F392" s="68" t="n">
        <v>107000</v>
      </c>
      <c r="G392" s="68">
        <f>IF(B392="","",F392-I392 )</f>
        <v/>
      </c>
      <c r="H392" s="5">
        <f>IF(G392="","",G392/F392)</f>
        <v/>
      </c>
      <c r="I392" s="62">
        <f>SUM(テーブル9[[#This Row],[五大]:[工場材]])</f>
        <v/>
      </c>
      <c r="J392" s="65" t="n"/>
      <c r="K392" s="65" t="n"/>
      <c r="L392" s="65" t="n"/>
      <c r="M392" s="65" t="n"/>
      <c r="N392" s="65" t="n"/>
      <c r="O392" s="69" t="n"/>
      <c r="P392" s="65" t="n"/>
      <c r="Q392" s="65" t="n"/>
      <c r="R392" s="65" t="n"/>
      <c r="S392" s="65" t="n"/>
      <c r="T392" s="65" t="n"/>
      <c r="U392" s="65" t="n"/>
      <c r="V392" s="65" t="n"/>
      <c r="W392" s="65" t="n"/>
      <c r="X392" s="66" t="n"/>
      <c r="Y392" s="65" t="n"/>
      <c r="Z392" s="65" t="n"/>
      <c r="AA392" s="69" t="n">
        <v>64000</v>
      </c>
      <c r="AB392" s="69" t="n">
        <v>10000</v>
      </c>
      <c r="AC392" s="65" t="n"/>
      <c r="AD392" s="65" t="n"/>
      <c r="AE392" s="65" t="n"/>
      <c r="AF392" s="65" t="n"/>
      <c r="AG392" s="65" t="n"/>
      <c r="AH392" s="65" t="n"/>
      <c r="AI392" s="65" t="n"/>
      <c r="AJ392" s="65" t="n"/>
      <c r="AK392" s="65" t="n"/>
      <c r="AL392" s="65" t="n"/>
      <c r="AM392" s="65" t="n"/>
      <c r="AN392" s="65" t="n"/>
      <c r="AO392" s="65" t="n"/>
      <c r="AP392" s="65" t="n"/>
      <c r="AQ392" s="65" t="n"/>
      <c r="AR392" s="65" t="n"/>
      <c r="AS392" s="65" t="n"/>
      <c r="AT392" s="65" t="n"/>
      <c r="AU392" s="65" t="n"/>
      <c r="AV392" s="65" t="n"/>
      <c r="AW392" s="65" t="n"/>
      <c r="AX392" s="65" t="n"/>
      <c r="AY392" s="65" t="n"/>
      <c r="AZ392" s="65" t="n"/>
      <c r="BA392" s="65" t="n"/>
      <c r="BB392" s="65" t="n"/>
      <c r="BC392" s="65" t="n"/>
      <c r="BD392" s="65" t="n"/>
      <c r="BE392" s="65" t="n"/>
      <c r="BF392" s="65" t="n"/>
      <c r="BG392" s="65" t="n"/>
    </row>
    <row r="393">
      <c r="B393" s="1" t="inlineStr">
        <is>
          <t>鈎取　戸建て</t>
        </is>
      </c>
      <c r="C393" s="1" t="inlineStr">
        <is>
          <t>積水不動産</t>
        </is>
      </c>
      <c r="D393" s="1" t="inlineStr">
        <is>
          <t>リノベーション</t>
        </is>
      </c>
      <c r="E393" s="30" t="inlineStr">
        <is>
          <t>2月</t>
        </is>
      </c>
      <c r="F393" s="68" t="n">
        <v>6200000</v>
      </c>
      <c r="G393" s="68">
        <f>IF(B393="","",F393-I393 )</f>
        <v/>
      </c>
      <c r="H393" s="5">
        <f>IF(G393="","",G393/F393)</f>
        <v/>
      </c>
      <c r="I393" s="62">
        <f>SUM(テーブル9[[#This Row],[五大]:[工場材]])</f>
        <v/>
      </c>
      <c r="J393" s="65" t="n"/>
      <c r="K393" s="65" t="n"/>
      <c r="L393" s="65" t="n"/>
      <c r="M393" s="65" t="n"/>
      <c r="N393" s="65" t="n"/>
      <c r="O393" s="69" t="n"/>
      <c r="P393" s="65" t="n"/>
      <c r="Q393" s="65" t="n"/>
      <c r="R393" s="65" t="n"/>
      <c r="S393" s="65" t="n"/>
      <c r="T393" s="65" t="n"/>
      <c r="U393" s="65" t="n"/>
      <c r="V393" s="65" t="n"/>
      <c r="W393" s="69" t="n">
        <v>700000</v>
      </c>
      <c r="X393" s="66" t="n">
        <v>227935</v>
      </c>
      <c r="Y393" s="69" t="n">
        <v>68000</v>
      </c>
      <c r="Z393" s="65" t="n"/>
      <c r="AA393" s="69" t="n">
        <v>480000</v>
      </c>
      <c r="AB393" s="69" t="n">
        <v>397000</v>
      </c>
      <c r="AC393" s="65" t="n"/>
      <c r="AD393" s="65" t="n"/>
      <c r="AE393" s="69" t="n">
        <v>100000</v>
      </c>
      <c r="AF393" s="65" t="n"/>
      <c r="AG393" s="69">
        <f>362700+32800+16240+168000+5700+70000+28000+45240+13000+20000</f>
        <v/>
      </c>
      <c r="AH393" s="65" t="n"/>
      <c r="AI393" s="65" t="n"/>
      <c r="AJ393" s="69" t="n">
        <v>120000</v>
      </c>
      <c r="AK393" s="65">
        <f>3500*6</f>
        <v/>
      </c>
      <c r="AL393" s="65" t="n"/>
      <c r="AM393" s="65" t="n"/>
      <c r="AN393" s="65" t="n"/>
      <c r="AO393" s="65" t="n"/>
      <c r="AP393" s="69" t="n">
        <v>1683469</v>
      </c>
      <c r="AQ393" s="69" t="n"/>
      <c r="AR393" s="69" t="n">
        <v>37400</v>
      </c>
      <c r="AS393" s="69" t="n"/>
      <c r="AT393" s="69" t="n"/>
      <c r="AU393" s="65" t="n"/>
      <c r="AV393" s="65" t="n"/>
      <c r="AW393" s="65" t="n"/>
      <c r="AX393" s="65" t="n"/>
      <c r="AY393" s="65" t="n"/>
      <c r="AZ393" s="69" t="n">
        <v>149600</v>
      </c>
      <c r="BA393" s="65" t="n"/>
      <c r="BB393" s="65" t="n"/>
      <c r="BC393" s="65" t="n"/>
      <c r="BD393" s="65" t="n"/>
      <c r="BE393" s="65" t="n"/>
      <c r="BF393" s="65" t="n"/>
      <c r="BG393" s="65">
        <f>178433+24000+150000</f>
        <v/>
      </c>
    </row>
    <row r="394">
      <c r="F394" s="68" t="n"/>
      <c r="G394" s="68">
        <f>IF(B394="","",F394-I394 )</f>
        <v/>
      </c>
      <c r="H394" s="5">
        <f>IF(G394="","",G394/F394)</f>
        <v/>
      </c>
      <c r="I394" s="62">
        <f>SUM(テーブル9[[#This Row],[五大]:[工場材]])</f>
        <v/>
      </c>
      <c r="J394" s="65" t="n"/>
      <c r="K394" s="65" t="n"/>
      <c r="L394" s="65" t="n"/>
      <c r="M394" s="65" t="n"/>
      <c r="N394" s="65" t="n"/>
      <c r="O394" s="69" t="n"/>
      <c r="P394" s="65" t="n"/>
      <c r="Q394" s="65" t="n"/>
      <c r="R394" s="65" t="n"/>
      <c r="S394" s="65" t="n"/>
      <c r="T394" s="65" t="n"/>
      <c r="U394" s="65" t="n"/>
      <c r="V394" s="65" t="n"/>
      <c r="W394" s="65" t="n"/>
      <c r="X394" s="66" t="n"/>
      <c r="Y394" s="65" t="n"/>
      <c r="Z394" s="65" t="n"/>
      <c r="AA394" s="65" t="n"/>
      <c r="AB394" s="65" t="n"/>
      <c r="AC394" s="65" t="n"/>
      <c r="AD394" s="65" t="n"/>
      <c r="AE394" s="65" t="n"/>
      <c r="AF394" s="65" t="n"/>
      <c r="AG394" s="69" t="n"/>
      <c r="AH394" s="65" t="n"/>
      <c r="AI394" s="65" t="n"/>
      <c r="AJ394" s="65" t="n"/>
      <c r="AK394" s="65" t="n"/>
      <c r="AL394" s="65" t="n"/>
      <c r="AM394" s="65" t="n"/>
      <c r="AN394" s="65" t="n"/>
      <c r="AO394" s="65" t="n"/>
      <c r="AP394" s="69" t="n"/>
      <c r="AQ394" s="69" t="n"/>
      <c r="AR394" s="65" t="n"/>
      <c r="AS394" s="65" t="n"/>
      <c r="AT394" s="65" t="n"/>
      <c r="AU394" s="65" t="n"/>
      <c r="AV394" s="65" t="n"/>
      <c r="AW394" s="65" t="n"/>
      <c r="AX394" s="65" t="n"/>
      <c r="AY394" s="65" t="n"/>
      <c r="AZ394" s="65" t="n"/>
      <c r="BA394" s="65" t="n"/>
      <c r="BB394" s="65" t="n"/>
      <c r="BC394" s="65" t="n"/>
      <c r="BD394" s="65" t="n"/>
      <c r="BE394" s="65" t="n"/>
      <c r="BF394" s="65" t="n"/>
      <c r="BG394" s="65" t="n"/>
    </row>
    <row r="395">
      <c r="F395" s="68" t="n"/>
      <c r="G395" s="68">
        <f>IF(B395="","",F395-I395 )</f>
        <v/>
      </c>
      <c r="H395" s="5">
        <f>IF(G395="","",G395/F395)</f>
        <v/>
      </c>
      <c r="I395" s="62">
        <f>SUM(テーブル9[[#This Row],[五大]:[工場材]])</f>
        <v/>
      </c>
      <c r="J395" s="65" t="n"/>
      <c r="K395" s="65" t="n"/>
      <c r="L395" s="65" t="n"/>
      <c r="M395" s="65" t="n"/>
      <c r="N395" s="65" t="n"/>
      <c r="O395" s="69" t="n"/>
      <c r="P395" s="65" t="n"/>
      <c r="Q395" s="65" t="n"/>
      <c r="R395" s="65" t="n"/>
      <c r="S395" s="65" t="n"/>
      <c r="T395" s="65" t="n"/>
      <c r="U395" s="65" t="n"/>
      <c r="V395" s="65" t="n"/>
      <c r="W395" s="65" t="n"/>
      <c r="X395" s="66" t="n"/>
      <c r="Y395" s="65" t="n"/>
      <c r="Z395" s="65" t="n"/>
      <c r="AA395" s="65" t="n"/>
      <c r="AB395" s="65" t="n"/>
      <c r="AC395" s="65" t="n"/>
      <c r="AD395" s="65" t="n"/>
      <c r="AE395" s="65" t="n"/>
      <c r="AF395" s="65" t="n"/>
      <c r="AG395" s="69" t="n"/>
      <c r="AH395" s="65" t="n"/>
      <c r="AI395" s="65" t="n"/>
      <c r="AJ395" s="65" t="n"/>
      <c r="AK395" s="65" t="n"/>
      <c r="AL395" s="65" t="n"/>
      <c r="AM395" s="65" t="n"/>
      <c r="AN395" s="65" t="n"/>
      <c r="AO395" s="65" t="n"/>
      <c r="AP395" s="69" t="n"/>
      <c r="AQ395" s="69" t="n"/>
      <c r="AR395" s="65" t="n"/>
      <c r="AS395" s="65" t="n"/>
      <c r="AT395" s="65" t="n"/>
      <c r="AU395" s="65" t="n"/>
      <c r="AV395" s="65" t="n"/>
      <c r="AW395" s="65" t="n"/>
      <c r="AX395" s="65" t="n"/>
      <c r="AY395" s="65" t="n"/>
      <c r="AZ395" s="65" t="n"/>
      <c r="BA395" s="65" t="n"/>
      <c r="BB395" s="65" t="n"/>
      <c r="BC395" s="65" t="n"/>
      <c r="BD395" s="65" t="n"/>
      <c r="BE395" s="65" t="n"/>
      <c r="BF395" s="65" t="n"/>
      <c r="BG395" s="65" t="n"/>
    </row>
    <row r="396">
      <c r="A396" s="0" t="inlineStr">
        <is>
          <t>R5.3</t>
        </is>
      </c>
      <c r="B396" s="1" t="inlineStr">
        <is>
          <t>ハイツAB</t>
        </is>
      </c>
      <c r="C396" s="1" t="inlineStr">
        <is>
          <t>光和工業</t>
        </is>
      </c>
      <c r="D396" s="1" t="inlineStr">
        <is>
          <t>18室工事</t>
        </is>
      </c>
      <c r="E396" s="2" t="inlineStr">
        <is>
          <t>3月</t>
        </is>
      </c>
      <c r="F396" s="68">
        <f>630000*18</f>
        <v/>
      </c>
      <c r="G396" s="68">
        <f>IF(B396="","",F396-I396 )</f>
        <v/>
      </c>
      <c r="H396" s="5">
        <f>IF(G396="","",G396/F396)</f>
        <v/>
      </c>
      <c r="I396" s="62">
        <f>SUM(テーブル9[[#This Row],[五大]:[工場材]])</f>
        <v/>
      </c>
      <c r="J396" s="65" t="n"/>
      <c r="K396" s="65" t="n"/>
      <c r="L396" s="65" t="n"/>
      <c r="M396" s="65" t="n"/>
      <c r="N396" s="65" t="n"/>
      <c r="O396" s="69" t="n">
        <v>340000</v>
      </c>
      <c r="P396" s="65" t="n"/>
      <c r="Q396" s="65" t="n"/>
      <c r="R396" s="65" t="n"/>
      <c r="S396" s="65" t="n"/>
      <c r="T396" s="65" t="n"/>
      <c r="U396" s="65" t="n"/>
      <c r="V396" s="65" t="n"/>
      <c r="W396" s="66">
        <f>35000*18</f>
        <v/>
      </c>
      <c r="X396" s="66" t="n">
        <v>55490</v>
      </c>
      <c r="Y396" s="76" t="n"/>
      <c r="Z396" s="76" t="n"/>
      <c r="AA396" s="76" t="n"/>
      <c r="AB396" s="77" t="n">
        <v>694000</v>
      </c>
      <c r="AC396" s="76" t="n"/>
      <c r="AD396" s="76" t="n"/>
      <c r="AE396" s="66" t="n">
        <v>1752080</v>
      </c>
      <c r="AF396" s="76" t="n"/>
      <c r="AG396" s="66" t="n"/>
      <c r="AH396" s="66" t="n">
        <v>2215940</v>
      </c>
      <c r="AI396" s="76" t="n"/>
      <c r="AJ396" s="66" t="n">
        <v>225000</v>
      </c>
      <c r="AK396" s="65" t="n"/>
      <c r="AL396" s="65" t="n"/>
      <c r="AM396" s="65" t="n"/>
      <c r="AN396" s="65" t="n"/>
      <c r="AO396" s="69" t="n"/>
      <c r="AP396" s="69">
        <f>945640-26000+189144+236640+157760+8000+315520</f>
        <v/>
      </c>
      <c r="AQ396" s="69" t="n"/>
      <c r="AR396" s="65" t="n"/>
      <c r="AS396" s="65" t="n"/>
      <c r="AT396" s="65" t="n"/>
      <c r="AU396" s="65" t="n"/>
      <c r="AV396" s="65" t="n"/>
      <c r="AW396" s="65" t="n"/>
      <c r="AX396" s="65" t="n"/>
      <c r="AY396" s="65" t="n"/>
      <c r="AZ396" s="65" t="n"/>
      <c r="BA396" s="65" t="n"/>
      <c r="BB396" s="65" t="n"/>
      <c r="BC396" s="65" t="n"/>
      <c r="BD396" s="65" t="n"/>
      <c r="BE396" s="65" t="n"/>
      <c r="BF396" s="65" t="n"/>
      <c r="BG396" s="65" t="n"/>
    </row>
    <row r="397">
      <c r="B397" s="1" t="inlineStr">
        <is>
          <t>ハイツAB</t>
        </is>
      </c>
      <c r="C397" s="1" t="inlineStr">
        <is>
          <t>光和工業</t>
        </is>
      </c>
      <c r="D397" s="1" t="inlineStr">
        <is>
          <t>部屋ごと工事</t>
        </is>
      </c>
      <c r="E397" s="2" t="inlineStr">
        <is>
          <t>3月</t>
        </is>
      </c>
      <c r="F397" s="68" t="n">
        <v>400000</v>
      </c>
      <c r="G397" s="68">
        <f>IF(B397="","",F397-I397 )</f>
        <v/>
      </c>
      <c r="H397" s="5">
        <f>IF(G397="","",G397/F397)</f>
        <v/>
      </c>
      <c r="I397" s="62">
        <f>SUM(テーブル9[[#This Row],[五大]:[工場材]])</f>
        <v/>
      </c>
      <c r="J397" s="65" t="n"/>
      <c r="K397" s="65" t="n"/>
      <c r="L397" s="65" t="n"/>
      <c r="M397" s="65" t="n"/>
      <c r="N397" s="65" t="n"/>
      <c r="O397" s="69" t="n"/>
      <c r="P397" s="65" t="n"/>
      <c r="Q397" s="65" t="n"/>
      <c r="R397" s="65" t="n"/>
      <c r="S397" s="65" t="n"/>
      <c r="T397" s="65" t="n"/>
      <c r="U397" s="65" t="n"/>
      <c r="V397" s="65" t="n"/>
      <c r="W397" s="65" t="n"/>
      <c r="X397" s="66" t="n"/>
      <c r="Y397" s="65" t="n"/>
      <c r="Z397" s="65" t="n"/>
      <c r="AA397" s="65" t="n"/>
      <c r="AB397" s="65" t="n"/>
      <c r="AC397" s="65" t="n"/>
      <c r="AD397" s="65" t="n"/>
      <c r="AE397" s="65" t="n"/>
      <c r="AF397" s="65" t="n"/>
      <c r="AG397" s="69" t="n"/>
      <c r="AH397" s="65" t="n"/>
      <c r="AI397" s="65" t="n"/>
      <c r="AJ397" s="65" t="n"/>
      <c r="AK397" s="65" t="n"/>
      <c r="AL397" s="65" t="n"/>
      <c r="AM397" s="65" t="n"/>
      <c r="AN397" s="65" t="n"/>
      <c r="AO397" s="65" t="n"/>
      <c r="AP397" s="69" t="n"/>
      <c r="AQ397" s="69" t="n"/>
      <c r="AR397" s="65" t="n"/>
      <c r="AS397" s="65" t="n"/>
      <c r="AT397" s="65" t="n"/>
      <c r="AU397" s="65" t="n"/>
      <c r="AV397" s="65" t="n"/>
      <c r="AW397" s="65">
        <f>30000+30000+80000</f>
        <v/>
      </c>
      <c r="AX397" s="65" t="n"/>
      <c r="AY397" s="65" t="n"/>
      <c r="AZ397" s="65" t="n"/>
      <c r="BA397" s="65" t="n"/>
      <c r="BB397" s="65" t="n"/>
      <c r="BC397" s="65" t="n"/>
      <c r="BD397" s="65" t="n"/>
      <c r="BE397" s="65" t="n"/>
      <c r="BF397" s="65" t="n"/>
      <c r="BG397" s="65" t="n"/>
    </row>
    <row r="398">
      <c r="B398" s="1" t="inlineStr">
        <is>
          <t>ハイツAB</t>
        </is>
      </c>
      <c r="C398" s="1" t="inlineStr">
        <is>
          <t>光和工業</t>
        </is>
      </c>
      <c r="D398" s="33" t="inlineStr">
        <is>
          <t>追加工事Ｂ112A201漏水復旧工事</t>
        </is>
      </c>
      <c r="E398" s="2" t="inlineStr">
        <is>
          <t>3月</t>
        </is>
      </c>
      <c r="F398" s="68" t="n">
        <v>179000</v>
      </c>
      <c r="G398" s="68">
        <f>IF(B398="","",F398-I398 )</f>
        <v/>
      </c>
      <c r="H398" s="5">
        <f>IF(G398="","",G398/F398)</f>
        <v/>
      </c>
      <c r="I398" s="62">
        <f>SUM(テーブル9[[#This Row],[五大]:[工場材]])</f>
        <v/>
      </c>
      <c r="J398" s="65" t="n"/>
      <c r="K398" s="65" t="n"/>
      <c r="L398" s="65" t="n"/>
      <c r="M398" s="65" t="n"/>
      <c r="N398" s="65" t="n"/>
      <c r="O398" s="69" t="n"/>
      <c r="P398" s="65" t="n"/>
      <c r="Q398" s="65" t="n"/>
      <c r="R398" s="65" t="n"/>
      <c r="S398" s="65" t="n"/>
      <c r="T398" s="65" t="n"/>
      <c r="U398" s="65" t="n"/>
      <c r="V398" s="65" t="n"/>
      <c r="W398" s="65" t="n"/>
      <c r="X398" s="66" t="n"/>
      <c r="Y398" s="65" t="n"/>
      <c r="Z398" s="65" t="n"/>
      <c r="AA398" s="65" t="n"/>
      <c r="AB398" s="65" t="n"/>
      <c r="AC398" s="65" t="n"/>
      <c r="AD398" s="65" t="n"/>
      <c r="AE398" s="65" t="n"/>
      <c r="AF398" s="65" t="n"/>
      <c r="AG398" s="69" t="n"/>
      <c r="AH398" s="65" t="n"/>
      <c r="AI398" s="65" t="n"/>
      <c r="AJ398" s="65" t="n"/>
      <c r="AK398" s="65" t="n"/>
      <c r="AL398" s="65" t="n"/>
      <c r="AM398" s="65" t="n"/>
      <c r="AN398" s="65" t="n"/>
      <c r="AO398" s="65" t="n"/>
      <c r="AP398" s="69" t="n"/>
      <c r="AQ398" s="69" t="n"/>
      <c r="AR398" s="65" t="n"/>
      <c r="AS398" s="65" t="n"/>
      <c r="AT398" s="65" t="n"/>
      <c r="AU398" s="65" t="n"/>
      <c r="AV398" s="65" t="n"/>
      <c r="AW398" s="65" t="n"/>
      <c r="AX398" s="65" t="n"/>
      <c r="AY398" s="65" t="n"/>
      <c r="AZ398" s="65" t="n"/>
      <c r="BA398" s="65" t="n"/>
      <c r="BB398" s="65" t="n"/>
      <c r="BC398" s="65" t="n"/>
      <c r="BD398" s="65" t="n"/>
      <c r="BE398" s="65" t="n"/>
      <c r="BF398" s="65" t="n"/>
      <c r="BG398" s="65" t="n"/>
    </row>
    <row r="399">
      <c r="B399" s="1" t="inlineStr">
        <is>
          <t>ドエルタカショーB</t>
        </is>
      </c>
      <c r="C399" s="1" t="inlineStr">
        <is>
          <t>積水不動産</t>
        </is>
      </c>
      <c r="D399" s="1" t="inlineStr">
        <is>
          <t>樋交換+塗装</t>
        </is>
      </c>
      <c r="E399" s="2" t="inlineStr">
        <is>
          <t>2月</t>
        </is>
      </c>
      <c r="F399" s="68" t="n">
        <v>228000</v>
      </c>
      <c r="G399" s="68">
        <f>IF(B399="","",F399-I399 )</f>
        <v/>
      </c>
      <c r="H399" s="5">
        <f>IF(G399="","",G399/F399)</f>
        <v/>
      </c>
      <c r="I399" s="62">
        <f>SUM(テーブル9[[#This Row],[五大]:[工場材]])</f>
        <v/>
      </c>
      <c r="J399" s="65" t="n"/>
      <c r="K399" s="65" t="n">
        <v>75000</v>
      </c>
      <c r="L399" s="65" t="n"/>
      <c r="M399" s="65" t="n"/>
      <c r="N399" s="65" t="n"/>
      <c r="O399" s="69" t="n">
        <v>35000</v>
      </c>
      <c r="P399" s="65" t="n"/>
      <c r="Q399" s="65" t="n"/>
      <c r="R399" s="65" t="n"/>
      <c r="S399" s="65" t="n"/>
      <c r="T399" s="65" t="n"/>
      <c r="U399" s="65" t="n">
        <v>12900</v>
      </c>
      <c r="V399" s="65" t="n"/>
      <c r="W399" s="64" t="n">
        <v>40000</v>
      </c>
      <c r="X399" s="66" t="n"/>
      <c r="Y399" s="65" t="n"/>
      <c r="Z399" s="65" t="n"/>
      <c r="AA399" s="65" t="n"/>
      <c r="AB399" s="65" t="n"/>
      <c r="AC399" s="65" t="n"/>
      <c r="AD399" s="65" t="n"/>
      <c r="AE399" s="65" t="n"/>
      <c r="AF399" s="65" t="n"/>
      <c r="AG399" s="69" t="n"/>
      <c r="AH399" s="65" t="n"/>
      <c r="AI399" s="65" t="n"/>
      <c r="AJ399" s="65" t="n"/>
      <c r="AK399" s="65" t="n"/>
      <c r="AL399" s="65" t="n"/>
      <c r="AM399" s="65" t="n"/>
      <c r="AN399" s="65" t="n"/>
      <c r="AO399" s="65" t="n"/>
      <c r="AP399" s="69" t="n"/>
      <c r="AQ399" s="69" t="n"/>
      <c r="AR399" s="65" t="n"/>
      <c r="AS399" s="65" t="n"/>
      <c r="AT399" s="65" t="n"/>
      <c r="AU399" s="65" t="n"/>
      <c r="AV399" s="65" t="n"/>
      <c r="AW399" s="65" t="n"/>
      <c r="AX399" s="65" t="n"/>
      <c r="AY399" s="65" t="n"/>
      <c r="AZ399" s="65" t="n"/>
      <c r="BA399" s="65" t="n"/>
      <c r="BB399" s="65" t="n"/>
      <c r="BC399" s="65" t="n"/>
      <c r="BD399" s="65" t="n"/>
      <c r="BE399" s="65" t="n"/>
      <c r="BF399" s="65" t="n"/>
      <c r="BG399" s="65" t="n">
        <v>8000</v>
      </c>
    </row>
    <row r="400">
      <c r="B400" s="1" t="inlineStr">
        <is>
          <t>ハイツAB</t>
        </is>
      </c>
      <c r="C400" s="1" t="inlineStr">
        <is>
          <t>光和工業</t>
        </is>
      </c>
      <c r="D400" s="1" t="inlineStr">
        <is>
          <t>内装</t>
        </is>
      </c>
      <c r="E400" s="68" t="inlineStr">
        <is>
          <t>2月-3月</t>
        </is>
      </c>
      <c r="F400" s="68">
        <f>600000*11</f>
        <v/>
      </c>
      <c r="G400" s="68">
        <f>IF(B400="","",F400-I400 )</f>
        <v/>
      </c>
      <c r="H400" s="5">
        <f>IF(G400="","",G400/F400)</f>
        <v/>
      </c>
      <c r="I400" s="62">
        <f>SUM(テーブル9[[#This Row],[五大]:[工場材]])</f>
        <v/>
      </c>
      <c r="J400" s="69" t="n"/>
      <c r="K400" s="65" t="n"/>
      <c r="L400" s="65" t="n"/>
      <c r="M400" s="65" t="n"/>
      <c r="N400" s="65" t="n"/>
      <c r="O400" s="69" t="n">
        <v>200000</v>
      </c>
      <c r="P400" s="65" t="n"/>
      <c r="Q400" s="65" t="n"/>
      <c r="R400" s="65" t="n"/>
      <c r="S400" s="65" t="n"/>
      <c r="T400" s="65" t="n"/>
      <c r="U400" s="69" t="n"/>
      <c r="V400" s="65" t="n"/>
      <c r="W400" s="69">
        <f>290000</f>
        <v/>
      </c>
      <c r="X400" s="66" t="n">
        <v>97036</v>
      </c>
      <c r="Y400" s="65" t="n"/>
      <c r="Z400" s="65" t="n"/>
      <c r="AA400" s="69" t="n">
        <v>20000</v>
      </c>
      <c r="AB400" s="65">
        <f>920000-AB401</f>
        <v/>
      </c>
      <c r="AC400" s="65" t="n"/>
      <c r="AD400" s="65" t="n"/>
      <c r="AE400" s="69" t="n">
        <v>888200</v>
      </c>
      <c r="AF400" s="69" t="n"/>
      <c r="AG400" s="69" t="n"/>
      <c r="AH400" s="69">
        <f>120000*11</f>
        <v/>
      </c>
      <c r="AI400" s="65" t="n"/>
      <c r="AJ400" s="65">
        <f>13000*11</f>
        <v/>
      </c>
      <c r="AK400" s="65" t="n"/>
      <c r="AL400" s="65" t="n"/>
      <c r="AM400" s="65" t="n"/>
      <c r="AN400" s="65" t="n"/>
      <c r="AO400" s="69">
        <f>928000+77000</f>
        <v/>
      </c>
      <c r="AP400" s="69" t="n"/>
      <c r="AQ400" s="69" t="n"/>
      <c r="AR400" s="65" t="n"/>
      <c r="AS400" s="65" t="n"/>
      <c r="AT400" s="65" t="n"/>
      <c r="AU400" s="65" t="n"/>
      <c r="AV400" s="65" t="n"/>
      <c r="AW400" s="65" t="n"/>
      <c r="AX400" s="65" t="n"/>
      <c r="AY400" s="65" t="n"/>
      <c r="AZ400" s="65" t="n"/>
      <c r="BA400" s="65" t="n"/>
      <c r="BB400" s="65" t="n"/>
      <c r="BC400" s="65" t="n"/>
      <c r="BD400" s="65" t="n"/>
      <c r="BE400" s="65" t="n"/>
      <c r="BF400" s="65" t="n"/>
      <c r="BG400" s="65">
        <f>80000</f>
        <v/>
      </c>
    </row>
    <row r="401">
      <c r="B401" s="1" t="inlineStr">
        <is>
          <t>東九番丁パークマンション604</t>
        </is>
      </c>
      <c r="C401" s="1" t="inlineStr">
        <is>
          <t>随縁管財</t>
        </is>
      </c>
      <c r="D401" s="1" t="inlineStr">
        <is>
          <t>漏水復旧</t>
        </is>
      </c>
      <c r="E401" s="2" t="inlineStr">
        <is>
          <t>2月</t>
        </is>
      </c>
      <c r="F401" s="68" t="n">
        <v>710000</v>
      </c>
      <c r="G401" s="68">
        <f>IF(B401="","",F401-I401 )</f>
        <v/>
      </c>
      <c r="H401" s="5">
        <f>IF(G401="","",G401/F401)</f>
        <v/>
      </c>
      <c r="I401" s="62">
        <f>SUM(テーブル9[[#This Row],[五大]:[工場材]])</f>
        <v/>
      </c>
      <c r="J401" s="65" t="n"/>
      <c r="K401" s="65" t="n"/>
      <c r="L401" s="65" t="n"/>
      <c r="M401" s="65" t="n"/>
      <c r="N401" s="65" t="n"/>
      <c r="O401" s="69" t="n"/>
      <c r="P401" s="65" t="n"/>
      <c r="Q401" s="65" t="n"/>
      <c r="R401" s="65" t="n"/>
      <c r="S401" s="65" t="n"/>
      <c r="T401" s="65" t="n"/>
      <c r="U401" s="65" t="n"/>
      <c r="V401" s="65" t="n"/>
      <c r="W401" s="69" t="n">
        <v>180000</v>
      </c>
      <c r="X401" s="66" t="n">
        <v>25727</v>
      </c>
      <c r="Y401" s="65" t="n"/>
      <c r="Z401" s="65" t="n"/>
      <c r="AA401" s="69" t="n">
        <v>68000</v>
      </c>
      <c r="AB401" s="69" t="n">
        <v>44000</v>
      </c>
      <c r="AC401" s="65" t="n"/>
      <c r="AD401" s="65" t="n"/>
      <c r="AE401" s="65" t="n"/>
      <c r="AF401" s="65" t="n"/>
      <c r="AG401" s="69">
        <f>65000+8200+3040+72000+2400</f>
        <v/>
      </c>
      <c r="AH401" s="65" t="n"/>
      <c r="AI401" s="65" t="n"/>
      <c r="AJ401" s="65" t="n"/>
      <c r="AK401" s="65" t="n"/>
      <c r="AL401" s="65" t="n"/>
      <c r="AM401" s="65" t="n"/>
      <c r="AN401" s="65" t="n"/>
      <c r="AO401" s="69" t="n">
        <v>1185</v>
      </c>
      <c r="AP401" s="69" t="n"/>
      <c r="AQ401" s="69" t="n"/>
      <c r="AR401" s="65" t="n"/>
      <c r="AS401" s="65" t="n"/>
      <c r="AT401" s="65" t="n"/>
      <c r="AU401" s="65" t="n"/>
      <c r="AV401" s="65" t="n"/>
      <c r="AW401" s="65" t="n"/>
      <c r="AX401" s="65" t="n"/>
      <c r="AY401" s="65" t="n"/>
      <c r="AZ401" s="65" t="n"/>
      <c r="BA401" s="65" t="n"/>
      <c r="BB401" s="65" t="n"/>
      <c r="BC401" s="65" t="n"/>
      <c r="BD401" s="65" t="n"/>
      <c r="BE401" s="65" t="n"/>
      <c r="BF401" s="65" t="n"/>
      <c r="BG401" s="64" t="n">
        <v>65000</v>
      </c>
    </row>
    <row r="402">
      <c r="B402" s="1" t="inlineStr">
        <is>
          <t>レーベンハウス206</t>
        </is>
      </c>
      <c r="C402" s="1" t="inlineStr">
        <is>
          <t>積水不動産</t>
        </is>
      </c>
      <c r="D402" s="1" t="inlineStr">
        <is>
          <t>リノベーション</t>
        </is>
      </c>
      <c r="E402" s="2" t="inlineStr">
        <is>
          <t>2月</t>
        </is>
      </c>
      <c r="F402" s="68" t="n">
        <v>1068650</v>
      </c>
      <c r="G402" s="68">
        <f>IF(B402="","",F402-I402 )</f>
        <v/>
      </c>
      <c r="H402" s="5">
        <f>IF(G402="","",G402/F402)</f>
        <v/>
      </c>
      <c r="I402" s="62">
        <f>SUM(テーブル9[[#This Row],[五大]:[工場材]])</f>
        <v/>
      </c>
      <c r="J402" s="65" t="n"/>
      <c r="K402" s="65" t="n"/>
      <c r="L402" s="65" t="n"/>
      <c r="M402" s="65" t="n"/>
      <c r="N402" s="65" t="n"/>
      <c r="O402" s="69" t="n"/>
      <c r="P402" s="65" t="n"/>
      <c r="Q402" s="65" t="n"/>
      <c r="R402" s="65" t="n"/>
      <c r="S402" s="65" t="n"/>
      <c r="T402" s="65" t="n"/>
      <c r="U402" s="65" t="n"/>
      <c r="V402" s="65" t="n"/>
      <c r="W402" s="69" t="n">
        <v>350000</v>
      </c>
      <c r="X402" s="66" t="n">
        <v>77245</v>
      </c>
      <c r="Y402" s="65" t="n"/>
      <c r="Z402" s="65" t="n"/>
      <c r="AA402" s="65" t="n"/>
      <c r="AB402" s="65" t="n"/>
      <c r="AC402" s="65" t="n"/>
      <c r="AD402" s="65" t="n"/>
      <c r="AE402" s="65" t="n"/>
      <c r="AF402" s="65" t="n"/>
      <c r="AG402" s="69" t="n"/>
      <c r="AH402" s="69" t="n">
        <v>343900</v>
      </c>
      <c r="AI402" s="65" t="n"/>
      <c r="AJ402" s="65" t="n"/>
      <c r="AK402" s="65" t="n"/>
      <c r="AL402" s="65" t="n"/>
      <c r="AM402" s="65" t="n"/>
      <c r="AN402" s="65" t="n"/>
      <c r="AO402" s="65" t="n"/>
      <c r="AP402" s="69" t="n"/>
      <c r="AQ402" s="69" t="n"/>
      <c r="AR402" s="65" t="n"/>
      <c r="AS402" s="65" t="n"/>
      <c r="AT402" s="65" t="n"/>
      <c r="AU402" s="65" t="n"/>
      <c r="AV402" s="65" t="n"/>
      <c r="AW402" s="65" t="n"/>
      <c r="AX402" s="65" t="n"/>
      <c r="AY402" s="65" t="n"/>
      <c r="AZ402" s="65" t="n"/>
      <c r="BA402" s="65" t="n"/>
      <c r="BB402" s="65" t="n"/>
      <c r="BC402" s="65" t="n"/>
      <c r="BD402" s="65" t="n"/>
      <c r="BE402" s="65" t="n"/>
      <c r="BF402" s="65" t="n"/>
      <c r="BG402" s="65">
        <f>194000+8000</f>
        <v/>
      </c>
    </row>
    <row r="403">
      <c r="B403" s="1" t="inlineStr">
        <is>
          <t>関矢邸内装</t>
        </is>
      </c>
      <c r="C403" s="1" t="inlineStr">
        <is>
          <t>光和工業</t>
        </is>
      </c>
      <c r="D403" s="1" t="inlineStr">
        <is>
          <t>リフォーム</t>
        </is>
      </c>
      <c r="E403" s="2" t="inlineStr">
        <is>
          <t>2月</t>
        </is>
      </c>
      <c r="F403" s="68" t="n">
        <v>979000</v>
      </c>
      <c r="G403" s="68">
        <f>IF(B403="","",F403-I403 )</f>
        <v/>
      </c>
      <c r="H403" s="5">
        <f>IF(G403="","",G403/F403)</f>
        <v/>
      </c>
      <c r="I403" s="62">
        <f>SUM(テーブル9[[#This Row],[五大]:[工場材]])</f>
        <v/>
      </c>
      <c r="J403" s="65" t="n"/>
      <c r="K403" s="65" t="n"/>
      <c r="L403" s="65" t="n"/>
      <c r="M403" s="65" t="n"/>
      <c r="N403" s="65" t="n"/>
      <c r="O403" s="69" t="n"/>
      <c r="P403" s="65" t="n"/>
      <c r="Q403" s="65" t="n"/>
      <c r="R403" s="65" t="n"/>
      <c r="S403" s="65" t="n"/>
      <c r="T403" s="65" t="n"/>
      <c r="U403" s="65" t="n"/>
      <c r="V403" s="65" t="n"/>
      <c r="W403" s="65" t="n">
        <v>400000</v>
      </c>
      <c r="X403" s="66" t="n">
        <v>55150</v>
      </c>
      <c r="Y403" s="65" t="n"/>
      <c r="Z403" s="65" t="n"/>
      <c r="AA403" s="65" t="n"/>
      <c r="AB403" s="65" t="n"/>
      <c r="AC403" s="65" t="n"/>
      <c r="AD403" s="65" t="n"/>
      <c r="AE403" s="65" t="n"/>
      <c r="AF403" s="65" t="n"/>
      <c r="AG403" s="65" t="n"/>
      <c r="AH403" s="69" t="n">
        <v>100720</v>
      </c>
      <c r="AI403" s="65" t="n"/>
      <c r="AJ403" s="65" t="n"/>
      <c r="AK403" s="65" t="n"/>
      <c r="AL403" s="65" t="n"/>
      <c r="AM403" s="65" t="n"/>
      <c r="AN403" s="65" t="n"/>
      <c r="AO403" s="69">
        <f>31980+39300+261540</f>
        <v/>
      </c>
      <c r="AP403" s="69" t="n"/>
      <c r="AQ403" s="69" t="n"/>
      <c r="AR403" s="65" t="n"/>
      <c r="AS403" s="65" t="n"/>
      <c r="AT403" s="65" t="n"/>
      <c r="AU403" s="65" t="n"/>
      <c r="AV403" s="65" t="n"/>
      <c r="AW403" s="65" t="n"/>
      <c r="AX403" s="65" t="n"/>
      <c r="AY403" s="65" t="n"/>
      <c r="AZ403" s="65" t="n"/>
      <c r="BA403" s="65" t="n"/>
      <c r="BB403" s="65" t="n"/>
      <c r="BC403" s="65" t="n"/>
      <c r="BD403" s="65" t="n"/>
      <c r="BE403" s="65" t="n"/>
      <c r="BF403" s="65" t="n"/>
      <c r="BG403" s="64">
        <f>-11900-70000</f>
        <v/>
      </c>
    </row>
    <row r="404">
      <c r="B404" s="1" t="inlineStr">
        <is>
          <t>グランドール小松島</t>
        </is>
      </c>
      <c r="C404" s="1" t="inlineStr">
        <is>
          <t>積水不動産</t>
        </is>
      </c>
      <c r="D404" s="1" t="inlineStr">
        <is>
          <t>軒天貼替</t>
        </is>
      </c>
      <c r="E404" s="2" t="inlineStr">
        <is>
          <t>2月</t>
        </is>
      </c>
      <c r="F404" s="68" t="n">
        <v>224000</v>
      </c>
      <c r="G404" s="68">
        <f>IF(B404="","",F404-I404 )</f>
        <v/>
      </c>
      <c r="H404" s="5">
        <f>IF(G404="","",G404/F404)</f>
        <v/>
      </c>
      <c r="I404" s="62">
        <f>SUM(テーブル9[[#This Row],[五大]:[工場材]])</f>
        <v/>
      </c>
      <c r="J404" s="65" t="n"/>
      <c r="K404" s="65" t="n"/>
      <c r="L404" s="65" t="n"/>
      <c r="M404" s="65" t="n"/>
      <c r="N404" s="65" t="n"/>
      <c r="O404" s="69" t="n">
        <v>40000</v>
      </c>
      <c r="P404" s="65" t="n"/>
      <c r="Q404" s="65" t="n"/>
      <c r="R404" s="65" t="n"/>
      <c r="S404" s="65" t="n"/>
      <c r="T404" s="65" t="n"/>
      <c r="U404" s="65" t="n"/>
      <c r="V404" s="65" t="n"/>
      <c r="W404" s="65" t="n">
        <v>80000</v>
      </c>
      <c r="X404" s="66" t="n">
        <v>16784</v>
      </c>
      <c r="Y404" s="65" t="n"/>
      <c r="Z404" s="65" t="n"/>
      <c r="AA404" s="65" t="n"/>
      <c r="AB404" s="65" t="n"/>
      <c r="AC404" s="65" t="n"/>
      <c r="AD404" s="65" t="n"/>
      <c r="AE404" s="65" t="n"/>
      <c r="AF404" s="65" t="n"/>
      <c r="AG404" s="65" t="n"/>
      <c r="AH404" s="65" t="n"/>
      <c r="AI404" s="65" t="n"/>
      <c r="AJ404" s="65" t="n"/>
      <c r="AK404" s="65" t="n"/>
      <c r="AL404" s="65" t="n"/>
      <c r="AM404" s="65" t="n"/>
      <c r="AN404" s="65" t="n"/>
      <c r="AO404" s="65" t="n"/>
      <c r="AP404" s="69" t="n"/>
      <c r="AQ404" s="69" t="n"/>
      <c r="AR404" s="65" t="n"/>
      <c r="AS404" s="65" t="n"/>
      <c r="AT404" s="65" t="n"/>
      <c r="AU404" s="65" t="n"/>
      <c r="AV404" s="65" t="n"/>
      <c r="AW404" s="65" t="n"/>
      <c r="AX404" s="65" t="n"/>
      <c r="AY404" s="65" t="n"/>
      <c r="AZ404" s="65" t="n"/>
      <c r="BA404" s="65" t="n"/>
      <c r="BB404" s="65" t="n"/>
      <c r="BC404" s="65" t="n"/>
      <c r="BD404" s="65" t="n"/>
      <c r="BE404" s="65" t="n"/>
      <c r="BF404" s="65" t="n"/>
      <c r="BG404" s="65" t="n"/>
    </row>
    <row r="405">
      <c r="F405" s="68" t="n"/>
      <c r="G405" s="68">
        <f>IF(B405="","",F405-I405 )</f>
        <v/>
      </c>
      <c r="H405" s="5">
        <f>IF(G405="","",G405/F405)</f>
        <v/>
      </c>
      <c r="I405" s="62">
        <f>SUM(テーブル9[[#This Row],[五大]:[工場材]])</f>
        <v/>
      </c>
      <c r="J405" s="65" t="n"/>
      <c r="K405" s="65" t="n"/>
      <c r="L405" s="65" t="n"/>
      <c r="M405" s="65" t="n"/>
      <c r="N405" s="65" t="n"/>
      <c r="O405" s="69" t="n"/>
      <c r="P405" s="65" t="n"/>
      <c r="Q405" s="65" t="n"/>
      <c r="R405" s="65" t="n"/>
      <c r="S405" s="65" t="n"/>
      <c r="T405" s="65" t="n"/>
      <c r="U405" s="65" t="n"/>
      <c r="V405" s="65" t="n"/>
      <c r="W405" s="65" t="n"/>
      <c r="X405" s="66" t="n"/>
      <c r="Y405" s="65" t="n"/>
      <c r="Z405" s="65" t="n"/>
      <c r="AA405" s="65" t="n"/>
      <c r="AB405" s="65" t="n"/>
      <c r="AC405" s="65" t="n"/>
      <c r="AD405" s="65" t="n"/>
      <c r="AE405" s="65" t="n"/>
      <c r="AF405" s="65" t="n"/>
      <c r="AG405" s="65" t="n"/>
      <c r="AH405" s="65" t="n"/>
      <c r="AI405" s="65" t="n"/>
      <c r="AJ405" s="65" t="n"/>
      <c r="AK405" s="65" t="n"/>
      <c r="AL405" s="65" t="n"/>
      <c r="AM405" s="65" t="n"/>
      <c r="AN405" s="65" t="n"/>
      <c r="AO405" s="65" t="n"/>
      <c r="AP405" s="69" t="n"/>
      <c r="AQ405" s="69" t="n"/>
      <c r="AR405" s="65" t="n"/>
      <c r="AS405" s="65" t="n"/>
      <c r="AT405" s="65" t="n"/>
      <c r="AU405" s="65" t="n"/>
      <c r="AV405" s="65" t="n"/>
      <c r="AW405" s="65" t="n"/>
      <c r="AX405" s="65" t="n"/>
      <c r="AY405" s="65" t="n"/>
      <c r="AZ405" s="65" t="n"/>
      <c r="BA405" s="65" t="n"/>
      <c r="BB405" s="65" t="n"/>
      <c r="BC405" s="65" t="n"/>
      <c r="BD405" s="65" t="n"/>
      <c r="BE405" s="65" t="n"/>
      <c r="BF405" s="65" t="n"/>
      <c r="BG405" s="65" t="n"/>
    </row>
    <row r="406">
      <c r="F406" s="68" t="n"/>
      <c r="G406" s="68">
        <f>IF(B406="","",F406-I406 )</f>
        <v/>
      </c>
      <c r="H406" s="5">
        <f>IF(G406="","",G406/F406)</f>
        <v/>
      </c>
      <c r="I406" s="62">
        <f>SUM(テーブル9[[#This Row],[五大]:[工場材]])</f>
        <v/>
      </c>
      <c r="J406" s="65" t="n"/>
      <c r="K406" s="65" t="n"/>
      <c r="L406" s="65">
        <f>76000-18000</f>
        <v/>
      </c>
      <c r="M406" s="65" t="n"/>
      <c r="N406" s="65" t="n"/>
      <c r="O406" s="69">
        <f>28.8*1200</f>
        <v/>
      </c>
      <c r="P406" s="65" t="n"/>
      <c r="Q406" s="65" t="n"/>
      <c r="R406" s="65" t="n"/>
      <c r="S406" s="65" t="n"/>
      <c r="T406" s="65" t="n"/>
      <c r="U406" s="65" t="n"/>
      <c r="V406" s="65" t="n"/>
      <c r="W406" s="65" t="n"/>
      <c r="X406" s="66" t="n"/>
      <c r="Y406" s="65" t="n"/>
      <c r="Z406" s="65" t="n"/>
      <c r="AA406" s="65" t="n"/>
      <c r="AB406" s="65" t="n"/>
      <c r="AC406" s="65" t="n"/>
      <c r="AD406" s="65" t="n"/>
      <c r="AE406" s="65" t="n"/>
      <c r="AF406" s="65" t="n"/>
      <c r="AG406" s="65" t="n"/>
      <c r="AH406" s="65" t="n"/>
      <c r="AI406" s="65" t="n"/>
      <c r="AJ406" s="65" t="n"/>
      <c r="AK406" s="65" t="n"/>
      <c r="AL406" s="65" t="n"/>
      <c r="AM406" s="65" t="n"/>
      <c r="AN406" s="65" t="n"/>
      <c r="AO406" s="69" t="n"/>
      <c r="AP406" s="69" t="n"/>
      <c r="AQ406" s="69" t="n"/>
      <c r="AR406" s="65" t="n"/>
      <c r="AS406" s="65" t="n"/>
      <c r="AT406" s="65" t="n"/>
      <c r="AU406" s="65" t="n"/>
      <c r="AV406" s="65" t="n"/>
      <c r="AW406" s="65" t="n"/>
      <c r="AX406" s="65" t="n"/>
      <c r="AY406" s="65" t="n"/>
      <c r="AZ406" s="65" t="n"/>
      <c r="BA406" s="65" t="n"/>
      <c r="BB406" s="65" t="n"/>
      <c r="BC406" s="65" t="n"/>
      <c r="BD406" s="65" t="n"/>
      <c r="BE406" s="65" t="n"/>
      <c r="BF406" s="65" t="n"/>
      <c r="BG406" s="65" t="n"/>
    </row>
    <row r="407">
      <c r="A407" s="0" t="inlineStr">
        <is>
          <t>R5.4</t>
        </is>
      </c>
      <c r="B407" s="1" t="inlineStr">
        <is>
          <t>東九番丁パークマンション708</t>
        </is>
      </c>
      <c r="C407" s="1" t="inlineStr">
        <is>
          <t>光和工業</t>
        </is>
      </c>
      <c r="D407" s="1" t="inlineStr">
        <is>
          <t>リノベーション工事</t>
        </is>
      </c>
      <c r="E407" s="2" t="inlineStr">
        <is>
          <t>4月</t>
        </is>
      </c>
      <c r="F407" s="68" t="n">
        <v>5530000</v>
      </c>
      <c r="G407" s="68">
        <f>IF(B407="","",F407-I407 )</f>
        <v/>
      </c>
      <c r="H407" s="5">
        <f>IF(G407="","",G407/F407)</f>
        <v/>
      </c>
      <c r="I407" s="62">
        <f>SUM(テーブル9[[#This Row],[五大]:[工場材]])</f>
        <v/>
      </c>
      <c r="J407" s="65" t="n"/>
      <c r="K407" s="65" t="n"/>
      <c r="L407" s="65" t="n"/>
      <c r="M407" s="65" t="n"/>
      <c r="N407" s="65" t="n"/>
      <c r="O407" s="69" t="n">
        <v>60000</v>
      </c>
      <c r="P407" s="65" t="n"/>
      <c r="Q407" s="65" t="n"/>
      <c r="R407" s="65" t="n"/>
      <c r="S407" s="65" t="n"/>
      <c r="T407" s="65" t="n"/>
      <c r="U407" s="64" t="n">
        <v>41700</v>
      </c>
      <c r="V407" s="65" t="n"/>
      <c r="W407" s="65" t="n">
        <v>900000</v>
      </c>
      <c r="X407" s="66" t="n">
        <v>510835</v>
      </c>
      <c r="Y407" s="65" t="n"/>
      <c r="Z407" s="65" t="n"/>
      <c r="AA407" s="69" t="n">
        <v>750000</v>
      </c>
      <c r="AB407" s="69" t="n">
        <v>380000</v>
      </c>
      <c r="AC407" s="65" t="n"/>
      <c r="AD407" s="65" t="n"/>
      <c r="AE407" s="65" t="n"/>
      <c r="AF407" s="65" t="n"/>
      <c r="AG407" s="65">
        <f>31400+1400</f>
        <v/>
      </c>
      <c r="AH407" s="65" t="n"/>
      <c r="AI407" s="64" t="n">
        <v>30000</v>
      </c>
      <c r="AJ407" s="65" t="n"/>
      <c r="AK407" s="65" t="n"/>
      <c r="AL407" s="65" t="n"/>
      <c r="AM407" s="65" t="n"/>
      <c r="AN407" s="65" t="n"/>
      <c r="AO407" s="69">
        <f>300922+15100+90135+322803+74800</f>
        <v/>
      </c>
      <c r="AP407" s="65" t="n"/>
      <c r="AQ407" s="65" t="n"/>
      <c r="AR407" s="65" t="n"/>
      <c r="AS407" s="65" t="n"/>
      <c r="AT407" s="65" t="n"/>
      <c r="AU407" s="65" t="n"/>
      <c r="AV407" s="65" t="n"/>
      <c r="AW407" s="65" t="n"/>
      <c r="AX407" s="65" t="n"/>
      <c r="AY407" s="69">
        <f>76500+200000</f>
        <v/>
      </c>
      <c r="AZ407" s="64" t="n">
        <v>91000</v>
      </c>
      <c r="BA407" s="65" t="n"/>
      <c r="BB407" s="65" t="n"/>
      <c r="BC407" s="65" t="n"/>
      <c r="BD407" s="65" t="n"/>
      <c r="BE407" s="65" t="n"/>
      <c r="BF407" s="65" t="n"/>
      <c r="BG407" s="64" t="n">
        <v>503629</v>
      </c>
    </row>
    <row r="408">
      <c r="B408" s="1" t="inlineStr">
        <is>
          <t>鈎取戸建て　追加</t>
        </is>
      </c>
      <c r="C408" s="1" t="inlineStr">
        <is>
          <t>光和工業</t>
        </is>
      </c>
      <c r="D408" s="32" t="inlineStr">
        <is>
          <t>追加内装工事1回目</t>
        </is>
      </c>
      <c r="E408" s="2" t="inlineStr">
        <is>
          <t>4月</t>
        </is>
      </c>
      <c r="F408" s="68" t="n">
        <v>450000</v>
      </c>
      <c r="G408" s="68">
        <f>IF(B408="","",F408-I408 )</f>
        <v/>
      </c>
      <c r="H408" s="5">
        <f>IF(G408="","",G408/F408)</f>
        <v/>
      </c>
      <c r="I408" s="62">
        <f>SUM(テーブル9[[#This Row],[五大]:[工場材]])</f>
        <v/>
      </c>
      <c r="J408" s="65" t="n"/>
      <c r="K408" s="65" t="n"/>
      <c r="L408" s="65" t="n"/>
      <c r="M408" s="65" t="n"/>
      <c r="N408" s="65" t="n"/>
      <c r="O408" s="69" t="n"/>
      <c r="P408" s="65" t="n"/>
      <c r="Q408" s="65" t="n"/>
      <c r="R408" s="65" t="n"/>
      <c r="S408" s="65" t="n"/>
      <c r="T408" s="65" t="n"/>
      <c r="U408" s="69" t="n"/>
      <c r="V408" s="65" t="n"/>
      <c r="W408" s="65" t="n"/>
      <c r="X408" s="66" t="n"/>
      <c r="Y408" s="65" t="n"/>
      <c r="Z408" s="65" t="n"/>
      <c r="AA408" s="69" t="n">
        <v>100000</v>
      </c>
      <c r="AB408" s="65" t="n"/>
      <c r="AC408" s="65" t="n"/>
      <c r="AD408" s="65" t="n"/>
      <c r="AE408" s="65" t="n"/>
      <c r="AF408" s="65" t="n"/>
      <c r="AG408" s="65" t="n"/>
      <c r="AH408" s="65" t="n"/>
      <c r="AI408" s="65" t="n"/>
      <c r="AJ408" s="64" t="n">
        <v>15000</v>
      </c>
      <c r="AK408" s="65" t="n"/>
      <c r="AL408" s="65" t="n"/>
      <c r="AM408" s="65" t="n"/>
      <c r="AN408" s="65" t="n"/>
      <c r="AO408" s="69" t="n"/>
      <c r="AP408" s="65" t="n"/>
      <c r="AQ408" s="65" t="n"/>
      <c r="AR408" s="65" t="n"/>
      <c r="AS408" s="65" t="n"/>
      <c r="AT408" s="65" t="n"/>
      <c r="AU408" s="65" t="n"/>
      <c r="AV408" s="65" t="n"/>
      <c r="AW408" s="69" t="n">
        <v>25000</v>
      </c>
      <c r="AX408" s="69" t="n"/>
      <c r="AY408" s="65" t="n"/>
      <c r="AZ408" s="65" t="n"/>
      <c r="BA408" s="65" t="n"/>
      <c r="BB408" s="65" t="n"/>
      <c r="BC408" s="65" t="n"/>
      <c r="BD408" s="65" t="n"/>
      <c r="BE408" s="65" t="n"/>
      <c r="BF408" s="65" t="n"/>
      <c r="BG408" s="65" t="n"/>
    </row>
    <row r="409">
      <c r="B409" s="1" t="inlineStr">
        <is>
          <t>T＆T　OKINO</t>
        </is>
      </c>
      <c r="C409" s="1" t="inlineStr">
        <is>
          <t>山一</t>
        </is>
      </c>
      <c r="D409" s="1" t="inlineStr">
        <is>
          <t>塗装</t>
        </is>
      </c>
      <c r="E409" s="2" t="inlineStr">
        <is>
          <t>4月</t>
        </is>
      </c>
      <c r="F409" s="68" t="n">
        <v>4214000</v>
      </c>
      <c r="G409" s="68">
        <f>IF(B409="","",F409-I409 )</f>
        <v/>
      </c>
      <c r="H409" s="5">
        <f>IF(G409="","",G409/F409)</f>
        <v/>
      </c>
      <c r="I409" s="62">
        <f>SUM(テーブル9[[#This Row],[五大]:[工場材]])</f>
        <v/>
      </c>
      <c r="J409" s="65" t="n"/>
      <c r="K409" s="65" t="n"/>
      <c r="L409" s="65" t="n"/>
      <c r="M409" s="65" t="n"/>
      <c r="N409" s="65" t="n"/>
      <c r="O409" s="69" t="n"/>
      <c r="P409" s="65" t="n"/>
      <c r="Q409" s="65" t="n"/>
      <c r="R409" s="69" t="n">
        <v>150000</v>
      </c>
      <c r="S409" s="69" t="n">
        <v>35000</v>
      </c>
      <c r="T409" s="65" t="n"/>
      <c r="U409" s="69">
        <f>264300+12500</f>
        <v/>
      </c>
      <c r="V409" s="69" t="n">
        <v>3506460</v>
      </c>
      <c r="W409" s="65" t="n"/>
      <c r="X409" s="66" t="n"/>
      <c r="Y409" s="65" t="n"/>
      <c r="Z409" s="65" t="n"/>
      <c r="AA409" s="69" t="n"/>
      <c r="AB409" s="65" t="n"/>
      <c r="AC409" s="65" t="n"/>
      <c r="AD409" s="65" t="n"/>
      <c r="AE409" s="65" t="n"/>
      <c r="AF409" s="65" t="n"/>
      <c r="AG409" s="65" t="n"/>
      <c r="AH409" s="65" t="n"/>
      <c r="AI409" s="65" t="n"/>
      <c r="AJ409" s="65" t="n"/>
      <c r="AK409" s="65" t="n"/>
      <c r="AL409" s="65" t="n"/>
      <c r="AM409" s="65" t="n">
        <v>15000</v>
      </c>
      <c r="AN409" s="65" t="n"/>
      <c r="AO409" s="69" t="n"/>
      <c r="AP409" s="65" t="n"/>
      <c r="AQ409" s="65" t="n"/>
      <c r="AR409" s="65" t="n"/>
      <c r="AS409" s="65" t="n"/>
      <c r="AT409" s="65" t="n"/>
      <c r="AU409" s="65" t="n"/>
      <c r="AV409" s="65" t="n"/>
      <c r="AW409" s="65" t="n"/>
      <c r="AX409" s="65" t="n"/>
      <c r="AY409" s="65" t="n"/>
      <c r="AZ409" s="65" t="n"/>
      <c r="BA409" s="65" t="n"/>
      <c r="BB409" s="65" t="n"/>
      <c r="BC409" s="65" t="n"/>
      <c r="BD409" s="65" t="n"/>
      <c r="BE409" s="65" t="n"/>
      <c r="BF409" s="65" t="n"/>
      <c r="BG409" s="65" t="n"/>
    </row>
    <row r="410">
      <c r="B410" s="1" t="inlineStr">
        <is>
          <t>ランブル山手（GHやまてまち）</t>
        </is>
      </c>
      <c r="C410" s="1" t="inlineStr">
        <is>
          <t>光和工業</t>
        </is>
      </c>
      <c r="D410" s="1" t="inlineStr">
        <is>
          <t>漏水復旧</t>
        </is>
      </c>
      <c r="E410" s="2" t="inlineStr">
        <is>
          <t>4月</t>
        </is>
      </c>
      <c r="F410" s="68" t="n">
        <v>290400</v>
      </c>
      <c r="G410" s="68">
        <f>IF(B410="","",F410-I410 )</f>
        <v/>
      </c>
      <c r="H410" s="5">
        <f>IF(G410="","",G410/F410)</f>
        <v/>
      </c>
      <c r="I410" s="62">
        <f>SUM(テーブル9[[#This Row],[五大]:[工場材]])</f>
        <v/>
      </c>
      <c r="J410" s="65" t="n"/>
      <c r="K410" s="65" t="n"/>
      <c r="L410" s="65" t="n"/>
      <c r="M410" s="65" t="n"/>
      <c r="N410" s="65" t="n"/>
      <c r="O410" s="69" t="n"/>
      <c r="P410" s="65" t="n"/>
      <c r="Q410" s="65" t="n"/>
      <c r="R410" s="65" t="n"/>
      <c r="S410" s="65" t="n"/>
      <c r="T410" s="65" t="n"/>
      <c r="U410" s="65" t="n"/>
      <c r="V410" s="65" t="n"/>
      <c r="W410" s="69" t="n">
        <v>120000</v>
      </c>
      <c r="X410" s="66" t="n">
        <v>32022</v>
      </c>
      <c r="Y410" s="65" t="n"/>
      <c r="Z410" s="65" t="n"/>
      <c r="AA410" s="69" t="n"/>
      <c r="AB410" s="65" t="n"/>
      <c r="AC410" s="65" t="n"/>
      <c r="AD410" s="65" t="n"/>
      <c r="AE410" s="65" t="n"/>
      <c r="AF410" s="65" t="n"/>
      <c r="AG410" s="65" t="n"/>
      <c r="AH410" s="69" t="n">
        <v>35000</v>
      </c>
      <c r="AI410" s="65" t="n"/>
      <c r="AJ410" s="65" t="n"/>
      <c r="AK410" s="65" t="n"/>
      <c r="AL410" s="65" t="n"/>
      <c r="AM410" s="65" t="n"/>
      <c r="AN410" s="65" t="n"/>
      <c r="AO410" s="69" t="n"/>
      <c r="AP410" s="65" t="n"/>
      <c r="AQ410" s="65" t="n"/>
      <c r="AR410" s="65" t="n"/>
      <c r="AS410" s="65" t="n"/>
      <c r="AT410" s="65" t="n"/>
      <c r="AU410" s="65" t="n"/>
      <c r="AV410" s="65" t="n"/>
      <c r="AW410" s="65" t="n"/>
      <c r="AX410" s="65" t="n"/>
      <c r="AY410" s="65" t="n"/>
      <c r="AZ410" s="65" t="n"/>
      <c r="BA410" s="65" t="n"/>
      <c r="BB410" s="65" t="n"/>
      <c r="BC410" s="65" t="n"/>
      <c r="BD410" s="65" t="n"/>
      <c r="BE410" s="65" t="n"/>
      <c r="BF410" s="65" t="n"/>
      <c r="BG410" s="65" t="n"/>
    </row>
    <row r="411">
      <c r="F411" s="68" t="n"/>
      <c r="G411" s="68">
        <f>IF(B411="","",F411-I411 )</f>
        <v/>
      </c>
      <c r="H411" s="5">
        <f>IF(G411="","",G411/F411)</f>
        <v/>
      </c>
      <c r="I411" s="62">
        <f>SUM(テーブル9[[#This Row],[五大]:[工場材]])</f>
        <v/>
      </c>
      <c r="J411" s="65" t="n"/>
      <c r="K411" s="65" t="n"/>
      <c r="L411" s="65" t="n"/>
      <c r="M411" s="65" t="n"/>
      <c r="N411" s="65" t="n"/>
      <c r="O411" s="69" t="n"/>
      <c r="P411" s="65" t="n"/>
      <c r="Q411" s="65" t="n"/>
      <c r="R411" s="65" t="n"/>
      <c r="S411" s="65" t="n"/>
      <c r="T411" s="65" t="n"/>
      <c r="U411" s="65" t="n"/>
      <c r="V411" s="65" t="n"/>
      <c r="W411" s="65" t="n"/>
      <c r="X411" s="66" t="n"/>
      <c r="Y411" s="65" t="n"/>
      <c r="Z411" s="65" t="n"/>
      <c r="AA411" s="69" t="n"/>
      <c r="AB411" s="65" t="n"/>
      <c r="AC411" s="65" t="n"/>
      <c r="AD411" s="65" t="n"/>
      <c r="AE411" s="65" t="n"/>
      <c r="AF411" s="65" t="n"/>
      <c r="AG411" s="65" t="n"/>
      <c r="AH411" s="69" t="n"/>
      <c r="AI411" s="65" t="n"/>
      <c r="AJ411" s="65" t="n"/>
      <c r="AK411" s="65" t="n"/>
      <c r="AL411" s="65" t="n"/>
      <c r="AM411" s="65" t="n"/>
      <c r="AN411" s="65" t="n"/>
      <c r="AO411" s="69" t="n"/>
      <c r="AP411" s="65" t="n"/>
      <c r="AQ411" s="65" t="n"/>
      <c r="AR411" s="65" t="n"/>
      <c r="AS411" s="65" t="n"/>
      <c r="AT411" s="65" t="n"/>
      <c r="AU411" s="65" t="n"/>
      <c r="AV411" s="65" t="n"/>
      <c r="AW411" s="65" t="n"/>
      <c r="AX411" s="65" t="n"/>
      <c r="AY411" s="65" t="n"/>
      <c r="AZ411" s="65" t="n"/>
      <c r="BA411" s="65" t="n"/>
      <c r="BB411" s="65" t="n"/>
      <c r="BC411" s="65" t="n"/>
      <c r="BD411" s="65" t="n"/>
      <c r="BE411" s="65" t="n"/>
      <c r="BF411" s="65" t="n"/>
      <c r="BG411" s="65" t="n"/>
    </row>
    <row r="412">
      <c r="A412" s="0" t="inlineStr">
        <is>
          <t>R5.5</t>
        </is>
      </c>
      <c r="B412" s="1" t="inlineStr">
        <is>
          <t>油谷邸</t>
        </is>
      </c>
      <c r="C412" s="1" t="inlineStr">
        <is>
          <t>光和工業</t>
        </is>
      </c>
      <c r="D412" s="1" t="inlineStr">
        <is>
          <t>増築工事</t>
        </is>
      </c>
      <c r="E412" s="2" t="inlineStr">
        <is>
          <t>5月</t>
        </is>
      </c>
      <c r="F412" s="68" t="n">
        <v>2220000</v>
      </c>
      <c r="G412" s="68">
        <f>IF(B412="","",F412-I412 )</f>
        <v/>
      </c>
      <c r="H412" s="5">
        <f>IF(G412="","",G412/F412)</f>
        <v/>
      </c>
      <c r="I412" s="62">
        <f>SUM(テーブル9[[#This Row],[五大]:[工場材]])</f>
        <v/>
      </c>
      <c r="J412" s="65" t="n"/>
      <c r="K412" s="65" t="n"/>
      <c r="L412" s="65" t="n"/>
      <c r="M412" s="65" t="n"/>
      <c r="N412" s="65" t="n"/>
      <c r="O412" s="69" t="n"/>
      <c r="P412" s="65" t="n"/>
      <c r="Q412" s="65" t="n"/>
      <c r="R412" s="65" t="n"/>
      <c r="S412" s="65" t="n"/>
      <c r="T412" s="65" t="n"/>
      <c r="U412" s="65" t="n"/>
      <c r="V412" s="65" t="n"/>
      <c r="W412" s="64" t="n">
        <v>850000</v>
      </c>
      <c r="X412" s="66" t="n">
        <v>161889</v>
      </c>
      <c r="Y412" s="65" t="n"/>
      <c r="Z412" s="65" t="n"/>
      <c r="AA412" s="69" t="n">
        <v>90000</v>
      </c>
      <c r="AB412" s="69" t="n">
        <v>440000</v>
      </c>
      <c r="AC412" s="65" t="n"/>
      <c r="AD412" s="65" t="n"/>
      <c r="AE412" s="65" t="n"/>
      <c r="AF412" s="65" t="n"/>
      <c r="AG412" s="65" t="n"/>
      <c r="AH412" s="69" t="n">
        <v>45000</v>
      </c>
      <c r="AI412" s="65" t="n"/>
      <c r="AJ412" s="69" t="n">
        <v>15000</v>
      </c>
      <c r="AK412" s="65" t="n"/>
      <c r="AL412" s="65" t="n"/>
      <c r="AM412" s="65" t="n"/>
      <c r="AN412" s="65" t="n"/>
      <c r="AO412" s="69">
        <f>39200+9960+22240+5360+55500</f>
        <v/>
      </c>
      <c r="AP412" s="69">
        <f>434880+68000+3000+8000+21912+21912+59136+2610+2120+4080+3580+9420+1628+780+1060+885+2050+1250+27600+16250+2850</f>
        <v/>
      </c>
      <c r="AQ412" s="69" t="n"/>
      <c r="AR412" s="65" t="n"/>
      <c r="AS412" s="65" t="n"/>
      <c r="AT412" s="65" t="n"/>
      <c r="AU412" s="65" t="n"/>
      <c r="AV412" s="65" t="n"/>
      <c r="AW412" s="65" t="n"/>
      <c r="AX412" s="65" t="n"/>
      <c r="AY412" s="65" t="n"/>
      <c r="AZ412" s="65" t="n"/>
      <c r="BA412" s="65" t="n"/>
      <c r="BB412" s="65" t="n"/>
      <c r="BC412" s="65" t="n"/>
      <c r="BD412" s="65" t="n"/>
      <c r="BE412" s="65" t="n"/>
      <c r="BF412" s="65" t="n"/>
      <c r="BG412" s="65" t="n"/>
    </row>
    <row r="413">
      <c r="B413" s="1" t="inlineStr">
        <is>
          <t>大槻邸</t>
        </is>
      </c>
      <c r="C413" s="1" t="inlineStr">
        <is>
          <t>光和工業</t>
        </is>
      </c>
      <c r="D413" s="1" t="inlineStr">
        <is>
          <t>内装工事</t>
        </is>
      </c>
      <c r="E413" s="2" t="inlineStr">
        <is>
          <t>5月</t>
        </is>
      </c>
      <c r="F413" s="68" t="n">
        <v>800000</v>
      </c>
      <c r="G413" s="68">
        <f>IF(B413="","",F413-I413 )</f>
        <v/>
      </c>
      <c r="H413" s="5">
        <f>IF(G413="","",G413/F413)</f>
        <v/>
      </c>
      <c r="I413" s="62">
        <f>SUM(テーブル9[[#This Row],[五大]:[工場材]])</f>
        <v/>
      </c>
      <c r="J413" s="65" t="n"/>
      <c r="K413" s="65" t="n"/>
      <c r="L413" s="65" t="n"/>
      <c r="M413" s="65" t="n"/>
      <c r="N413" s="65" t="n"/>
      <c r="O413" s="69" t="n"/>
      <c r="P413" s="65" t="n"/>
      <c r="Q413" s="65" t="n"/>
      <c r="R413" s="65" t="n"/>
      <c r="S413" s="65" t="n"/>
      <c r="T413" s="65" t="n"/>
      <c r="U413" s="65" t="n"/>
      <c r="V413" s="65" t="n"/>
      <c r="W413" s="64" t="n">
        <v>35000</v>
      </c>
      <c r="X413" s="66" t="n"/>
      <c r="Y413" s="65" t="n"/>
      <c r="Z413" s="65" t="n"/>
      <c r="AA413" s="69" t="n">
        <v>42000</v>
      </c>
      <c r="AB413" s="65" t="n"/>
      <c r="AC413" s="65" t="n"/>
      <c r="AD413" s="65" t="n"/>
      <c r="AE413" s="65" t="n"/>
      <c r="AF413" s="65" t="n"/>
      <c r="AG413" s="65" t="n"/>
      <c r="AH413" s="69" t="n">
        <v>321300</v>
      </c>
      <c r="AI413" s="65" t="n"/>
      <c r="AJ413" s="69">
        <f>20500+1000</f>
        <v/>
      </c>
      <c r="AK413" s="64" t="n">
        <v>90000</v>
      </c>
      <c r="AL413" s="65" t="n"/>
      <c r="AM413" s="65" t="n"/>
      <c r="AN413" s="65" t="n"/>
      <c r="AO413" s="69" t="n"/>
      <c r="AP413" s="65" t="n"/>
      <c r="AQ413" s="65" t="n"/>
      <c r="AR413" s="65" t="n"/>
      <c r="AS413" s="65" t="n"/>
      <c r="AT413" s="65" t="n"/>
      <c r="AU413" s="65" t="n"/>
      <c r="AV413" s="65" t="n"/>
      <c r="AW413" s="65" t="n"/>
      <c r="AX413" s="65" t="n"/>
      <c r="AY413" s="65" t="n"/>
      <c r="AZ413" s="64" t="n">
        <v>25000</v>
      </c>
      <c r="BA413" s="65" t="n"/>
      <c r="BB413" s="65" t="n"/>
      <c r="BC413" s="65" t="n"/>
      <c r="BD413" s="65" t="n"/>
      <c r="BE413" s="65" t="n"/>
      <c r="BF413" s="65" t="n"/>
      <c r="BG413" s="65" t="n"/>
    </row>
    <row r="414">
      <c r="B414" s="1" t="inlineStr">
        <is>
          <t>星永邸</t>
        </is>
      </c>
      <c r="C414" s="1" t="inlineStr">
        <is>
          <t>光和工業</t>
        </is>
      </c>
      <c r="D414" s="1" t="inlineStr">
        <is>
          <t>キッチン増設</t>
        </is>
      </c>
      <c r="E414" s="2" t="inlineStr">
        <is>
          <t>5月</t>
        </is>
      </c>
      <c r="F414" s="68" t="n">
        <v>664000</v>
      </c>
      <c r="G414" s="68">
        <f>IF(B414="","",F414-I414 )</f>
        <v/>
      </c>
      <c r="H414" s="5">
        <f>IF(G414="","",G414/F414)</f>
        <v/>
      </c>
      <c r="I414" s="62">
        <f>SUM(テーブル9[[#This Row],[五大]:[工場材]])</f>
        <v/>
      </c>
      <c r="J414" s="65" t="n"/>
      <c r="K414" s="65" t="n"/>
      <c r="L414" s="65" t="n"/>
      <c r="M414" s="65" t="n"/>
      <c r="N414" s="65" t="n"/>
      <c r="O414" s="69" t="n"/>
      <c r="P414" s="65" t="n"/>
      <c r="Q414" s="65" t="n"/>
      <c r="R414" s="65" t="n"/>
      <c r="S414" s="65" t="n"/>
      <c r="T414" s="65" t="n"/>
      <c r="U414" s="65" t="n"/>
      <c r="V414" s="65" t="n"/>
      <c r="W414" s="69" t="n">
        <v>120000</v>
      </c>
      <c r="X414" s="66" t="n">
        <v>42763</v>
      </c>
      <c r="Y414" s="65" t="n"/>
      <c r="Z414" s="65" t="n"/>
      <c r="AA414" s="69" t="n">
        <v>100000</v>
      </c>
      <c r="AB414" s="69" t="n">
        <v>195000</v>
      </c>
      <c r="AC414" s="65" t="n"/>
      <c r="AD414" s="65" t="n"/>
      <c r="AE414" s="65" t="n"/>
      <c r="AF414" s="65" t="n"/>
      <c r="AG414" s="65" t="n"/>
      <c r="AH414" s="69" t="n">
        <v>40000</v>
      </c>
      <c r="AI414" s="65" t="n"/>
      <c r="AJ414" s="69" t="n">
        <v>20000</v>
      </c>
      <c r="AK414" s="65" t="n"/>
      <c r="AL414" s="65" t="n"/>
      <c r="AM414" s="65" t="n"/>
      <c r="AN414" s="65" t="n"/>
      <c r="AO414" s="69" t="n"/>
      <c r="AP414" s="65" t="n"/>
      <c r="AQ414" s="65" t="n"/>
      <c r="AR414" s="65" t="n"/>
      <c r="AS414" s="65" t="n"/>
      <c r="AT414" s="65" t="n"/>
      <c r="AU414" s="65" t="n"/>
      <c r="AV414" s="65" t="n"/>
      <c r="AW414" s="65" t="n"/>
      <c r="AX414" s="65" t="n"/>
      <c r="AY414" s="65" t="n"/>
      <c r="AZ414" s="65" t="n"/>
      <c r="BA414" s="65" t="n"/>
      <c r="BB414" s="65" t="n"/>
      <c r="BC414" s="65" t="n"/>
      <c r="BD414" s="65" t="n"/>
      <c r="BE414" s="65" t="n"/>
      <c r="BF414" s="65" t="n"/>
      <c r="BG414" s="65" t="n"/>
    </row>
    <row r="415">
      <c r="B415" s="1" t="inlineStr">
        <is>
          <t>美田園　阿部邸</t>
        </is>
      </c>
      <c r="C415" s="1" t="inlineStr">
        <is>
          <t>サステム</t>
        </is>
      </c>
      <c r="D415" s="1" t="inlineStr">
        <is>
          <t>IH、ﾚﾝｼﾞﾌｰﾄﾞ、ｦｰﾙﾋｰﾄ、専用回路</t>
        </is>
      </c>
      <c r="E415" s="2" t="inlineStr">
        <is>
          <t>5月</t>
        </is>
      </c>
      <c r="F415" s="68" t="n">
        <v>315645</v>
      </c>
      <c r="G415" s="68">
        <f>IF(B415="","",F415-I415 )</f>
        <v/>
      </c>
      <c r="H415" s="5">
        <f>IF(G415="","",G415/F415)</f>
        <v/>
      </c>
      <c r="I415" s="62">
        <f>SUM(テーブル9[[#This Row],[五大]:[工場材]])</f>
        <v/>
      </c>
      <c r="J415" s="65" t="n"/>
      <c r="K415" s="65" t="n"/>
      <c r="L415" s="65" t="n"/>
      <c r="M415" s="65" t="n"/>
      <c r="N415" s="65" t="n"/>
      <c r="O415" s="69" t="n"/>
      <c r="P415" s="65" t="n"/>
      <c r="Q415" s="65" t="n"/>
      <c r="R415" s="65" t="n"/>
      <c r="S415" s="65" t="n"/>
      <c r="T415" s="65" t="n"/>
      <c r="U415" s="65" t="n"/>
      <c r="V415" s="65" t="n"/>
      <c r="W415" s="65" t="n"/>
      <c r="X415" s="66" t="n"/>
      <c r="Y415" s="65" t="n"/>
      <c r="Z415" s="65" t="n"/>
      <c r="AA415" s="69" t="n">
        <v>78000</v>
      </c>
      <c r="AB415" s="69" t="n">
        <v>47000</v>
      </c>
      <c r="AC415" s="65" t="n"/>
      <c r="AD415" s="65" t="n"/>
      <c r="AE415" s="65" t="n"/>
      <c r="AF415" s="65" t="n"/>
      <c r="AG415" s="65" t="n"/>
      <c r="AH415" s="69" t="n">
        <v>135000</v>
      </c>
      <c r="AI415" s="65" t="n"/>
      <c r="AJ415" s="69" t="n"/>
      <c r="AK415" s="65" t="n"/>
      <c r="AL415" s="65" t="n"/>
      <c r="AM415" s="65" t="n"/>
      <c r="AN415" s="65" t="n"/>
      <c r="AO415" s="69" t="n"/>
      <c r="AP415" s="65" t="n"/>
      <c r="AQ415" s="65" t="n"/>
      <c r="AR415" s="65" t="n"/>
      <c r="AS415" s="65" t="n"/>
      <c r="AT415" s="65" t="n"/>
      <c r="AU415" s="65" t="n"/>
      <c r="AV415" s="65" t="n"/>
      <c r="AW415" s="65" t="n"/>
      <c r="AX415" s="65" t="n"/>
      <c r="AY415" s="65" t="n"/>
      <c r="AZ415" s="65" t="n"/>
      <c r="BA415" s="65" t="n"/>
      <c r="BB415" s="65" t="n"/>
      <c r="BC415" s="65" t="n"/>
      <c r="BD415" s="65" t="n"/>
      <c r="BE415" s="65" t="n"/>
      <c r="BF415" s="65" t="n"/>
      <c r="BG415" s="65" t="n"/>
    </row>
    <row r="416">
      <c r="B416" s="1" t="inlineStr">
        <is>
          <t>美田園　八幡邸</t>
        </is>
      </c>
      <c r="C416" s="1" t="inlineStr">
        <is>
          <t>サステム</t>
        </is>
      </c>
      <c r="D416" s="1" t="inlineStr">
        <is>
          <t>IH交換</t>
        </is>
      </c>
      <c r="E416" s="2" t="inlineStr">
        <is>
          <t>5月</t>
        </is>
      </c>
      <c r="F416" s="68" t="n">
        <v>18000</v>
      </c>
      <c r="G416" s="68">
        <f>IF(B416="","",F416-I416 )</f>
        <v/>
      </c>
      <c r="H416" s="5">
        <f>IF(G416="","",G416/F416)</f>
        <v/>
      </c>
      <c r="I416" s="62">
        <f>SUM(テーブル9[[#This Row],[五大]:[工場材]])</f>
        <v/>
      </c>
      <c r="J416" s="65" t="n"/>
      <c r="K416" s="65" t="n"/>
      <c r="L416" s="65" t="n"/>
      <c r="M416" s="65" t="n"/>
      <c r="N416" s="65" t="n"/>
      <c r="O416" s="69" t="n"/>
      <c r="P416" s="65" t="n"/>
      <c r="Q416" s="65" t="n"/>
      <c r="R416" s="65" t="n"/>
      <c r="S416" s="65" t="n"/>
      <c r="T416" s="65" t="n"/>
      <c r="U416" s="65" t="n"/>
      <c r="V416" s="65" t="n"/>
      <c r="W416" s="65" t="n"/>
      <c r="X416" s="66" t="n"/>
      <c r="Y416" s="65" t="n"/>
      <c r="Z416" s="65" t="n"/>
      <c r="AA416" s="69" t="n">
        <v>18000</v>
      </c>
      <c r="AB416" s="65" t="n"/>
      <c r="AC416" s="65" t="n"/>
      <c r="AD416" s="65" t="n"/>
      <c r="AE416" s="65" t="n"/>
      <c r="AF416" s="65" t="n"/>
      <c r="AG416" s="65" t="n"/>
      <c r="AH416" s="69" t="n"/>
      <c r="AI416" s="65" t="n"/>
      <c r="AJ416" s="65" t="n"/>
      <c r="AK416" s="65" t="n"/>
      <c r="AL416" s="65" t="n"/>
      <c r="AM416" s="65" t="n"/>
      <c r="AN416" s="65" t="n"/>
      <c r="AO416" s="69" t="n"/>
      <c r="AP416" s="65" t="n"/>
      <c r="AQ416" s="65" t="n"/>
      <c r="AR416" s="65" t="n"/>
      <c r="AS416" s="65" t="n"/>
      <c r="AT416" s="65" t="n"/>
      <c r="AU416" s="65" t="n"/>
      <c r="AV416" s="65" t="n"/>
      <c r="AW416" s="65" t="n"/>
      <c r="AX416" s="65" t="n"/>
      <c r="AY416" s="65" t="n"/>
      <c r="AZ416" s="65" t="n"/>
      <c r="BA416" s="65" t="n"/>
      <c r="BB416" s="65" t="n"/>
      <c r="BC416" s="65" t="n"/>
      <c r="BD416" s="65" t="n"/>
      <c r="BE416" s="65" t="n"/>
      <c r="BF416" s="65" t="n"/>
      <c r="BG416" s="65" t="n"/>
    </row>
    <row r="417">
      <c r="F417" s="68" t="n"/>
      <c r="G417" s="68">
        <f>IF(B417="","",F417-I417 )</f>
        <v/>
      </c>
      <c r="H417" s="5">
        <f>IF(G417="","",G417/F417)</f>
        <v/>
      </c>
      <c r="I417" s="62">
        <f>SUM(テーブル9[[#This Row],[五大]:[工場材]])</f>
        <v/>
      </c>
      <c r="J417" s="65" t="n"/>
      <c r="K417" s="65" t="n"/>
      <c r="L417" s="65" t="n"/>
      <c r="M417" s="65" t="n"/>
      <c r="N417" s="65" t="n"/>
      <c r="O417" s="69" t="n"/>
      <c r="P417" s="65" t="n"/>
      <c r="Q417" s="65" t="n"/>
      <c r="R417" s="65" t="n"/>
      <c r="S417" s="65" t="n"/>
      <c r="T417" s="65" t="n"/>
      <c r="U417" s="65" t="n"/>
      <c r="V417" s="65" t="n"/>
      <c r="W417" s="65" t="n"/>
      <c r="X417" s="66" t="n"/>
      <c r="Y417" s="65" t="n"/>
      <c r="Z417" s="65" t="n"/>
      <c r="AA417" s="65" t="n"/>
      <c r="AB417" s="65" t="n"/>
      <c r="AC417" s="65" t="n"/>
      <c r="AD417" s="65" t="n"/>
      <c r="AE417" s="65" t="n"/>
      <c r="AF417" s="65" t="n"/>
      <c r="AG417" s="65" t="n"/>
      <c r="AH417" s="69" t="n"/>
      <c r="AI417" s="65" t="n"/>
      <c r="AJ417" s="65" t="n"/>
      <c r="AK417" s="65" t="n"/>
      <c r="AL417" s="65" t="n"/>
      <c r="AM417" s="65" t="n"/>
      <c r="AN417" s="65" t="n"/>
      <c r="AO417" s="69" t="n"/>
      <c r="AP417" s="65" t="n"/>
      <c r="AQ417" s="65" t="n"/>
      <c r="AR417" s="65" t="n"/>
      <c r="AS417" s="65" t="n"/>
      <c r="AT417" s="65" t="n"/>
      <c r="AU417" s="65" t="n"/>
      <c r="AV417" s="65" t="n"/>
      <c r="AW417" s="65" t="n"/>
      <c r="AX417" s="65" t="n"/>
      <c r="AY417" s="65" t="n"/>
      <c r="AZ417" s="65" t="n"/>
      <c r="BA417" s="65" t="n"/>
      <c r="BB417" s="65" t="n"/>
      <c r="BC417" s="65" t="n"/>
      <c r="BD417" s="65" t="n"/>
      <c r="BE417" s="65" t="n"/>
      <c r="BF417" s="65" t="n"/>
      <c r="BG417" s="65" t="n"/>
    </row>
    <row r="418">
      <c r="A418" s="0" t="inlineStr">
        <is>
          <t>R5.6</t>
        </is>
      </c>
      <c r="B418" s="1" t="inlineStr">
        <is>
          <t>実家</t>
        </is>
      </c>
      <c r="C418" s="1" t="inlineStr">
        <is>
          <t>光和工業</t>
        </is>
      </c>
      <c r="D418" s="1" t="inlineStr">
        <is>
          <t>キッチン入替</t>
        </is>
      </c>
      <c r="E418" s="2" t="inlineStr">
        <is>
          <t>6月</t>
        </is>
      </c>
      <c r="F418" s="68" t="n">
        <v>2700000</v>
      </c>
      <c r="G418" s="68">
        <f>IF(B418="","",F418-I418 )</f>
        <v/>
      </c>
      <c r="H418" s="5">
        <f>IF(G418="","",G418/F418)</f>
        <v/>
      </c>
      <c r="I418" s="62">
        <f>SUM(テーブル9[[#This Row],[五大]:[工場材]])</f>
        <v/>
      </c>
      <c r="J418" s="65" t="n"/>
      <c r="K418" s="65" t="n"/>
      <c r="L418" s="65" t="n"/>
      <c r="M418" s="65" t="n"/>
      <c r="N418" s="65" t="n"/>
      <c r="O418" s="69" t="n"/>
      <c r="P418" s="65" t="n"/>
      <c r="Q418" s="65" t="n"/>
      <c r="R418" s="65" t="n"/>
      <c r="S418" s="65" t="n"/>
      <c r="T418" s="65" t="n"/>
      <c r="U418" s="65" t="n"/>
      <c r="V418" s="65" t="n"/>
      <c r="W418" s="69" t="n">
        <v>140000</v>
      </c>
      <c r="X418" s="66" t="n">
        <v>21560</v>
      </c>
      <c r="Y418" s="65" t="n"/>
      <c r="Z418" s="65" t="n"/>
      <c r="AA418" s="69" t="n">
        <v>60000</v>
      </c>
      <c r="AB418" s="69" t="n">
        <v>65000</v>
      </c>
      <c r="AC418" s="65" t="n"/>
      <c r="AD418" s="65" t="n"/>
      <c r="AE418" s="65" t="n"/>
      <c r="AF418" s="65" t="n"/>
      <c r="AG418" s="65" t="n"/>
      <c r="AH418" s="69" t="n">
        <v>23000</v>
      </c>
      <c r="AI418" s="65" t="n"/>
      <c r="AJ418" s="65" t="n"/>
      <c r="AK418" s="65" t="n"/>
      <c r="AL418" s="65" t="n"/>
      <c r="AM418" s="65" t="n"/>
      <c r="AN418" s="65" t="n"/>
      <c r="AO418" s="69" t="n"/>
      <c r="AP418" s="69">
        <f>1111647+100320+6000+445344+26400+4335</f>
        <v/>
      </c>
      <c r="AQ418" s="69" t="n"/>
      <c r="AR418" s="65" t="n"/>
      <c r="AS418" s="65" t="n"/>
      <c r="AT418" s="65" t="n"/>
      <c r="AU418" s="65" t="n"/>
      <c r="AV418" s="65" t="n"/>
      <c r="AW418" s="65" t="n"/>
      <c r="AX418" s="65" t="n"/>
      <c r="AY418" s="65" t="n"/>
      <c r="AZ418" s="69" t="n">
        <v>36000</v>
      </c>
      <c r="BA418" s="65" t="n"/>
      <c r="BB418" s="65" t="n"/>
      <c r="BC418" s="65" t="n"/>
      <c r="BD418" s="65" t="n"/>
      <c r="BE418" s="65" t="n"/>
      <c r="BF418" s="65" t="n"/>
      <c r="BG418" s="65" t="n"/>
    </row>
    <row r="419">
      <c r="B419" s="1" t="inlineStr">
        <is>
          <t>エアリーフォートアクシスフォート511</t>
        </is>
      </c>
      <c r="C419" s="1" t="inlineStr">
        <is>
          <t>LIXIL</t>
        </is>
      </c>
      <c r="D419" s="1" t="inlineStr">
        <is>
          <t>UB入替　大工工事　設備入替</t>
        </is>
      </c>
      <c r="E419" s="2" t="inlineStr">
        <is>
          <t>6月</t>
        </is>
      </c>
      <c r="F419" s="68" t="n">
        <v>968275</v>
      </c>
      <c r="G419" s="68">
        <f>IF(B419="","",F419-I419 )</f>
        <v/>
      </c>
      <c r="H419" s="5">
        <f>IF(G419="","",G419/F419)</f>
        <v/>
      </c>
      <c r="I419" s="62">
        <f>SUM(テーブル9[[#This Row],[五大]:[工場材]])</f>
        <v/>
      </c>
      <c r="J419" s="65" t="n"/>
      <c r="K419" s="65" t="n"/>
      <c r="L419" s="65" t="n"/>
      <c r="M419" s="65" t="n"/>
      <c r="N419" s="65" t="n"/>
      <c r="O419" s="69" t="n"/>
      <c r="P419" s="65" t="n"/>
      <c r="Q419" s="65" t="n"/>
      <c r="R419" s="65" t="n"/>
      <c r="S419" s="65" t="n"/>
      <c r="T419" s="65" t="n"/>
      <c r="U419" s="65" t="n"/>
      <c r="V419" s="65" t="n"/>
      <c r="W419" s="69" t="n">
        <v>100000</v>
      </c>
      <c r="X419" s="66" t="n">
        <v>33560</v>
      </c>
      <c r="Y419" s="65" t="n"/>
      <c r="Z419" s="65" t="n"/>
      <c r="AA419" s="69" t="n">
        <v>99000</v>
      </c>
      <c r="AB419" s="69" t="n">
        <v>120000</v>
      </c>
      <c r="AC419" s="65" t="n"/>
      <c r="AD419" s="65" t="n"/>
      <c r="AE419" s="65" t="n"/>
      <c r="AF419" s="65" t="n"/>
      <c r="AG419" s="65" t="n"/>
      <c r="AH419" s="69" t="n">
        <v>250000</v>
      </c>
      <c r="AI419" s="65" t="n"/>
      <c r="AJ419" s="69" t="n">
        <v>25000</v>
      </c>
      <c r="AK419" s="65" t="n"/>
      <c r="AL419" s="65" t="n"/>
      <c r="AM419" s="65" t="n"/>
      <c r="AN419" s="65" t="n"/>
      <c r="AO419" s="69" t="n"/>
      <c r="AP419" s="65" t="n"/>
      <c r="AQ419" s="65" t="n"/>
      <c r="AR419" s="65" t="n"/>
      <c r="AS419" s="65" t="n"/>
      <c r="AT419" s="65" t="n"/>
      <c r="AU419" s="65" t="n"/>
      <c r="AV419" s="69" t="n">
        <v>55000</v>
      </c>
      <c r="AW419" s="65" t="n"/>
      <c r="AX419" s="65" t="n"/>
      <c r="AY419" s="65" t="n"/>
      <c r="AZ419" s="65" t="n"/>
      <c r="BA419" s="65" t="n"/>
      <c r="BB419" s="65" t="n"/>
      <c r="BC419" s="65" t="n"/>
      <c r="BD419" s="65" t="n"/>
      <c r="BE419" s="65" t="n"/>
      <c r="BF419" s="65" t="n"/>
      <c r="BG419" s="65" t="n"/>
    </row>
    <row r="420">
      <c r="B420" s="1" t="inlineStr">
        <is>
          <t>マイハイツ富ヶ丘　塗装</t>
        </is>
      </c>
      <c r="C420" s="1" t="inlineStr">
        <is>
          <t>山一</t>
        </is>
      </c>
      <c r="D420" s="1" t="inlineStr">
        <is>
          <t>塗装</t>
        </is>
      </c>
      <c r="E420" s="2" t="inlineStr">
        <is>
          <t>6月</t>
        </is>
      </c>
      <c r="F420" s="68" t="n">
        <v>3050000</v>
      </c>
      <c r="G420" s="68">
        <f>IF(B420="","",F420-I420 )</f>
        <v/>
      </c>
      <c r="H420" s="5">
        <f>IF(G420="","",G420/F420)</f>
        <v/>
      </c>
      <c r="I420" s="62">
        <f>SUM(テーブル9[[#This Row],[五大]:[工場材]])</f>
        <v/>
      </c>
      <c r="J420" s="65" t="n"/>
      <c r="K420" s="65" t="n"/>
      <c r="L420" s="65" t="n"/>
      <c r="M420" s="65" t="n"/>
      <c r="N420" s="65" t="n"/>
      <c r="O420" s="69" t="n"/>
      <c r="P420" s="65" t="n"/>
      <c r="Q420" s="65" t="n"/>
      <c r="R420" s="69" t="n">
        <v>100000</v>
      </c>
      <c r="S420" s="69" t="n"/>
      <c r="T420" s="65" t="n"/>
      <c r="U420" s="69" t="n">
        <v>106500</v>
      </c>
      <c r="V420" s="73" t="n">
        <v>2695592</v>
      </c>
      <c r="W420" s="69" t="n"/>
      <c r="X420" s="66" t="n"/>
      <c r="Y420" s="65" t="n"/>
      <c r="Z420" s="65" t="n"/>
      <c r="AA420" s="65" t="n"/>
      <c r="AB420" s="65" t="n"/>
      <c r="AC420" s="65" t="n"/>
      <c r="AD420" s="65" t="n"/>
      <c r="AE420" s="65" t="n"/>
      <c r="AF420" s="65" t="n"/>
      <c r="AG420" s="65" t="n"/>
      <c r="AH420" s="69" t="n"/>
      <c r="AI420" s="65" t="n"/>
      <c r="AJ420" s="65" t="n"/>
      <c r="AK420" s="65" t="n"/>
      <c r="AL420" s="65" t="n"/>
      <c r="AM420" s="65" t="n"/>
      <c r="AN420" s="65" t="n"/>
      <c r="AO420" s="69" t="n"/>
      <c r="AP420" s="65" t="n"/>
      <c r="AQ420" s="65" t="n"/>
      <c r="AR420" s="65" t="n"/>
      <c r="AS420" s="65" t="n"/>
      <c r="AT420" s="65" t="n"/>
      <c r="AU420" s="65" t="n"/>
      <c r="AV420" s="65" t="n"/>
      <c r="AW420" s="65" t="n"/>
      <c r="AX420" s="65" t="n"/>
      <c r="AY420" s="65" t="n"/>
      <c r="AZ420" s="65" t="n"/>
      <c r="BA420" s="65" t="n"/>
      <c r="BB420" s="65" t="n"/>
      <c r="BC420" s="65" t="n"/>
      <c r="BD420" s="65" t="n"/>
      <c r="BE420" s="65" t="n"/>
      <c r="BF420" s="65" t="n"/>
      <c r="BG420" s="65" t="n"/>
    </row>
    <row r="421">
      <c r="B421" s="1" t="inlineStr">
        <is>
          <t>レーベンハウス102</t>
        </is>
      </c>
      <c r="C421" s="1" t="inlineStr">
        <is>
          <t>積水不動産</t>
        </is>
      </c>
      <c r="D421" s="1" t="inlineStr">
        <is>
          <t>リノベーション</t>
        </is>
      </c>
      <c r="E421" s="2" t="inlineStr">
        <is>
          <t>6月</t>
        </is>
      </c>
      <c r="F421" s="68" t="n">
        <v>2052400</v>
      </c>
      <c r="G421" s="68">
        <f>IF(B421="","",F421-I421 )</f>
        <v/>
      </c>
      <c r="H421" s="5">
        <f>IF(G421="","",G421/F421)</f>
        <v/>
      </c>
      <c r="I421" s="62">
        <f>SUM(テーブル9[[#This Row],[五大]:[工場材]])</f>
        <v/>
      </c>
      <c r="J421" s="65" t="n"/>
      <c r="K421" s="65" t="n"/>
      <c r="L421" s="65" t="n"/>
      <c r="M421" s="65" t="n"/>
      <c r="N421" s="65" t="n"/>
      <c r="O421" s="69" t="n"/>
      <c r="P421" s="65" t="n"/>
      <c r="Q421" s="65" t="n"/>
      <c r="R421" s="65" t="n"/>
      <c r="S421" s="65" t="n"/>
      <c r="T421" s="65" t="n"/>
      <c r="U421" s="65" t="n"/>
      <c r="V421" s="65" t="n"/>
      <c r="W421" s="69" t="n">
        <v>500000</v>
      </c>
      <c r="X421" s="66" t="n">
        <v>92354</v>
      </c>
      <c r="Y421" s="65" t="n"/>
      <c r="Z421" s="65" t="n"/>
      <c r="AA421" s="69" t="n">
        <v>85000</v>
      </c>
      <c r="AB421" s="69" t="n">
        <v>135000</v>
      </c>
      <c r="AC421" s="65" t="n"/>
      <c r="AD421" s="65" t="n"/>
      <c r="AE421" s="65" t="n"/>
      <c r="AF421" s="65" t="n"/>
      <c r="AG421" s="65" t="n"/>
      <c r="AH421" s="69" t="n">
        <v>378900</v>
      </c>
      <c r="AI421" s="65" t="n"/>
      <c r="AJ421" s="65" t="n"/>
      <c r="AK421" s="65" t="n"/>
      <c r="AL421" s="65" t="n"/>
      <c r="AM421" s="65" t="n"/>
      <c r="AN421" s="65" t="n"/>
      <c r="AO421" s="65" t="n"/>
      <c r="AP421" s="65" t="n"/>
      <c r="AQ421" s="65" t="n"/>
      <c r="AR421" s="65" t="n"/>
      <c r="AS421" s="69">
        <f>62205+1280</f>
        <v/>
      </c>
      <c r="AT421" s="69" t="n"/>
      <c r="AU421" s="65" t="n"/>
      <c r="AV421" s="65" t="n"/>
      <c r="AW421" s="65" t="n"/>
      <c r="AX421" s="65" t="n"/>
      <c r="AY421" s="65" t="n"/>
      <c r="AZ421" s="65" t="n"/>
      <c r="BA421" s="65" t="n"/>
      <c r="BB421" s="65" t="n"/>
      <c r="BC421" s="65" t="n"/>
      <c r="BD421" s="65" t="n"/>
      <c r="BE421" s="65" t="n"/>
      <c r="BF421" s="65" t="n"/>
      <c r="BG421" s="65">
        <f>197000+50000</f>
        <v/>
      </c>
    </row>
    <row r="422">
      <c r="B422" s="1" t="inlineStr">
        <is>
          <t>フォーブル楓201</t>
        </is>
      </c>
      <c r="C422" s="1" t="inlineStr">
        <is>
          <t>積水不動産</t>
        </is>
      </c>
      <c r="D422" s="1" t="inlineStr">
        <is>
          <t>リフォーム　キッチン UB入替</t>
        </is>
      </c>
      <c r="E422" s="2" t="inlineStr">
        <is>
          <t>6月</t>
        </is>
      </c>
      <c r="F422" s="68" t="n">
        <v>1790000</v>
      </c>
      <c r="G422" s="68">
        <f>IF(B422="","",F422-I422 )</f>
        <v/>
      </c>
      <c r="H422" s="5">
        <f>IF(G422="","",G422/F422)</f>
        <v/>
      </c>
      <c r="I422" s="62">
        <f>SUM(テーブル9[[#This Row],[五大]:[工場材]])</f>
        <v/>
      </c>
      <c r="J422" s="65" t="n"/>
      <c r="K422" s="65" t="n"/>
      <c r="L422" s="65" t="n"/>
      <c r="M422" s="65" t="n"/>
      <c r="N422" s="65" t="n"/>
      <c r="O422" s="69" t="n"/>
      <c r="P422" s="65" t="n"/>
      <c r="Q422" s="65" t="n"/>
      <c r="R422" s="65" t="n"/>
      <c r="S422" s="65" t="n"/>
      <c r="T422" s="65" t="n"/>
      <c r="U422" s="65" t="n"/>
      <c r="V422" s="65" t="n"/>
      <c r="W422" s="69">
        <f>24000+24000+12000</f>
        <v/>
      </c>
      <c r="X422" s="66" t="n"/>
      <c r="Y422" s="65" t="n"/>
      <c r="Z422" s="65" t="n"/>
      <c r="AA422" s="69" t="n"/>
      <c r="AB422" s="65" t="n"/>
      <c r="AC422" s="65" t="n"/>
      <c r="AD422" s="65" t="n"/>
      <c r="AE422" s="65" t="n"/>
      <c r="AF422" s="65" t="n"/>
      <c r="AG422" s="65" t="n"/>
      <c r="AH422" s="69" t="n">
        <v>143400</v>
      </c>
      <c r="AI422" s="65" t="n"/>
      <c r="AJ422" s="65" t="n"/>
      <c r="AK422" s="65" t="n"/>
      <c r="AL422" s="65" t="n"/>
      <c r="AM422" s="65" t="n"/>
      <c r="AN422" s="65" t="n"/>
      <c r="AO422" s="69">
        <f>9000+127840</f>
        <v/>
      </c>
      <c r="AP422" s="65" t="n"/>
      <c r="AQ422" s="65" t="n"/>
      <c r="AR422" s="65" t="n"/>
      <c r="AS422" s="69">
        <f>15000+170300+60000+180300+53000+66500+108000+85560+200000</f>
        <v/>
      </c>
      <c r="AT422" s="69" t="n"/>
      <c r="AU422" s="65" t="n"/>
      <c r="AV422" s="65" t="n"/>
      <c r="AW422" s="65" t="n"/>
      <c r="AX422" s="69" t="n">
        <v>40000</v>
      </c>
      <c r="AY422" s="65" t="n"/>
      <c r="AZ422" s="65" t="n"/>
      <c r="BA422" s="65" t="n"/>
      <c r="BB422" s="65" t="n"/>
      <c r="BC422" s="65" t="n"/>
      <c r="BD422" s="65" t="n"/>
      <c r="BE422" s="65" t="n"/>
      <c r="BF422" s="65" t="n"/>
      <c r="BG422" s="65" t="n"/>
    </row>
    <row r="423">
      <c r="F423" s="68" t="n"/>
      <c r="G423" s="68">
        <f>IF(B423="","",F423-I423 )</f>
        <v/>
      </c>
      <c r="H423" s="5">
        <f>IF(G423="","",G423/F423)</f>
        <v/>
      </c>
      <c r="I423" s="62">
        <f>SUM(テーブル9[[#This Row],[五大]:[工場材]])</f>
        <v/>
      </c>
      <c r="J423" s="65" t="n"/>
      <c r="K423" s="65" t="n"/>
      <c r="L423" s="65" t="n"/>
      <c r="M423" s="65" t="n"/>
      <c r="N423" s="65" t="n"/>
      <c r="O423" s="69" t="n"/>
      <c r="P423" s="65" t="n"/>
      <c r="Q423" s="65" t="n"/>
      <c r="R423" s="65" t="n"/>
      <c r="S423" s="65" t="n"/>
      <c r="T423" s="65" t="n"/>
      <c r="U423" s="65" t="n"/>
      <c r="V423" s="65" t="n"/>
      <c r="W423" s="65" t="n"/>
      <c r="X423" s="66" t="n"/>
      <c r="Y423" s="65" t="n"/>
      <c r="Z423" s="65" t="n"/>
      <c r="AA423" s="65" t="n"/>
      <c r="AB423" s="65" t="n"/>
      <c r="AC423" s="65" t="n"/>
      <c r="AD423" s="65" t="n"/>
      <c r="AE423" s="65" t="n"/>
      <c r="AF423" s="65" t="n"/>
      <c r="AG423" s="65" t="n"/>
      <c r="AH423" s="65" t="n"/>
      <c r="AI423" s="65" t="n"/>
      <c r="AJ423" s="65" t="n"/>
      <c r="AK423" s="65" t="n"/>
      <c r="AL423" s="65" t="n"/>
      <c r="AM423" s="65" t="n"/>
      <c r="AN423" s="65" t="n"/>
      <c r="AO423" s="65" t="n"/>
      <c r="AP423" s="65" t="n"/>
      <c r="AQ423" s="65" t="n"/>
      <c r="AR423" s="65" t="n"/>
      <c r="AS423" s="65" t="n"/>
      <c r="AT423" s="65" t="n"/>
      <c r="AU423" s="65" t="n"/>
      <c r="AV423" s="65" t="n"/>
      <c r="AW423" s="65" t="n"/>
      <c r="AX423" s="65" t="n"/>
      <c r="AY423" s="65" t="n"/>
      <c r="AZ423" s="65" t="n"/>
      <c r="BA423" s="65" t="n"/>
      <c r="BB423" s="65" t="n"/>
      <c r="BC423" s="65" t="n"/>
      <c r="BD423" s="65" t="n"/>
      <c r="BE423" s="65" t="n"/>
      <c r="BF423" s="65" t="n"/>
      <c r="BG423" s="65" t="n"/>
    </row>
    <row r="424">
      <c r="A424" s="0" t="inlineStr">
        <is>
          <t>R5.7</t>
        </is>
      </c>
      <c r="B424" s="1" t="inlineStr">
        <is>
          <t>エアリーフォートアクシスフォート511.411.311.211</t>
        </is>
      </c>
      <c r="C424" s="1" t="inlineStr">
        <is>
          <t>LIXIL</t>
        </is>
      </c>
      <c r="D424" s="1" t="inlineStr">
        <is>
          <t>床排水工事+内装工事</t>
        </is>
      </c>
      <c r="E424" s="2" t="inlineStr">
        <is>
          <t>7月</t>
        </is>
      </c>
      <c r="F424" s="68" t="n">
        <v>1890000</v>
      </c>
      <c r="G424" s="68">
        <f>IF(B424="","",F424-I424 )</f>
        <v/>
      </c>
      <c r="H424" s="5">
        <f>IF(G424="","",G424/F424)</f>
        <v/>
      </c>
      <c r="I424" s="62">
        <f>SUM(テーブル9[[#This Row],[五大]:[工場材]])</f>
        <v/>
      </c>
      <c r="J424" s="65" t="n"/>
      <c r="K424" s="65" t="n"/>
      <c r="L424" s="65" t="n"/>
      <c r="M424" s="65" t="n"/>
      <c r="N424" s="65" t="n"/>
      <c r="O424" s="69" t="n"/>
      <c r="P424" s="65" t="n"/>
      <c r="Q424" s="65" t="n"/>
      <c r="R424" s="65" t="n"/>
      <c r="S424" s="65" t="n"/>
      <c r="T424" s="65" t="n"/>
      <c r="U424" s="65" t="n"/>
      <c r="V424" s="65" t="n"/>
      <c r="W424" s="69">
        <f>36000+12000+40000+40000+120000+50000</f>
        <v/>
      </c>
      <c r="X424" s="66">
        <f>15130+23446+7489+12066+18476+10439</f>
        <v/>
      </c>
      <c r="Y424" s="65" t="n"/>
      <c r="Z424" s="65" t="n"/>
      <c r="AA424" s="65" t="n"/>
      <c r="AB424" s="69">
        <f>35000+90000+45000</f>
        <v/>
      </c>
      <c r="AC424" s="65" t="n"/>
      <c r="AD424" s="65" t="n"/>
      <c r="AE424" s="65" t="n"/>
      <c r="AF424" s="65" t="n"/>
      <c r="AG424" s="65" t="n"/>
      <c r="AH424" s="69">
        <f>30000+75000+45000+30000</f>
        <v/>
      </c>
      <c r="AI424" s="65" t="n"/>
      <c r="AJ424" s="65" t="n"/>
      <c r="AK424" s="65" t="n"/>
      <c r="AL424" s="65" t="n"/>
      <c r="AM424" s="65" t="n"/>
      <c r="AN424" s="65" t="n"/>
      <c r="AO424" s="65" t="n"/>
      <c r="AP424" s="65" t="n"/>
      <c r="AQ424" s="65" t="n"/>
      <c r="AR424" s="65" t="n"/>
      <c r="AS424" s="65" t="n"/>
      <c r="AT424" s="65" t="n"/>
      <c r="AU424" s="65" t="n"/>
      <c r="AV424" s="65" t="n"/>
      <c r="AW424" s="65" t="n"/>
      <c r="AX424" s="65" t="n"/>
      <c r="AY424" s="65" t="n"/>
      <c r="AZ424" s="65" t="n"/>
      <c r="BA424" s="65" t="n"/>
      <c r="BB424" s="65" t="n"/>
      <c r="BC424" s="65" t="n"/>
      <c r="BD424" s="65" t="n"/>
      <c r="BE424" s="65" t="n"/>
      <c r="BF424" s="65" t="n"/>
      <c r="BG424" s="64" t="n">
        <v>26760</v>
      </c>
    </row>
    <row r="425">
      <c r="F425" s="68" t="n"/>
      <c r="G425" s="68">
        <f>IF(B425="","",F425-I425 )</f>
        <v/>
      </c>
      <c r="H425" s="5">
        <f>IF(G425="","",G425/F425)</f>
        <v/>
      </c>
      <c r="I425" s="62">
        <f>SUM(テーブル9[[#This Row],[五大]:[工場材]])</f>
        <v/>
      </c>
      <c r="J425" s="65" t="n"/>
      <c r="K425" s="65" t="n"/>
      <c r="L425" s="65" t="n"/>
      <c r="M425" s="65" t="n"/>
      <c r="N425" s="65" t="n"/>
      <c r="O425" s="69" t="n"/>
      <c r="P425" s="65" t="n"/>
      <c r="Q425" s="65" t="n"/>
      <c r="R425" s="65" t="n"/>
      <c r="S425" s="65" t="n"/>
      <c r="T425" s="65" t="n"/>
      <c r="U425" s="65" t="n"/>
      <c r="V425" s="65" t="n"/>
      <c r="W425" s="65" t="n"/>
      <c r="X425" s="66" t="n"/>
      <c r="Y425" s="65" t="n"/>
      <c r="Z425" s="65" t="n"/>
      <c r="AA425" s="65" t="n"/>
      <c r="AB425" s="65" t="n"/>
      <c r="AC425" s="65" t="n"/>
      <c r="AD425" s="65" t="n"/>
      <c r="AE425" s="65" t="n"/>
      <c r="AF425" s="65" t="n"/>
      <c r="AG425" s="65" t="n"/>
      <c r="AH425" s="69" t="n"/>
      <c r="AI425" s="65" t="n"/>
      <c r="AJ425" s="65" t="n"/>
      <c r="AK425" s="65" t="n"/>
      <c r="AL425" s="65" t="n"/>
      <c r="AM425" s="65" t="n"/>
      <c r="AN425" s="65" t="n"/>
      <c r="AO425" s="65" t="n"/>
      <c r="AP425" s="65" t="n"/>
      <c r="AQ425" s="65" t="n"/>
      <c r="AR425" s="65" t="n"/>
      <c r="AS425" s="65" t="n"/>
      <c r="AT425" s="65" t="n"/>
      <c r="AU425" s="65" t="n"/>
      <c r="AV425" s="65" t="n"/>
      <c r="AW425" s="65" t="n"/>
      <c r="AX425" s="65" t="n"/>
      <c r="AY425" s="65" t="n"/>
      <c r="AZ425" s="65" t="n"/>
      <c r="BA425" s="65" t="n"/>
      <c r="BB425" s="65" t="n"/>
      <c r="BC425" s="65" t="n"/>
      <c r="BD425" s="65" t="n"/>
      <c r="BE425" s="65" t="n"/>
      <c r="BF425" s="65" t="n"/>
      <c r="BG425" s="65" t="n"/>
    </row>
    <row r="426">
      <c r="A426" s="0" t="inlineStr">
        <is>
          <t>R5.8</t>
        </is>
      </c>
      <c r="B426" s="1" t="inlineStr">
        <is>
          <t>コインランドリーmomo</t>
        </is>
      </c>
      <c r="D426" s="1" t="inlineStr">
        <is>
          <t>新築工事</t>
        </is>
      </c>
      <c r="E426" s="2" t="inlineStr">
        <is>
          <t>9月</t>
        </is>
      </c>
      <c r="F426" s="68" t="n">
        <v>11767618</v>
      </c>
      <c r="G426" s="68">
        <f>IF(B426="","",F426-I426 )</f>
        <v/>
      </c>
      <c r="H426" s="5">
        <f>IF(G426="","",G426/F426)</f>
        <v/>
      </c>
      <c r="I426" s="62">
        <f>SUM(テーブル9[[#This Row],[五大]:[工場材]])</f>
        <v/>
      </c>
      <c r="J426" s="65" t="n"/>
      <c r="K426" s="65" t="n"/>
      <c r="L426" s="65" t="n"/>
      <c r="M426" s="65" t="n"/>
      <c r="N426" s="65" t="n"/>
      <c r="O426" s="69" t="n"/>
      <c r="P426" s="65" t="n"/>
      <c r="Q426" s="65" t="n"/>
      <c r="R426" s="65" t="n"/>
      <c r="S426" s="65" t="n"/>
      <c r="T426" s="65" t="n"/>
      <c r="U426" s="65" t="n"/>
      <c r="V426" s="65" t="n"/>
      <c r="W426" s="69">
        <f>230000+156276</f>
        <v/>
      </c>
      <c r="X426" s="66" t="n"/>
      <c r="Y426" s="69" t="n">
        <v>72050</v>
      </c>
      <c r="Z426" s="65" t="n"/>
      <c r="AA426" s="69" t="n">
        <v>719400</v>
      </c>
      <c r="AB426" s="69" t="n">
        <v>350000</v>
      </c>
      <c r="AC426" s="65" t="n"/>
      <c r="AD426" s="65" t="n"/>
      <c r="AE426" s="65" t="n"/>
      <c r="AF426" s="69" t="n">
        <v>430000</v>
      </c>
      <c r="AG426" s="65" t="n"/>
      <c r="AH426" s="69" t="n">
        <v>165600</v>
      </c>
      <c r="AI426" s="65" t="n"/>
      <c r="AJ426" s="65" t="n"/>
      <c r="AK426" s="65" t="n"/>
      <c r="AL426" s="65" t="n"/>
      <c r="AM426" s="65" t="n"/>
      <c r="AN426" s="69" t="n">
        <v>171600</v>
      </c>
      <c r="AO426" s="65" t="n"/>
      <c r="AP426" s="69">
        <f>2730+6540+1500+1000+700</f>
        <v/>
      </c>
      <c r="AQ426" s="69" t="n"/>
      <c r="AR426" s="64" t="n">
        <v>303600</v>
      </c>
      <c r="AS426" s="65" t="n"/>
      <c r="AT426" s="65" t="n"/>
      <c r="AU426" s="65" t="n"/>
      <c r="AV426" s="65" t="n"/>
      <c r="AW426" s="65" t="n"/>
      <c r="AX426" s="65" t="n"/>
      <c r="AY426" s="65" t="n"/>
      <c r="AZ426" s="65" t="n"/>
      <c r="BA426" s="65" t="n"/>
      <c r="BB426" s="69" t="n">
        <v>100000</v>
      </c>
      <c r="BC426" s="69" t="n"/>
      <c r="BD426" s="69" t="n"/>
      <c r="BE426" s="69" t="n"/>
      <c r="BF426" s="64" t="n"/>
      <c r="BG426" s="64">
        <f>10774500+59400</f>
        <v/>
      </c>
    </row>
    <row r="427">
      <c r="B427" s="1" t="inlineStr">
        <is>
          <t>八乙女　本郷邸</t>
        </is>
      </c>
      <c r="C427" s="1" t="inlineStr">
        <is>
          <t>LIXIL</t>
        </is>
      </c>
      <c r="D427" s="1" t="inlineStr">
        <is>
          <t>浴室・洗面改修</t>
        </is>
      </c>
      <c r="E427" s="2" t="inlineStr">
        <is>
          <t>10月</t>
        </is>
      </c>
      <c r="F427" s="68" t="n">
        <v>1010000</v>
      </c>
      <c r="G427" s="68">
        <f>IF(B427="","",F427-I427 )</f>
        <v/>
      </c>
      <c r="H427" s="5">
        <f>IF(G427="","",G427/F427)</f>
        <v/>
      </c>
      <c r="I427" s="62">
        <f>SUM(テーブル9[[#This Row],[五大]:[工場材]])</f>
        <v/>
      </c>
      <c r="J427" s="65" t="n"/>
      <c r="K427" s="65" t="n"/>
      <c r="L427" s="65" t="n"/>
      <c r="M427" s="65" t="n"/>
      <c r="N427" s="65" t="n"/>
      <c r="O427" s="69" t="n"/>
      <c r="P427" s="65" t="n"/>
      <c r="Q427" s="65" t="n"/>
      <c r="R427" s="65" t="n"/>
      <c r="S427" s="65" t="n"/>
      <c r="T427" s="65" t="n"/>
      <c r="U427" s="65" t="n"/>
      <c r="V427" s="65" t="n"/>
      <c r="W427" s="69" t="n">
        <v>300000</v>
      </c>
      <c r="X427" s="66" t="n">
        <v>28318</v>
      </c>
      <c r="Y427" s="65" t="n"/>
      <c r="Z427" s="65" t="n"/>
      <c r="AA427" s="65" t="n"/>
      <c r="AB427" s="69" t="n">
        <v>80000</v>
      </c>
      <c r="AC427" s="65" t="n"/>
      <c r="AD427" s="65" t="n"/>
      <c r="AE427" s="69" t="n">
        <v>260000</v>
      </c>
      <c r="AF427" s="65" t="n"/>
      <c r="AG427" s="65" t="n"/>
      <c r="AH427" s="69" t="n">
        <v>40000</v>
      </c>
      <c r="AI427" s="65" t="n"/>
      <c r="AJ427" s="65" t="n"/>
      <c r="AK427" s="65" t="n"/>
      <c r="AL427" s="65" t="n"/>
      <c r="AM427" s="65" t="n"/>
      <c r="AN427" s="65" t="n"/>
      <c r="AO427" s="65" t="n"/>
      <c r="AP427" s="65" t="n"/>
      <c r="AQ427" s="65" t="n"/>
      <c r="AR427" s="65" t="n"/>
      <c r="AS427" s="65" t="n"/>
      <c r="AT427" s="65" t="n"/>
      <c r="AU427" s="65" t="n"/>
      <c r="AV427" s="65" t="n"/>
      <c r="AW427" s="65" t="n"/>
      <c r="AX427" s="65" t="n"/>
      <c r="AY427" s="65" t="n"/>
      <c r="AZ427" s="65" t="n"/>
      <c r="BA427" s="65" t="n"/>
      <c r="BB427" s="65" t="n"/>
      <c r="BC427" s="65" t="n"/>
      <c r="BD427" s="65" t="n"/>
      <c r="BE427" s="65" t="n"/>
      <c r="BF427" s="65" t="n"/>
      <c r="BG427" s="65" t="n"/>
    </row>
    <row r="428">
      <c r="B428" s="1" t="inlineStr">
        <is>
          <t>本町住宅801</t>
        </is>
      </c>
      <c r="C428" s="1" t="inlineStr">
        <is>
          <t>山一・客</t>
        </is>
      </c>
      <c r="D428" s="1" t="inlineStr">
        <is>
          <t>漏水　内装</t>
        </is>
      </c>
      <c r="E428" s="2" t="inlineStr">
        <is>
          <t>10月</t>
        </is>
      </c>
      <c r="F428" s="68">
        <f>460000+100000</f>
        <v/>
      </c>
      <c r="G428" s="68">
        <f>IF(B428="","",F428-I428 )</f>
        <v/>
      </c>
      <c r="H428" s="5">
        <f>IF(G428="","",G428/F428)</f>
        <v/>
      </c>
      <c r="I428" s="62">
        <f>SUM(テーブル9[[#This Row],[五大]:[工場材]])</f>
        <v/>
      </c>
      <c r="J428" s="65" t="n"/>
      <c r="K428" s="65" t="n"/>
      <c r="L428" s="65" t="n"/>
      <c r="M428" s="65" t="n"/>
      <c r="N428" s="65" t="n"/>
      <c r="O428" s="69" t="n"/>
      <c r="P428" s="65" t="n"/>
      <c r="Q428" s="65" t="n"/>
      <c r="R428" s="65" t="n"/>
      <c r="S428" s="65" t="n"/>
      <c r="T428" s="65" t="n"/>
      <c r="U428" s="65" t="n"/>
      <c r="V428" s="65" t="n"/>
      <c r="W428" s="69" t="n">
        <v>85000</v>
      </c>
      <c r="X428" s="66" t="n"/>
      <c r="Y428" s="65" t="n"/>
      <c r="Z428" s="65" t="n"/>
      <c r="AA428" s="65" t="n"/>
      <c r="AB428" s="65" t="n"/>
      <c r="AC428" s="65" t="n"/>
      <c r="AD428" s="65" t="n"/>
      <c r="AE428" s="65" t="n"/>
      <c r="AF428" s="65" t="n"/>
      <c r="AG428" s="65" t="n"/>
      <c r="AH428" s="69" t="n">
        <v>238000</v>
      </c>
      <c r="AI428" s="65" t="n"/>
      <c r="AJ428" s="65" t="n"/>
      <c r="AK428" s="65" t="n"/>
      <c r="AL428" s="65" t="n"/>
      <c r="AM428" s="65" t="n"/>
      <c r="AN428" s="65" t="n"/>
      <c r="AO428" s="65" t="n"/>
      <c r="AP428" s="69">
        <f>17550+12600+598+3864+6864</f>
        <v/>
      </c>
      <c r="AQ428" s="69" t="n"/>
      <c r="AR428" s="65" t="n"/>
      <c r="AS428" s="65" t="n"/>
      <c r="AT428" s="65" t="n"/>
      <c r="AU428" s="65" t="n"/>
      <c r="AV428" s="65" t="n"/>
      <c r="AW428" s="65" t="n"/>
      <c r="AX428" s="65" t="n"/>
      <c r="AY428" s="65" t="n"/>
      <c r="AZ428" s="65" t="n"/>
      <c r="BA428" s="65" t="n"/>
      <c r="BB428" s="65" t="n"/>
      <c r="BC428" s="65" t="n"/>
      <c r="BD428" s="65" t="n"/>
      <c r="BE428" s="65" t="n"/>
      <c r="BF428" s="65" t="n"/>
      <c r="BG428" s="65" t="n"/>
    </row>
    <row r="429">
      <c r="F429" s="68" t="n"/>
      <c r="G429" s="68" t="n"/>
      <c r="H429" s="5">
        <f>IF(G429="","",G429/F429)</f>
        <v/>
      </c>
      <c r="I429" s="62">
        <f>SUM(テーブル9[[#This Row],[五大]:[工場材]])</f>
        <v/>
      </c>
      <c r="J429" s="65" t="n"/>
      <c r="K429" s="65" t="n"/>
      <c r="L429" s="65" t="n"/>
      <c r="M429" s="65" t="n"/>
      <c r="N429" s="65" t="n"/>
      <c r="O429" s="69" t="n"/>
      <c r="P429" s="65" t="n"/>
      <c r="Q429" s="65" t="n"/>
      <c r="R429" s="65" t="n"/>
      <c r="S429" s="65" t="n"/>
      <c r="T429" s="65" t="n"/>
      <c r="U429" s="65" t="n"/>
      <c r="V429" s="65" t="n"/>
      <c r="W429" s="65" t="n"/>
      <c r="X429" s="66" t="n"/>
      <c r="Y429" s="65" t="n"/>
      <c r="Z429" s="65" t="n"/>
      <c r="AA429" s="65" t="n"/>
      <c r="AB429" s="65" t="n"/>
      <c r="AC429" s="65" t="n"/>
      <c r="AD429" s="65" t="n"/>
      <c r="AE429" s="65" t="n"/>
      <c r="AF429" s="65" t="n"/>
      <c r="AG429" s="65" t="n"/>
      <c r="AH429" s="65" t="n"/>
      <c r="AI429" s="65" t="n"/>
      <c r="AJ429" s="65" t="n"/>
      <c r="AK429" s="65" t="n"/>
      <c r="AL429" s="65" t="n"/>
      <c r="AM429" s="65" t="n"/>
      <c r="AN429" s="65" t="n"/>
      <c r="AO429" s="65" t="n"/>
      <c r="AP429" s="65" t="n"/>
      <c r="AQ429" s="65" t="n"/>
      <c r="AR429" s="65" t="n"/>
      <c r="AS429" s="65" t="n"/>
      <c r="AT429" s="65" t="n"/>
      <c r="AU429" s="65" t="n"/>
      <c r="AV429" s="65" t="n"/>
      <c r="AW429" s="65" t="n"/>
      <c r="AX429" s="65" t="n"/>
      <c r="AY429" s="65" t="n"/>
      <c r="AZ429" s="65" t="n"/>
      <c r="BA429" s="65" t="n"/>
      <c r="BB429" s="65" t="n"/>
      <c r="BC429" s="65" t="n"/>
      <c r="BD429" s="65" t="n"/>
      <c r="BE429" s="65" t="n"/>
      <c r="BF429" s="65" t="n"/>
      <c r="BG429" s="65" t="n"/>
    </row>
    <row r="430">
      <c r="A430" s="0" t="inlineStr">
        <is>
          <t>R5.9</t>
        </is>
      </c>
      <c r="B430" s="1" t="inlineStr">
        <is>
          <t>広瀬病院</t>
        </is>
      </c>
      <c r="C430" s="1" t="inlineStr">
        <is>
          <t>サステム</t>
        </is>
      </c>
      <c r="D430" s="1" t="inlineStr">
        <is>
          <t>ｼｬﾜｰﾄｲﾚ取付け</t>
        </is>
      </c>
      <c r="E430" s="2" t="inlineStr">
        <is>
          <t>11月</t>
        </is>
      </c>
      <c r="F430" s="68" t="n">
        <v>60000</v>
      </c>
      <c r="G430" s="68">
        <f>IF(B430="","",F430-I430 )</f>
        <v/>
      </c>
      <c r="H430" s="5">
        <f>IF(G430="","",G430/F430)</f>
        <v/>
      </c>
      <c r="I430" s="62">
        <f>SUM(テーブル9[[#This Row],[五大]:[工場材]])</f>
        <v/>
      </c>
      <c r="J430" s="65" t="n"/>
      <c r="K430" s="65" t="n"/>
      <c r="L430" s="65" t="n"/>
      <c r="M430" s="65" t="n"/>
      <c r="N430" s="65" t="n"/>
      <c r="O430" s="69" t="n"/>
      <c r="P430" s="65" t="n"/>
      <c r="Q430" s="65" t="n"/>
      <c r="R430" s="65" t="n"/>
      <c r="S430" s="65" t="n"/>
      <c r="T430" s="65" t="n"/>
      <c r="U430" s="65" t="n"/>
      <c r="V430" s="65" t="n"/>
      <c r="W430" s="65" t="n"/>
      <c r="X430" s="66" t="n"/>
      <c r="Y430" s="65" t="n"/>
      <c r="Z430" s="65" t="n"/>
      <c r="AA430" s="69" t="n">
        <v>20000</v>
      </c>
      <c r="AB430" s="69" t="n">
        <v>25000</v>
      </c>
      <c r="AC430" s="65" t="n"/>
      <c r="AD430" s="65" t="n"/>
      <c r="AE430" s="65" t="n"/>
      <c r="AF430" s="65" t="n"/>
      <c r="AG430" s="65" t="n"/>
      <c r="AH430" s="65" t="n"/>
      <c r="AI430" s="65" t="n"/>
      <c r="AJ430" s="65" t="n"/>
      <c r="AK430" s="65" t="n"/>
      <c r="AL430" s="65" t="n"/>
      <c r="AM430" s="65" t="n"/>
      <c r="AN430" s="65" t="n"/>
      <c r="AO430" s="65" t="n"/>
      <c r="AP430" s="65" t="n"/>
      <c r="AQ430" s="65" t="n"/>
      <c r="AR430" s="65" t="n"/>
      <c r="AS430" s="65" t="n"/>
      <c r="AT430" s="65" t="n"/>
      <c r="AU430" s="65" t="n"/>
      <c r="AV430" s="65" t="n"/>
      <c r="AW430" s="65" t="n"/>
      <c r="AX430" s="65" t="n"/>
      <c r="AY430" s="65" t="n"/>
      <c r="AZ430" s="65" t="n"/>
      <c r="BA430" s="65" t="n"/>
      <c r="BB430" s="65" t="n"/>
      <c r="BC430" s="65" t="n"/>
      <c r="BD430" s="65" t="n"/>
      <c r="BE430" s="65" t="n"/>
      <c r="BF430" s="65" t="n"/>
      <c r="BG430" s="65" t="n"/>
    </row>
    <row r="431">
      <c r="B431" s="1" t="inlineStr">
        <is>
          <t>明石台　内藤邸</t>
        </is>
      </c>
      <c r="C431" s="1" t="inlineStr">
        <is>
          <t>サステム</t>
        </is>
      </c>
      <c r="D431" s="1" t="inlineStr">
        <is>
          <t>軒天張替外壁補修</t>
        </is>
      </c>
      <c r="E431" s="2" t="inlineStr">
        <is>
          <t>11月</t>
        </is>
      </c>
      <c r="F431" s="68">
        <f>240000+35460</f>
        <v/>
      </c>
      <c r="G431" s="68">
        <f>IF(B431="","",F431-I431 )</f>
        <v/>
      </c>
      <c r="H431" s="5">
        <f>IF(G431="","",G431/F431)</f>
        <v/>
      </c>
      <c r="I431" s="62">
        <f>SUM(テーブル9[[#This Row],[五大]:[工場材]])</f>
        <v/>
      </c>
      <c r="J431" s="65" t="n"/>
      <c r="K431" s="65" t="n"/>
      <c r="L431" s="65" t="n"/>
      <c r="M431" s="65" t="n"/>
      <c r="N431" s="65" t="n"/>
      <c r="O431" s="69" t="n"/>
      <c r="P431" s="65" t="n"/>
      <c r="Q431" s="65" t="n"/>
      <c r="R431" s="65" t="n"/>
      <c r="S431" s="65" t="n"/>
      <c r="T431" s="65" t="n"/>
      <c r="U431" s="65" t="n"/>
      <c r="V431" s="65" t="n"/>
      <c r="W431" s="69">
        <f>150000+30000</f>
        <v/>
      </c>
      <c r="X431" s="66" t="n">
        <v>18076</v>
      </c>
      <c r="Y431" s="65" t="n"/>
      <c r="Z431" s="65" t="n"/>
      <c r="AA431" s="65" t="n"/>
      <c r="AB431" s="65" t="n"/>
      <c r="AC431" s="65" t="n"/>
      <c r="AD431" s="65" t="n"/>
      <c r="AE431" s="65" t="n"/>
      <c r="AF431" s="65" t="n"/>
      <c r="AG431" s="65" t="n"/>
      <c r="AH431" s="65" t="n"/>
      <c r="AI431" s="65" t="n"/>
      <c r="AJ431" s="65" t="n"/>
      <c r="AK431" s="65" t="n"/>
      <c r="AL431" s="65" t="n"/>
      <c r="AM431" s="65" t="n"/>
      <c r="AN431" s="65" t="n"/>
      <c r="AO431" s="69">
        <f>11680+2125+3830</f>
        <v/>
      </c>
      <c r="AP431" s="65" t="n"/>
      <c r="AQ431" s="65" t="n"/>
      <c r="AR431" s="65" t="n"/>
      <c r="AS431" s="65" t="n"/>
      <c r="AT431" s="65" t="n"/>
      <c r="AU431" s="65" t="n"/>
      <c r="AV431" s="65" t="n"/>
      <c r="AW431" s="65" t="n"/>
      <c r="AX431" s="65" t="n"/>
      <c r="AY431" s="65" t="n"/>
      <c r="AZ431" s="65" t="n"/>
      <c r="BA431" s="65" t="n"/>
      <c r="BB431" s="65" t="n"/>
      <c r="BC431" s="65" t="n"/>
      <c r="BD431" s="65" t="n"/>
      <c r="BE431" s="65" t="n"/>
      <c r="BF431" s="65" t="n"/>
      <c r="BG431" s="65" t="n"/>
    </row>
    <row r="432">
      <c r="B432" s="1" t="inlineStr">
        <is>
          <t>利府　大竹邸</t>
        </is>
      </c>
      <c r="C432" s="1" t="inlineStr">
        <is>
          <t>LIXIL</t>
        </is>
      </c>
      <c r="D432" s="1" t="inlineStr">
        <is>
          <t>ｷｯﾁﾝ交換工事</t>
        </is>
      </c>
      <c r="E432" s="2" t="inlineStr">
        <is>
          <t>11月</t>
        </is>
      </c>
      <c r="F432" s="68" t="n">
        <v>711098</v>
      </c>
      <c r="G432" s="68">
        <f>IF(B432="","",F432-I432 )</f>
        <v/>
      </c>
      <c r="H432" s="5">
        <f>IF(G432="","",G432/F432)</f>
        <v/>
      </c>
      <c r="I432" s="62">
        <f>SUM(テーブル9[[#This Row],[五大]:[工場材]])</f>
        <v/>
      </c>
      <c r="J432" s="65" t="n"/>
      <c r="K432" s="65" t="n"/>
      <c r="L432" s="65" t="n"/>
      <c r="M432" s="65" t="n"/>
      <c r="N432" s="65" t="n"/>
      <c r="O432" s="69" t="n"/>
      <c r="P432" s="65" t="n"/>
      <c r="Q432" s="65" t="n"/>
      <c r="R432" s="65" t="n"/>
      <c r="S432" s="65" t="n"/>
      <c r="T432" s="65" t="n"/>
      <c r="U432" s="65" t="n"/>
      <c r="V432" s="65" t="n"/>
      <c r="W432" s="69" t="n">
        <v>180000</v>
      </c>
      <c r="X432" s="66" t="n">
        <v>24168</v>
      </c>
      <c r="Y432" s="65" t="n"/>
      <c r="Z432" s="65" t="n"/>
      <c r="AA432" s="69" t="n">
        <v>100000</v>
      </c>
      <c r="AB432" s="69" t="n">
        <v>85000</v>
      </c>
      <c r="AC432" s="65" t="n"/>
      <c r="AD432" s="65" t="n"/>
      <c r="AE432" s="69" t="n">
        <v>70000</v>
      </c>
      <c r="AF432" s="65" t="n"/>
      <c r="AG432" s="65" t="n"/>
      <c r="AH432" s="69" t="n">
        <v>91000</v>
      </c>
      <c r="AI432" s="65" t="n"/>
      <c r="AJ432" s="65" t="n"/>
      <c r="AK432" s="65" t="n"/>
      <c r="AL432" s="65" t="n"/>
      <c r="AM432" s="65" t="n"/>
      <c r="AN432" s="65" t="n"/>
      <c r="AO432" s="65" t="n"/>
      <c r="AP432" s="65" t="n"/>
      <c r="AQ432" s="65" t="n"/>
      <c r="AR432" s="65" t="n"/>
      <c r="AS432" s="65" t="n"/>
      <c r="AT432" s="65" t="n"/>
      <c r="AU432" s="65" t="n"/>
      <c r="AV432" s="65" t="n"/>
      <c r="AW432" s="65" t="n"/>
      <c r="AX432" s="65" t="n"/>
      <c r="AY432" s="65" t="n"/>
      <c r="AZ432" s="65" t="n"/>
      <c r="BA432" s="65" t="n"/>
      <c r="BB432" s="65" t="n"/>
      <c r="BC432" s="65" t="n"/>
      <c r="BD432" s="65" t="n"/>
      <c r="BE432" s="65" t="n"/>
      <c r="BF432" s="65" t="n"/>
      <c r="BG432" s="65" t="n"/>
    </row>
    <row r="433">
      <c r="B433" s="1" t="inlineStr">
        <is>
          <t>310ビル</t>
        </is>
      </c>
      <c r="C433" s="1" t="inlineStr">
        <is>
          <t>マルマン</t>
        </is>
      </c>
      <c r="D433" s="1" t="inlineStr">
        <is>
          <t>テナント・共有部改修</t>
        </is>
      </c>
      <c r="E433" s="2" t="inlineStr">
        <is>
          <t>11月</t>
        </is>
      </c>
      <c r="F433" s="68" t="n">
        <v>640000</v>
      </c>
      <c r="G433" s="68">
        <f>IF(B433="","",F433-I433 )</f>
        <v/>
      </c>
      <c r="H433" s="5">
        <f>IF(G433="","",G433/F433)</f>
        <v/>
      </c>
      <c r="I433" s="62">
        <f>SUM(テーブル9[[#This Row],[五大]:[工場材]])</f>
        <v/>
      </c>
      <c r="J433" s="65" t="n"/>
      <c r="K433" s="65" t="n"/>
      <c r="L433" s="65" t="n"/>
      <c r="M433" s="65" t="n"/>
      <c r="N433" s="65" t="n"/>
      <c r="O433" s="69" t="n"/>
      <c r="P433" s="65" t="n"/>
      <c r="Q433" s="65" t="n"/>
      <c r="R433" s="65" t="n"/>
      <c r="S433" s="65" t="n"/>
      <c r="T433" s="65" t="n"/>
      <c r="U433" s="65" t="n"/>
      <c r="V433" s="65" t="n"/>
      <c r="W433" s="69" t="n">
        <v>25000</v>
      </c>
      <c r="X433" s="66" t="n">
        <v>7418</v>
      </c>
      <c r="Y433" s="65" t="n"/>
      <c r="Z433" s="65" t="n"/>
      <c r="AA433" s="69" t="n">
        <v>65000</v>
      </c>
      <c r="AB433" s="69" t="n">
        <v>13000</v>
      </c>
      <c r="AC433" s="65" t="n"/>
      <c r="AD433" s="65" t="n"/>
      <c r="AE433" s="69" t="n"/>
      <c r="AF433" s="65" t="n"/>
      <c r="AG433" s="65" t="n"/>
      <c r="AH433" s="69" t="n">
        <v>183700</v>
      </c>
      <c r="AI433" s="65" t="n"/>
      <c r="AJ433" s="69" t="n">
        <v>25000</v>
      </c>
      <c r="AK433" s="65" t="n"/>
      <c r="AL433" s="65" t="n"/>
      <c r="AM433" s="65" t="n"/>
      <c r="AN433" s="65" t="n"/>
      <c r="AO433" s="65" t="n"/>
      <c r="AP433" s="65" t="n"/>
      <c r="AQ433" s="65" t="n"/>
      <c r="AR433" s="65" t="n"/>
      <c r="AS433" s="65" t="n"/>
      <c r="AT433" s="65" t="n"/>
      <c r="AU433" s="65" t="n"/>
      <c r="AV433" s="65" t="n"/>
      <c r="AW433" s="65" t="n"/>
      <c r="AX433" s="65" t="n"/>
      <c r="AY433" s="65" t="n"/>
      <c r="AZ433" s="65" t="n"/>
      <c r="BA433" s="65" t="n"/>
      <c r="BB433" s="65" t="n"/>
      <c r="BC433" s="65" t="n"/>
      <c r="BD433" s="65" t="n"/>
      <c r="BE433" s="65" t="n"/>
      <c r="BF433" s="65" t="n"/>
      <c r="BG433" s="64">
        <f>3690+3690+3190+13200+8000</f>
        <v/>
      </c>
    </row>
    <row r="434">
      <c r="B434" s="1" t="inlineStr">
        <is>
          <t>ハイツAB</t>
        </is>
      </c>
      <c r="C434" s="1" t="inlineStr">
        <is>
          <t>国立音楽院</t>
        </is>
      </c>
      <c r="D434" s="1" t="inlineStr">
        <is>
          <t>スペーサー取付け</t>
        </is>
      </c>
      <c r="E434" s="2" t="inlineStr">
        <is>
          <t>11月</t>
        </is>
      </c>
      <c r="F434" s="68" t="n">
        <v>123000</v>
      </c>
      <c r="G434" s="68">
        <f>IF(B434="","",F434-I434 )</f>
        <v/>
      </c>
      <c r="H434" s="5">
        <f>IF(G434="","",G434/F434)</f>
        <v/>
      </c>
      <c r="I434" s="62">
        <f>SUM(テーブル9[[#This Row],[五大]:[工場材]])</f>
        <v/>
      </c>
      <c r="J434" s="65" t="n"/>
      <c r="K434" s="65" t="n"/>
      <c r="L434" s="65" t="n"/>
      <c r="M434" s="65" t="n"/>
      <c r="N434" s="65" t="n"/>
      <c r="O434" s="69" t="n"/>
      <c r="P434" s="65" t="n"/>
      <c r="Q434" s="65" t="n"/>
      <c r="R434" s="65" t="n"/>
      <c r="S434" s="65" t="n"/>
      <c r="T434" s="65" t="n"/>
      <c r="U434" s="65" t="n"/>
      <c r="V434" s="65" t="n"/>
      <c r="W434" s="65" t="n"/>
      <c r="X434" s="66" t="n"/>
      <c r="Y434" s="65" t="n"/>
      <c r="Z434" s="65" t="n"/>
      <c r="AA434" s="65" t="n"/>
      <c r="AB434" s="65" t="n"/>
      <c r="AC434" s="65" t="n"/>
      <c r="AD434" s="65" t="n"/>
      <c r="AE434" s="69" t="n">
        <v>95040</v>
      </c>
      <c r="AF434" s="65" t="n"/>
      <c r="AG434" s="65" t="n"/>
      <c r="AH434" s="65" t="n"/>
      <c r="AI434" s="65" t="n"/>
      <c r="AJ434" s="65" t="n"/>
      <c r="AK434" s="65" t="n"/>
      <c r="AL434" s="65" t="n"/>
      <c r="AM434" s="65" t="n"/>
      <c r="AN434" s="65" t="n"/>
      <c r="AO434" s="65" t="n"/>
      <c r="AP434" s="65" t="n"/>
      <c r="AQ434" s="65" t="n"/>
      <c r="AR434" s="65" t="n"/>
      <c r="AS434" s="65" t="n"/>
      <c r="AT434" s="65" t="n"/>
      <c r="AU434" s="65" t="n"/>
      <c r="AV434" s="65" t="n"/>
      <c r="AW434" s="65" t="n"/>
      <c r="AX434" s="65" t="n"/>
      <c r="AY434" s="65" t="n"/>
      <c r="AZ434" s="65" t="n"/>
      <c r="BA434" s="65" t="n"/>
      <c r="BB434" s="65" t="n"/>
      <c r="BC434" s="65" t="n"/>
      <c r="BD434" s="65" t="n"/>
      <c r="BE434" s="65" t="n"/>
      <c r="BF434" s="65" t="n"/>
      <c r="BG434" s="65" t="n"/>
    </row>
    <row r="435">
      <c r="B435" s="1" t="inlineStr">
        <is>
          <t>柏邸</t>
        </is>
      </c>
      <c r="C435" s="1" t="inlineStr">
        <is>
          <t>光和工業</t>
        </is>
      </c>
      <c r="D435" s="1" t="inlineStr">
        <is>
          <t>高山さん妻実家塗装</t>
        </is>
      </c>
      <c r="E435" s="2" t="inlineStr">
        <is>
          <t>11月</t>
        </is>
      </c>
      <c r="F435" s="68">
        <f>1900000+640000</f>
        <v/>
      </c>
      <c r="G435" s="68">
        <f>IF(B435="","",F435-I435 )</f>
        <v/>
      </c>
      <c r="H435" s="5">
        <f>IF(G435="","",G435/F435)</f>
        <v/>
      </c>
      <c r="I435" s="62">
        <f>SUM(テーブル9[[#This Row],[五大]:[工場材]])</f>
        <v/>
      </c>
      <c r="J435" s="69" t="n">
        <v>290000</v>
      </c>
      <c r="K435" s="65" t="n"/>
      <c r="L435" s="65" t="n"/>
      <c r="M435" s="65">
        <f>201*800</f>
        <v/>
      </c>
      <c r="N435" s="65" t="n"/>
      <c r="O435" s="69">
        <f>326*2800</f>
        <v/>
      </c>
      <c r="P435" s="65" t="n"/>
      <c r="Q435" s="65" t="n"/>
      <c r="R435" s="65" t="n"/>
      <c r="S435" s="65" t="n"/>
      <c r="T435" s="65" t="n"/>
      <c r="U435" s="69" t="n">
        <v>358000</v>
      </c>
      <c r="V435" s="65" t="n"/>
      <c r="W435" s="69" t="n">
        <v>15000</v>
      </c>
      <c r="X435" s="66" t="n"/>
      <c r="Y435" s="65" t="n"/>
      <c r="Z435" s="65" t="n"/>
      <c r="AA435" s="65" t="n"/>
      <c r="AB435" s="65" t="n"/>
      <c r="AC435" s="65" t="n"/>
      <c r="AD435" s="65" t="n"/>
      <c r="AE435" s="65" t="n"/>
      <c r="AF435" s="65" t="n"/>
      <c r="AG435" s="65" t="n"/>
      <c r="AH435" s="65" t="n"/>
      <c r="AI435" s="65" t="n"/>
      <c r="AJ435" s="65" t="n"/>
      <c r="AK435" s="65" t="n"/>
      <c r="AL435" s="65" t="n"/>
      <c r="AM435" s="65" t="n"/>
      <c r="AN435" s="65" t="n"/>
      <c r="AO435" s="65" t="n"/>
      <c r="AP435" s="65" t="n"/>
      <c r="AQ435" s="65" t="n"/>
      <c r="AR435" s="65" t="n"/>
      <c r="AS435" s="65" t="n"/>
      <c r="AT435" s="65" t="n"/>
      <c r="AU435" s="65" t="n"/>
      <c r="AV435" s="65" t="n"/>
      <c r="AW435" s="65" t="n"/>
      <c r="AX435" s="65" t="n"/>
      <c r="AY435" s="65" t="n"/>
      <c r="AZ435" s="65" t="n"/>
      <c r="BA435" s="65" t="n"/>
      <c r="BB435" s="65" t="n"/>
      <c r="BC435" s="65" t="n"/>
      <c r="BD435" s="65" t="n"/>
      <c r="BE435" s="65" t="n"/>
      <c r="BF435" s="65" t="n"/>
      <c r="BG435" s="64">
        <f>テーブル9[[#This Row],[受注金額 税抜]]*5%</f>
        <v/>
      </c>
    </row>
    <row r="436">
      <c r="B436" s="1" t="inlineStr">
        <is>
          <t>シダーハイツ</t>
        </is>
      </c>
      <c r="C436" s="1" t="inlineStr">
        <is>
          <t>積水不動産</t>
        </is>
      </c>
      <c r="D436" s="1" t="inlineStr">
        <is>
          <t>鉄骨補修工事</t>
        </is>
      </c>
      <c r="E436" s="2" t="inlineStr">
        <is>
          <t>11月</t>
        </is>
      </c>
      <c r="F436" s="68" t="n">
        <v>226000</v>
      </c>
      <c r="G436" s="68">
        <f>IF(B436="","",F436-I436 )</f>
        <v/>
      </c>
      <c r="H436" s="5">
        <f>IF(G436="","",G436/F436)</f>
        <v/>
      </c>
      <c r="I436" s="62">
        <f>SUM(テーブル9[[#This Row],[五大]:[工場材]])</f>
        <v/>
      </c>
      <c r="J436" s="65" t="n"/>
      <c r="K436" s="65" t="n"/>
      <c r="L436" s="65" t="n"/>
      <c r="M436" s="65" t="n"/>
      <c r="N436" s="65" t="n"/>
      <c r="O436" s="69" t="n">
        <v>50000</v>
      </c>
      <c r="P436" s="65" t="n"/>
      <c r="Q436" s="65" t="n"/>
      <c r="R436" s="69" t="n">
        <v>20000</v>
      </c>
      <c r="S436" s="65" t="n"/>
      <c r="T436" s="65" t="n"/>
      <c r="U436" s="65" t="n"/>
      <c r="V436" s="65" t="n"/>
      <c r="W436" s="69" t="n"/>
      <c r="X436" s="66" t="n"/>
      <c r="Y436" s="65" t="n"/>
      <c r="Z436" s="65" t="n"/>
      <c r="AA436" s="65" t="n"/>
      <c r="AB436" s="65" t="n"/>
      <c r="AC436" s="65" t="n"/>
      <c r="AD436" s="65" t="n"/>
      <c r="AE436" s="65" t="n"/>
      <c r="AF436" s="65" t="n"/>
      <c r="AG436" s="65" t="n"/>
      <c r="AH436" s="65" t="n"/>
      <c r="AI436" s="65" t="n"/>
      <c r="AJ436" s="65" t="n"/>
      <c r="AK436" s="65" t="n"/>
      <c r="AL436" s="65" t="n"/>
      <c r="AM436" s="65" t="n"/>
      <c r="AN436" s="65" t="n"/>
      <c r="AO436" s="65" t="n"/>
      <c r="AP436" s="65" t="n"/>
      <c r="AQ436" s="65" t="n"/>
      <c r="AR436" s="65" t="n"/>
      <c r="AS436" s="65" t="n"/>
      <c r="AT436" s="65" t="n"/>
      <c r="AU436" s="65" t="n"/>
      <c r="AV436" s="65" t="n"/>
      <c r="AW436" s="65" t="n"/>
      <c r="AX436" s="65" t="n"/>
      <c r="AY436" s="65" t="n"/>
      <c r="AZ436" s="65" t="n"/>
      <c r="BA436" s="65" t="n"/>
      <c r="BB436" s="65" t="n"/>
      <c r="BC436" s="65" t="n"/>
      <c r="BD436" s="65" t="n"/>
      <c r="BE436" s="65" t="n"/>
      <c r="BF436" s="65" t="n"/>
      <c r="BG436" s="64" t="n">
        <v>45000</v>
      </c>
    </row>
    <row r="437">
      <c r="B437" s="1" t="inlineStr">
        <is>
          <t>松陵　渡邉邸</t>
        </is>
      </c>
      <c r="C437" s="1" t="inlineStr">
        <is>
          <t>光和工業</t>
        </is>
      </c>
      <c r="D437" s="1" t="inlineStr">
        <is>
          <t>リフォーム工事</t>
        </is>
      </c>
      <c r="E437" s="2" t="inlineStr">
        <is>
          <t>11月</t>
        </is>
      </c>
      <c r="F437" s="68" t="n">
        <v>2200000</v>
      </c>
      <c r="G437" s="68">
        <f>IF(B437="","",F437-I437 )</f>
        <v/>
      </c>
      <c r="H437" s="5">
        <f>IF(G437="","",G437/F437)</f>
        <v/>
      </c>
      <c r="I437" s="62">
        <f>SUM(テーブル9[[#This Row],[五大]:[工場材]])</f>
        <v/>
      </c>
      <c r="J437" s="65" t="n"/>
      <c r="K437" s="65" t="n"/>
      <c r="L437" s="65" t="n"/>
      <c r="M437" s="65" t="n"/>
      <c r="N437" s="65" t="n"/>
      <c r="O437" s="69" t="n">
        <v>80000</v>
      </c>
      <c r="P437" s="65" t="n"/>
      <c r="Q437" s="65" t="n"/>
      <c r="R437" s="69" t="n"/>
      <c r="S437" s="65" t="n"/>
      <c r="T437" s="65" t="n"/>
      <c r="U437" s="65" t="n"/>
      <c r="V437" s="65" t="n"/>
      <c r="W437" s="69">
        <f>230000+35000</f>
        <v/>
      </c>
      <c r="X437" s="66" t="n">
        <v>38865</v>
      </c>
      <c r="Y437" s="65" t="n"/>
      <c r="Z437" s="65" t="n"/>
      <c r="AA437" s="69" t="n">
        <v>15000</v>
      </c>
      <c r="AB437" s="65" t="n"/>
      <c r="AC437" s="65" t="n"/>
      <c r="AD437" s="65" t="n"/>
      <c r="AE437" s="69">
        <f>761220+10000</f>
        <v/>
      </c>
      <c r="AF437" s="65" t="n"/>
      <c r="AG437" s="65" t="n"/>
      <c r="AH437" s="69" t="n">
        <v>270000</v>
      </c>
      <c r="AI437" s="65" t="n"/>
      <c r="AJ437" s="69" t="n"/>
      <c r="AK437" s="64" t="n">
        <v>60000</v>
      </c>
      <c r="AL437" s="65" t="n"/>
      <c r="AM437" s="65" t="n"/>
      <c r="AN437" s="65" t="n"/>
      <c r="AO437" s="69">
        <f>37680+78450+13960+4200+1500+4200+1500+6980+6980</f>
        <v/>
      </c>
      <c r="AP437" s="65" t="n"/>
      <c r="AQ437" s="65" t="n"/>
      <c r="AR437" s="65" t="n"/>
      <c r="AS437" s="65" t="n"/>
      <c r="AT437" s="65" t="n"/>
      <c r="AU437" s="65" t="n"/>
      <c r="AV437" s="65" t="n"/>
      <c r="AW437" s="65" t="n"/>
      <c r="AX437" s="65" t="n"/>
      <c r="AY437" s="65" t="n"/>
      <c r="AZ437" s="65" t="n"/>
      <c r="BA437" s="65" t="n"/>
      <c r="BB437" s="65" t="n"/>
      <c r="BC437" s="65" t="n"/>
      <c r="BD437" s="65" t="n"/>
      <c r="BE437" s="65" t="n"/>
      <c r="BF437" s="65" t="n"/>
      <c r="BG437" s="64" t="n">
        <v>70000</v>
      </c>
    </row>
    <row r="438">
      <c r="B438" s="1" t="inlineStr">
        <is>
          <t>松陵　渡邉邸</t>
        </is>
      </c>
      <c r="C438" s="1" t="inlineStr">
        <is>
          <t>光和工業</t>
        </is>
      </c>
      <c r="D438" s="1" t="inlineStr">
        <is>
          <t>塗装工事</t>
        </is>
      </c>
      <c r="E438" s="2" t="inlineStr">
        <is>
          <t>11月</t>
        </is>
      </c>
      <c r="F438" s="68" t="n">
        <v>1370000</v>
      </c>
      <c r="G438" s="68">
        <f>IF(B438="","",F438-I438 )</f>
        <v/>
      </c>
      <c r="H438" s="5">
        <f>IF(G438="","",G438/F438)</f>
        <v/>
      </c>
      <c r="I438" s="62">
        <f>SUM(テーブル9[[#This Row],[五大]:[工場材]])</f>
        <v/>
      </c>
      <c r="J438" s="69" t="n">
        <v>120000</v>
      </c>
      <c r="K438" s="65" t="n"/>
      <c r="L438" s="65" t="n"/>
      <c r="M438" s="65" t="n"/>
      <c r="N438" s="65" t="n"/>
      <c r="O438" s="69" t="n">
        <v>600000</v>
      </c>
      <c r="P438" s="65" t="n"/>
      <c r="Q438" s="65" t="n"/>
      <c r="R438" s="69" t="n">
        <v>60000</v>
      </c>
      <c r="S438" s="65" t="n"/>
      <c r="T438" s="65" t="n"/>
      <c r="U438" s="69">
        <f>29000+43500+11000+13300+13300+59000+8200+10500+42000+13800+59000+13300+13300</f>
        <v/>
      </c>
      <c r="V438" s="65" t="n"/>
      <c r="W438" s="69" t="n"/>
      <c r="X438" s="66" t="n"/>
      <c r="Y438" s="65" t="n"/>
      <c r="Z438" s="65" t="n"/>
      <c r="AA438" s="65" t="n"/>
      <c r="AB438" s="65" t="n"/>
      <c r="AC438" s="65" t="n"/>
      <c r="AD438" s="65" t="n"/>
      <c r="AE438" s="65" t="n"/>
      <c r="AF438" s="65" t="n"/>
      <c r="AG438" s="65" t="n"/>
      <c r="AH438" s="65" t="n"/>
      <c r="AI438" s="65" t="n"/>
      <c r="AJ438" s="69" t="n">
        <v>30000</v>
      </c>
      <c r="AK438" s="65" t="n"/>
      <c r="AL438" s="65" t="n"/>
      <c r="AM438" s="65" t="n"/>
      <c r="AN438" s="65" t="n"/>
      <c r="AO438" s="65" t="n"/>
      <c r="AP438" s="65" t="n"/>
      <c r="AQ438" s="65" t="n"/>
      <c r="AR438" s="65" t="n"/>
      <c r="AS438" s="65" t="n"/>
      <c r="AT438" s="65" t="n"/>
      <c r="AU438" s="65" t="n"/>
      <c r="AV438" s="65" t="n"/>
      <c r="AW438" s="65" t="n"/>
      <c r="AX438" s="65" t="n"/>
      <c r="AY438" s="65" t="n"/>
      <c r="AZ438" s="65" t="n"/>
      <c r="BA438" s="65" t="n"/>
      <c r="BB438" s="65" t="n"/>
      <c r="BC438" s="65" t="n"/>
      <c r="BD438" s="65" t="n"/>
      <c r="BE438" s="65" t="n"/>
      <c r="BF438" s="65" t="n"/>
      <c r="BG438" s="65" t="n"/>
    </row>
    <row r="439">
      <c r="B439" s="1" t="inlineStr">
        <is>
          <t>鷹の杜　菊池邸</t>
        </is>
      </c>
      <c r="C439" s="1" t="inlineStr">
        <is>
          <t>光和工業</t>
        </is>
      </c>
      <c r="D439" s="1" t="inlineStr">
        <is>
          <t>塗装</t>
        </is>
      </c>
      <c r="E439" s="2" t="inlineStr">
        <is>
          <t>12月</t>
        </is>
      </c>
      <c r="F439" s="68" t="n">
        <v>1600000</v>
      </c>
      <c r="G439" s="68">
        <f>IF(B439="","",F439-I439 )</f>
        <v/>
      </c>
      <c r="H439" s="5">
        <f>IF(G439="","",G439/F439)</f>
        <v/>
      </c>
      <c r="I439" s="62">
        <f>SUM(テーブル9[[#This Row],[五大]:[工場材]])</f>
        <v/>
      </c>
      <c r="J439" s="69" t="n">
        <v>130000</v>
      </c>
      <c r="K439" s="65" t="n"/>
      <c r="L439" s="65" t="n"/>
      <c r="M439" s="65" t="n"/>
      <c r="N439" s="65" t="n"/>
      <c r="O439" s="69" t="n">
        <v>600000</v>
      </c>
      <c r="P439" s="65" t="n"/>
      <c r="Q439" s="65" t="n"/>
      <c r="R439" s="69" t="n">
        <v>180000</v>
      </c>
      <c r="S439" s="65" t="n"/>
      <c r="T439" s="65" t="n"/>
      <c r="U439" s="65">
        <f>25600+14200+5600</f>
        <v/>
      </c>
      <c r="V439" s="65" t="n"/>
      <c r="W439" s="69" t="n">
        <v>20000</v>
      </c>
      <c r="X439" s="66" t="n"/>
      <c r="Y439" s="65" t="n"/>
      <c r="Z439" s="65" t="n"/>
      <c r="AA439" s="69" t="n">
        <v>167000</v>
      </c>
      <c r="AB439" s="65" t="n"/>
      <c r="AC439" s="65" t="n"/>
      <c r="AD439" s="65" t="n"/>
      <c r="AE439" s="69" t="n">
        <v>40000</v>
      </c>
      <c r="AF439" s="65" t="n"/>
      <c r="AG439" s="65" t="n"/>
      <c r="AH439" s="65" t="n"/>
      <c r="AI439" s="65" t="n"/>
      <c r="AJ439" s="65" t="n"/>
      <c r="AK439" s="65" t="n"/>
      <c r="AL439" s="65" t="n"/>
      <c r="AM439" s="65" t="n"/>
      <c r="AN439" s="65" t="n"/>
      <c r="AO439" s="69" t="n">
        <v>11800</v>
      </c>
      <c r="AP439" s="65" t="n"/>
      <c r="AQ439" s="65" t="n"/>
      <c r="AR439" s="65" t="n"/>
      <c r="AS439" s="65" t="n"/>
      <c r="AT439" s="65" t="n"/>
      <c r="AU439" s="65" t="n"/>
      <c r="AV439" s="65" t="n"/>
      <c r="AW439" s="65" t="n"/>
      <c r="AX439" s="65" t="n"/>
      <c r="AY439" s="65" t="n"/>
      <c r="AZ439" s="65" t="n"/>
      <c r="BA439" s="65" t="n"/>
      <c r="BB439" s="65" t="n"/>
      <c r="BC439" s="65" t="n"/>
      <c r="BD439" s="65" t="n"/>
      <c r="BE439" s="65" t="n"/>
      <c r="BF439" s="65" t="n"/>
      <c r="BG439" s="65" t="n"/>
    </row>
    <row r="440">
      <c r="B440" s="1" t="inlineStr">
        <is>
          <t>遠見塚 西山邸</t>
        </is>
      </c>
      <c r="C440" s="1" t="inlineStr">
        <is>
          <t>サステム</t>
        </is>
      </c>
      <c r="D440" s="1" t="inlineStr">
        <is>
          <t>積水RF K　UB　WC　洗面交換</t>
        </is>
      </c>
      <c r="E440" s="2" t="inlineStr">
        <is>
          <t>12月</t>
        </is>
      </c>
      <c r="F440" s="68" t="n">
        <v>980000</v>
      </c>
      <c r="G440" s="68">
        <f>IF(B440="","",F440-I440 )</f>
        <v/>
      </c>
      <c r="H440" s="5">
        <f>IF(G440="","",G440/F440)</f>
        <v/>
      </c>
      <c r="I440" s="62">
        <f>SUM(テーブル9[[#This Row],[五大]:[工場材]])</f>
        <v/>
      </c>
      <c r="J440" s="65" t="n"/>
      <c r="K440" s="65" t="n"/>
      <c r="L440" s="65" t="n"/>
      <c r="M440" s="65" t="n"/>
      <c r="N440" s="65" t="n"/>
      <c r="O440" s="69" t="n">
        <v>15000</v>
      </c>
      <c r="P440" s="65" t="n"/>
      <c r="Q440" s="65" t="n"/>
      <c r="R440" s="69" t="n"/>
      <c r="S440" s="65" t="n"/>
      <c r="T440" s="65" t="n"/>
      <c r="U440" s="65" t="n"/>
      <c r="V440" s="65" t="n"/>
      <c r="W440" s="69" t="n">
        <v>230000</v>
      </c>
      <c r="X440" s="66" t="n">
        <v>46777</v>
      </c>
      <c r="Y440" s="65" t="n"/>
      <c r="Z440" s="65" t="n"/>
      <c r="AA440" s="69" t="n">
        <v>160000</v>
      </c>
      <c r="AB440" s="69" t="n">
        <v>334000</v>
      </c>
      <c r="AC440" s="69">
        <f>1500+7000+1800+10000</f>
        <v/>
      </c>
      <c r="AD440" s="69" t="n"/>
      <c r="AE440" s="65" t="n"/>
      <c r="AF440" s="65" t="n"/>
      <c r="AG440" s="65" t="n"/>
      <c r="AH440" s="69" t="n">
        <v>80000</v>
      </c>
      <c r="AI440" s="65" t="n"/>
      <c r="AJ440" s="65" t="n"/>
      <c r="AK440" s="65" t="n"/>
      <c r="AL440" s="65" t="n"/>
      <c r="AM440" s="65" t="n"/>
      <c r="AN440" s="65" t="n"/>
      <c r="AO440" s="69" t="n">
        <v>12610</v>
      </c>
      <c r="AP440" s="65" t="n"/>
      <c r="AQ440" s="65" t="n"/>
      <c r="AR440" s="65" t="n"/>
      <c r="AS440" s="65" t="n"/>
      <c r="AT440" s="65" t="n"/>
      <c r="AU440" s="65" t="n"/>
      <c r="AV440" s="65" t="n"/>
      <c r="AW440" s="65" t="n"/>
      <c r="AX440" s="69" t="n">
        <v>32000</v>
      </c>
      <c r="AY440" s="65" t="n"/>
      <c r="AZ440" s="65" t="n"/>
      <c r="BA440" s="65" t="n"/>
      <c r="BB440" s="65" t="n"/>
      <c r="BC440" s="65" t="n"/>
      <c r="BD440" s="65" t="n"/>
      <c r="BE440" s="65" t="n"/>
      <c r="BF440" s="65" t="n"/>
      <c r="BG440" s="65" t="n"/>
    </row>
    <row r="441">
      <c r="B441" s="1" t="inlineStr">
        <is>
          <t>クロスロード</t>
        </is>
      </c>
      <c r="C441" s="1" t="inlineStr">
        <is>
          <t>山一</t>
        </is>
      </c>
      <c r="D441" s="1" t="inlineStr">
        <is>
          <t>塗装</t>
        </is>
      </c>
      <c r="E441" s="2" t="inlineStr">
        <is>
          <t>12月</t>
        </is>
      </c>
      <c r="F441" s="68" t="n">
        <v>3050000</v>
      </c>
      <c r="G441" s="68">
        <f>IF(B441="","",F441-I441 )</f>
        <v/>
      </c>
      <c r="H441" s="5">
        <f>IF(G441="","",G441/F441)</f>
        <v/>
      </c>
      <c r="I441" s="62">
        <f>SUM(テーブル9[[#This Row],[五大]:[工場材]])</f>
        <v/>
      </c>
      <c r="J441" s="65" t="n"/>
      <c r="K441" s="65" t="n"/>
      <c r="L441" s="65" t="n"/>
      <c r="M441" s="65" t="n"/>
      <c r="N441" s="65" t="n"/>
      <c r="O441" s="69" t="n">
        <v>1000000</v>
      </c>
      <c r="P441" s="65" t="n"/>
      <c r="Q441" s="65" t="n"/>
      <c r="R441" s="69" t="n">
        <v>100000</v>
      </c>
      <c r="S441" s="65" t="n"/>
      <c r="T441" s="65" t="n"/>
      <c r="U441" s="69">
        <f>2700+25600+25600+11000+11000+11000+9800+11000+4200+7000+7800+11500+3000+12800+12800</f>
        <v/>
      </c>
      <c r="V441" s="65" t="n"/>
      <c r="W441" s="69" t="n"/>
      <c r="X441" s="66" t="n"/>
      <c r="Y441" s="65" t="n"/>
      <c r="Z441" s="65" t="n"/>
      <c r="AA441" s="65" t="n"/>
      <c r="AB441" s="65" t="n"/>
      <c r="AC441" s="65" t="n"/>
      <c r="AD441" s="65" t="n"/>
      <c r="AE441" s="65" t="n"/>
      <c r="AF441" s="65" t="n"/>
      <c r="AG441" s="65" t="n"/>
      <c r="AH441" s="65" t="n"/>
      <c r="AI441" s="65" t="n"/>
      <c r="AJ441" s="65" t="n"/>
      <c r="AK441" s="65" t="n"/>
      <c r="AL441" s="65" t="n"/>
      <c r="AM441" s="65" t="n"/>
      <c r="AN441" s="65" t="n"/>
      <c r="AO441" s="65" t="n"/>
      <c r="AP441" s="65" t="n"/>
      <c r="AQ441" s="65" t="n"/>
      <c r="AR441" s="65" t="n"/>
      <c r="AS441" s="65" t="n"/>
      <c r="AT441" s="65" t="n"/>
      <c r="AU441" s="65" t="n"/>
      <c r="AV441" s="65" t="n"/>
      <c r="AW441" s="65" t="n"/>
      <c r="AX441" s="65" t="n"/>
      <c r="AY441" s="65" t="n"/>
      <c r="AZ441" s="65" t="n"/>
      <c r="BA441" s="65" t="n"/>
      <c r="BB441" s="65" t="n"/>
      <c r="BC441" s="65" t="n"/>
      <c r="BD441" s="65" t="n"/>
      <c r="BE441" s="65" t="n"/>
      <c r="BF441" s="65" t="n"/>
      <c r="BG441" s="65" t="n"/>
    </row>
    <row r="442">
      <c r="B442" s="1" t="inlineStr">
        <is>
          <t>袋原　小泉邸</t>
        </is>
      </c>
      <c r="C442" s="1" t="inlineStr">
        <is>
          <t>LIXIL</t>
        </is>
      </c>
      <c r="D442" s="1" t="inlineStr">
        <is>
          <t>ｷｯﾁﾝ・洗面・UB・便器</t>
        </is>
      </c>
      <c r="E442" s="2" t="inlineStr">
        <is>
          <t>11月</t>
        </is>
      </c>
      <c r="F442" s="68">
        <f>615338-2960-80000</f>
        <v/>
      </c>
      <c r="G442" s="68">
        <f>IF(B442="","",F442-I442 )</f>
        <v/>
      </c>
      <c r="H442" s="5">
        <f>IF(G442="","",G442/F442)</f>
        <v/>
      </c>
      <c r="I442" s="62">
        <f>SUM(テーブル9[[#This Row],[五大]:[工場材]])</f>
        <v/>
      </c>
      <c r="J442" s="65" t="n"/>
      <c r="K442" s="65" t="n"/>
      <c r="L442" s="65" t="n"/>
      <c r="M442" s="65" t="n"/>
      <c r="N442" s="65" t="n"/>
      <c r="O442" s="69" t="n"/>
      <c r="P442" s="65" t="n"/>
      <c r="Q442" s="65" t="n"/>
      <c r="R442" s="65" t="n"/>
      <c r="S442" s="65" t="n"/>
      <c r="T442" s="65" t="n"/>
      <c r="U442" s="65" t="n"/>
      <c r="V442" s="65" t="n"/>
      <c r="W442" s="69" t="n">
        <v>180000</v>
      </c>
      <c r="X442" s="66" t="n">
        <v>25515</v>
      </c>
      <c r="Y442" s="65" t="n"/>
      <c r="Z442" s="65" t="n"/>
      <c r="AA442" s="69" t="n">
        <v>80000</v>
      </c>
      <c r="AB442" s="69" t="n">
        <v>302000</v>
      </c>
      <c r="AC442" s="69">
        <f>3500+1200+10000</f>
        <v/>
      </c>
      <c r="AD442" s="69" t="n"/>
      <c r="AE442" s="65" t="n"/>
      <c r="AF442" s="65" t="n"/>
      <c r="AG442" s="65" t="n"/>
      <c r="AH442" s="65" t="n"/>
      <c r="AI442" s="65" t="n"/>
      <c r="AJ442" s="65" t="n"/>
      <c r="AK442" s="65" t="n"/>
      <c r="AL442" s="65" t="n"/>
      <c r="AM442" s="65" t="n"/>
      <c r="AN442" s="65" t="n"/>
      <c r="AO442" s="65" t="n"/>
      <c r="AP442" s="65" t="n"/>
      <c r="AQ442" s="65" t="n"/>
      <c r="AR442" s="65" t="n"/>
      <c r="AS442" s="65" t="n"/>
      <c r="AT442" s="65" t="n"/>
      <c r="AU442" s="65" t="n"/>
      <c r="AV442" s="65" t="n"/>
      <c r="AW442" s="65" t="n"/>
      <c r="AX442" s="65" t="n"/>
      <c r="AY442" s="65" t="n"/>
      <c r="AZ442" s="65" t="n"/>
      <c r="BA442" s="65" t="n"/>
      <c r="BB442" s="65" t="n"/>
      <c r="BC442" s="65" t="n"/>
      <c r="BD442" s="65" t="n"/>
      <c r="BE442" s="65" t="n"/>
      <c r="BF442" s="65" t="n"/>
      <c r="BG442" s="65" t="n"/>
    </row>
    <row r="443">
      <c r="B443" s="1" t="inlineStr">
        <is>
          <t>石巻　柏山邸</t>
        </is>
      </c>
      <c r="C443" s="1" t="inlineStr">
        <is>
          <t>LIXIL</t>
        </is>
      </c>
      <c r="D443" s="1" t="inlineStr">
        <is>
          <t>洗面床張替</t>
        </is>
      </c>
      <c r="E443" s="2" t="inlineStr">
        <is>
          <t>11月</t>
        </is>
      </c>
      <c r="F443" s="68" t="n">
        <v>143000</v>
      </c>
      <c r="G443" s="68">
        <f>IF(B443="","",F443-I443 )</f>
        <v/>
      </c>
      <c r="H443" s="5">
        <f>IF(G443="","",G443/F443)</f>
        <v/>
      </c>
      <c r="I443" s="62">
        <f>SUM(テーブル9[[#This Row],[五大]:[工場材]])</f>
        <v/>
      </c>
      <c r="J443" s="65" t="n"/>
      <c r="K443" s="65" t="n"/>
      <c r="L443" s="65" t="n"/>
      <c r="M443" s="65" t="n"/>
      <c r="N443" s="65" t="n"/>
      <c r="O443" s="69" t="n"/>
      <c r="P443" s="65" t="n"/>
      <c r="Q443" s="65" t="n"/>
      <c r="R443" s="65" t="n"/>
      <c r="S443" s="65" t="n"/>
      <c r="T443" s="65" t="n"/>
      <c r="U443" s="65" t="n"/>
      <c r="V443" s="65" t="n"/>
      <c r="W443" s="69" t="n">
        <v>50000</v>
      </c>
      <c r="X443" s="66" t="n"/>
      <c r="Y443" s="65" t="n"/>
      <c r="Z443" s="65" t="n"/>
      <c r="AA443" s="65" t="n"/>
      <c r="AB443" s="69" t="n">
        <v>20000</v>
      </c>
      <c r="AC443" s="65" t="n"/>
      <c r="AD443" s="65" t="n"/>
      <c r="AE443" s="65" t="n"/>
      <c r="AF443" s="65" t="n"/>
      <c r="AG443" s="65" t="n"/>
      <c r="AH443" s="65" t="n"/>
      <c r="AI443" s="65" t="n"/>
      <c r="AJ443" s="65" t="n"/>
      <c r="AK443" s="65" t="n"/>
      <c r="AL443" s="65" t="n"/>
      <c r="AM443" s="65" t="n"/>
      <c r="AN443" s="65" t="n"/>
      <c r="AO443" s="65" t="n"/>
      <c r="AP443" s="65" t="n"/>
      <c r="AQ443" s="65" t="n"/>
      <c r="AR443" s="65" t="n"/>
      <c r="AS443" s="65" t="n"/>
      <c r="AT443" s="65" t="n"/>
      <c r="AU443" s="65" t="n"/>
      <c r="AV443" s="65" t="n"/>
      <c r="AW443" s="65" t="n"/>
      <c r="AX443" s="65" t="n"/>
      <c r="AY443" s="65" t="n"/>
      <c r="AZ443" s="65" t="n"/>
      <c r="BA443" s="65" t="n"/>
      <c r="BB443" s="65" t="n"/>
      <c r="BC443" s="65" t="n"/>
      <c r="BD443" s="65" t="n"/>
      <c r="BE443" s="65" t="n"/>
      <c r="BF443" s="65" t="n"/>
      <c r="BG443" s="65" t="n"/>
    </row>
    <row r="444">
      <c r="B444" s="1" t="inlineStr">
        <is>
          <t>盛岡PJ</t>
        </is>
      </c>
      <c r="C444" s="1" t="inlineStr">
        <is>
          <t>TOSEI</t>
        </is>
      </c>
      <c r="D444" s="1" t="inlineStr">
        <is>
          <t>ダクト工事（１期）</t>
        </is>
      </c>
      <c r="E444" s="2" t="inlineStr">
        <is>
          <t>11月</t>
        </is>
      </c>
      <c r="F444" s="68" t="n">
        <v>1900000</v>
      </c>
      <c r="G444" s="68">
        <f>IF(B444="","",F444-I444 )</f>
        <v/>
      </c>
      <c r="H444" s="5">
        <f>IF(G444="","",G444/F444)</f>
        <v/>
      </c>
      <c r="I444" s="62">
        <f>SUM(テーブル9[[#This Row],[五大]:[工場材]])</f>
        <v/>
      </c>
      <c r="J444" s="65" t="n"/>
      <c r="K444" s="65" t="n"/>
      <c r="L444" s="65" t="n"/>
      <c r="M444" s="65" t="n"/>
      <c r="N444" s="65" t="n"/>
      <c r="O444" s="69" t="n"/>
      <c r="P444" s="65" t="n"/>
      <c r="Q444" s="65" t="n"/>
      <c r="R444" s="65" t="n"/>
      <c r="S444" s="65" t="n"/>
      <c r="T444" s="65" t="n"/>
      <c r="U444" s="65" t="n"/>
      <c r="V444" s="65" t="n"/>
      <c r="W444" s="69" t="n"/>
      <c r="X444" s="66" t="n"/>
      <c r="Y444" s="65" t="n"/>
      <c r="Z444" s="65" t="n"/>
      <c r="AA444" s="65" t="n"/>
      <c r="AB444" s="65" t="n"/>
      <c r="AC444" s="65" t="n"/>
      <c r="AD444" s="65" t="n"/>
      <c r="AE444" s="65" t="n"/>
      <c r="AF444" s="69" t="n">
        <v>1550000</v>
      </c>
      <c r="AG444" s="65" t="n"/>
      <c r="AH444" s="65" t="n"/>
      <c r="AI444" s="65" t="n"/>
      <c r="AJ444" s="65" t="n"/>
      <c r="AK444" s="65" t="n"/>
      <c r="AL444" s="65" t="n"/>
      <c r="AM444" s="65" t="n"/>
      <c r="AN444" s="65" t="n"/>
      <c r="AO444" s="65" t="n"/>
      <c r="AP444" s="65" t="n"/>
      <c r="AQ444" s="65" t="n"/>
      <c r="AR444" s="65" t="n"/>
      <c r="AS444" s="65" t="n"/>
      <c r="AT444" s="65" t="n"/>
      <c r="AU444" s="65" t="n"/>
      <c r="AV444" s="65" t="n"/>
      <c r="AW444" s="65" t="n"/>
      <c r="AX444" s="65" t="n"/>
      <c r="AY444" s="65" t="n"/>
      <c r="AZ444" s="65" t="n"/>
      <c r="BA444" s="65" t="n"/>
      <c r="BB444" s="65" t="n"/>
      <c r="BC444" s="65" t="n"/>
      <c r="BD444" s="65" t="n"/>
      <c r="BE444" s="65" t="n"/>
      <c r="BF444" s="65" t="n"/>
      <c r="BG444" s="65" t="n"/>
    </row>
    <row r="445">
      <c r="B445" s="1" t="inlineStr">
        <is>
          <t>盛岡PJ</t>
        </is>
      </c>
      <c r="C445" s="1" t="inlineStr">
        <is>
          <t>TOSEI</t>
        </is>
      </c>
      <c r="D445" s="1" t="inlineStr">
        <is>
          <t>ダクト工事（2期）</t>
        </is>
      </c>
      <c r="E445" s="2" t="inlineStr">
        <is>
          <t>11月</t>
        </is>
      </c>
      <c r="F445" s="68" t="n">
        <v>190000</v>
      </c>
      <c r="G445" s="68">
        <f>IF(B445="","",F445-I445 )</f>
        <v/>
      </c>
      <c r="H445" s="5">
        <f>IF(G445="","",G445/F445)</f>
        <v/>
      </c>
      <c r="I445" s="62">
        <f>SUM(テーブル9[[#This Row],[五大]:[工場材]])</f>
        <v/>
      </c>
      <c r="J445" s="65" t="n"/>
      <c r="K445" s="65" t="n"/>
      <c r="L445" s="65" t="n"/>
      <c r="M445" s="65" t="n"/>
      <c r="N445" s="65" t="n"/>
      <c r="O445" s="69" t="n"/>
      <c r="P445" s="65" t="n"/>
      <c r="Q445" s="65" t="n"/>
      <c r="R445" s="65" t="n"/>
      <c r="S445" s="65" t="n"/>
      <c r="T445" s="65" t="n"/>
      <c r="U445" s="65" t="n"/>
      <c r="V445" s="65" t="n"/>
      <c r="W445" s="69" t="n"/>
      <c r="X445" s="66" t="n"/>
      <c r="Y445" s="65" t="n"/>
      <c r="Z445" s="65" t="n"/>
      <c r="AA445" s="65" t="n"/>
      <c r="AB445" s="65" t="n"/>
      <c r="AC445" s="65" t="n"/>
      <c r="AD445" s="65" t="n"/>
      <c r="AE445" s="65" t="n"/>
      <c r="AF445" s="73" t="n">
        <v>150000</v>
      </c>
      <c r="AG445" s="65" t="n"/>
      <c r="AH445" s="65" t="n"/>
      <c r="AI445" s="65" t="n"/>
      <c r="AJ445" s="65" t="n"/>
      <c r="AK445" s="65" t="n"/>
      <c r="AL445" s="65" t="n"/>
      <c r="AM445" s="65" t="n"/>
      <c r="AN445" s="65" t="n"/>
      <c r="AO445" s="65" t="n"/>
      <c r="AP445" s="65" t="n"/>
      <c r="AQ445" s="65" t="n"/>
      <c r="AR445" s="65" t="n"/>
      <c r="AS445" s="65" t="n"/>
      <c r="AT445" s="65" t="n"/>
      <c r="AU445" s="65" t="n"/>
      <c r="AV445" s="65" t="n"/>
      <c r="AW445" s="65" t="n"/>
      <c r="AX445" s="65" t="n"/>
      <c r="AY445" s="65" t="n"/>
      <c r="AZ445" s="65" t="n"/>
      <c r="BA445" s="65" t="n"/>
      <c r="BB445" s="65" t="n"/>
      <c r="BC445" s="65" t="n"/>
      <c r="BD445" s="65" t="n"/>
      <c r="BE445" s="65" t="n"/>
      <c r="BF445" s="65" t="n"/>
      <c r="BG445" s="65" t="n"/>
    </row>
    <row r="446">
      <c r="B446" s="1" t="inlineStr">
        <is>
          <t>シャーメゾンシャングリラ</t>
        </is>
      </c>
      <c r="E446" s="2" t="inlineStr">
        <is>
          <t>11月</t>
        </is>
      </c>
      <c r="F446" s="68" t="n">
        <v>338000</v>
      </c>
      <c r="G446" s="68">
        <f>IF(B446="","",F446-I446 )</f>
        <v/>
      </c>
      <c r="H446" s="5">
        <f>IF(G446="","",G446/F446)</f>
        <v/>
      </c>
      <c r="I446" s="62">
        <f>SUM(テーブル9[[#This Row],[五大]:[工場材]])</f>
        <v/>
      </c>
      <c r="J446" s="69" t="n">
        <v>65000</v>
      </c>
      <c r="K446" s="65" t="n"/>
      <c r="L446" s="65" t="n"/>
      <c r="M446" s="65" t="n"/>
      <c r="N446" s="65" t="n"/>
      <c r="O446" s="69" t="n"/>
      <c r="P446" s="65" t="n"/>
      <c r="Q446" s="65" t="n"/>
      <c r="R446" s="65" t="n"/>
      <c r="S446" s="65" t="n"/>
      <c r="T446" s="65" t="n"/>
      <c r="U446" s="65" t="n"/>
      <c r="V446" s="65" t="n"/>
      <c r="W446" s="69" t="n">
        <v>80000</v>
      </c>
      <c r="X446" s="66" t="n"/>
      <c r="Y446" s="65" t="n"/>
      <c r="Z446" s="65" t="n"/>
      <c r="AA446" s="65" t="n"/>
      <c r="AB446" s="65" t="n"/>
      <c r="AC446" s="65" t="n"/>
      <c r="AD446" s="65" t="n"/>
      <c r="AE446" s="65" t="n"/>
      <c r="AF446" s="65" t="n"/>
      <c r="AG446" s="65" t="n"/>
      <c r="AH446" s="65" t="n"/>
      <c r="AI446" s="65" t="n"/>
      <c r="AJ446" s="65" t="n"/>
      <c r="AK446" s="65" t="n"/>
      <c r="AL446" s="65" t="n"/>
      <c r="AM446" s="65" t="n"/>
      <c r="AN446" s="65" t="n"/>
      <c r="AO446" s="65" t="n"/>
      <c r="AP446" s="65" t="n"/>
      <c r="AQ446" s="65" t="n"/>
      <c r="AR446" s="65" t="n"/>
      <c r="AS446" s="65" t="n"/>
      <c r="AT446" s="65" t="n"/>
      <c r="AU446" s="65" t="n"/>
      <c r="AV446" s="65" t="n"/>
      <c r="AW446" s="65" t="n"/>
      <c r="AX446" s="65" t="n"/>
      <c r="AY446" s="65" t="n"/>
      <c r="AZ446" s="65" t="n"/>
      <c r="BA446" s="65" t="n"/>
      <c r="BB446" s="65" t="n"/>
      <c r="BC446" s="65" t="n"/>
      <c r="BD446" s="65" t="n"/>
      <c r="BE446" s="65" t="n"/>
      <c r="BF446" s="65" t="n"/>
      <c r="BG446" s="65" t="n">
        <v>80000</v>
      </c>
    </row>
    <row r="447">
      <c r="B447" s="1" t="inlineStr">
        <is>
          <t>加美町 萩野邸</t>
        </is>
      </c>
      <c r="C447" s="1" t="inlineStr">
        <is>
          <t>LIXIL</t>
        </is>
      </c>
      <c r="D447" s="1" t="inlineStr">
        <is>
          <t>トイレ改修</t>
        </is>
      </c>
      <c r="E447" s="2" t="inlineStr">
        <is>
          <t>12月</t>
        </is>
      </c>
      <c r="F447" s="68" t="n">
        <v>124000</v>
      </c>
      <c r="G447" s="68">
        <f>IF(B447="","",F447-I447 )</f>
        <v/>
      </c>
      <c r="H447" s="5">
        <f>IF(G447="","",G447/F447)</f>
        <v/>
      </c>
      <c r="I447" s="62">
        <f>SUM(テーブル9[[#This Row],[五大]:[工場材]])</f>
        <v/>
      </c>
      <c r="J447" s="65" t="n"/>
      <c r="K447" s="65" t="n"/>
      <c r="L447" s="65" t="n"/>
      <c r="M447" s="65" t="n"/>
      <c r="N447" s="65" t="n"/>
      <c r="O447" s="69" t="n"/>
      <c r="P447" s="65" t="n"/>
      <c r="Q447" s="65" t="n"/>
      <c r="R447" s="65" t="n"/>
      <c r="S447" s="65" t="n"/>
      <c r="T447" s="65" t="n"/>
      <c r="U447" s="65" t="n"/>
      <c r="V447" s="65" t="n"/>
      <c r="W447" s="65" t="n">
        <v>45000</v>
      </c>
      <c r="X447" s="66" t="n"/>
      <c r="Y447" s="65" t="n"/>
      <c r="Z447" s="65" t="n"/>
      <c r="AA447" s="69" t="n"/>
      <c r="AB447" s="69" t="n">
        <v>35000</v>
      </c>
      <c r="AC447" s="69" t="n"/>
      <c r="AD447" s="69" t="n"/>
      <c r="AE447" s="69" t="n"/>
      <c r="AF447" s="69" t="n"/>
      <c r="AG447" s="69" t="n"/>
      <c r="AH447" s="69" t="n">
        <v>30000</v>
      </c>
      <c r="AI447" s="65" t="n"/>
      <c r="AJ447" s="65" t="n"/>
      <c r="AK447" s="65" t="n"/>
      <c r="AL447" s="65" t="n"/>
      <c r="AM447" s="65" t="n"/>
      <c r="AN447" s="65" t="n"/>
      <c r="AO447" s="65" t="n"/>
      <c r="AP447" s="65" t="n"/>
      <c r="AQ447" s="65" t="n"/>
      <c r="AR447" s="65" t="n"/>
      <c r="AS447" s="65" t="n"/>
      <c r="AT447" s="65" t="n"/>
      <c r="AU447" s="65" t="n"/>
      <c r="AV447" s="65" t="n"/>
      <c r="AW447" s="65" t="n"/>
      <c r="AX447" s="65" t="n"/>
      <c r="AY447" s="65" t="n"/>
      <c r="AZ447" s="65" t="n"/>
      <c r="BA447" s="65" t="n"/>
      <c r="BB447" s="65" t="n"/>
      <c r="BC447" s="65" t="n"/>
      <c r="BD447" s="65" t="n"/>
      <c r="BE447" s="65" t="n"/>
      <c r="BF447" s="65" t="n"/>
      <c r="BG447" s="65" t="n"/>
    </row>
    <row r="448">
      <c r="B448" s="1" t="inlineStr">
        <is>
          <t>南光台 森谷邸</t>
        </is>
      </c>
      <c r="C448" s="1" t="inlineStr">
        <is>
          <t>光和工業</t>
        </is>
      </c>
      <c r="D448" s="1" t="inlineStr">
        <is>
          <t>和室改修工事</t>
        </is>
      </c>
      <c r="E448" s="2" t="inlineStr">
        <is>
          <t>12月</t>
        </is>
      </c>
      <c r="F448" s="68" t="n">
        <v>1050000</v>
      </c>
      <c r="G448" s="68">
        <f>IF(B448="","",F448-I448 )</f>
        <v/>
      </c>
      <c r="H448" s="5">
        <f>IF(G448="","",G448/F448)</f>
        <v/>
      </c>
      <c r="I448" s="62">
        <f>SUM(テーブル9[[#This Row],[五大]:[工場材]])</f>
        <v/>
      </c>
      <c r="J448" s="65" t="n"/>
      <c r="K448" s="65" t="n"/>
      <c r="L448" s="65" t="n"/>
      <c r="M448" s="65" t="n"/>
      <c r="N448" s="65" t="n"/>
      <c r="O448" s="69" t="n">
        <v>30000</v>
      </c>
      <c r="P448" s="65" t="n"/>
      <c r="Q448" s="65" t="n"/>
      <c r="R448" s="65" t="n"/>
      <c r="S448" s="65" t="n"/>
      <c r="T448" s="65" t="n"/>
      <c r="U448" s="65" t="n"/>
      <c r="V448" s="65" t="n"/>
      <c r="W448" s="69" t="n">
        <v>300000</v>
      </c>
      <c r="X448" s="66" t="n">
        <v>29160</v>
      </c>
      <c r="Y448" s="65" t="n"/>
      <c r="Z448" s="65" t="n"/>
      <c r="AA448" s="69" t="n">
        <v>48000</v>
      </c>
      <c r="AB448" s="69" t="n"/>
      <c r="AC448" s="69" t="n"/>
      <c r="AD448" s="69" t="n"/>
      <c r="AE448" s="69" t="n"/>
      <c r="AF448" s="69" t="n"/>
      <c r="AG448" s="69" t="n"/>
      <c r="AH448" s="69" t="n">
        <v>67000</v>
      </c>
      <c r="AI448" s="65" t="n"/>
      <c r="AJ448" s="65" t="n"/>
      <c r="AK448" s="65" t="n"/>
      <c r="AL448" s="65" t="n"/>
      <c r="AM448" s="65" t="n"/>
      <c r="AN448" s="65" t="n"/>
      <c r="AO448" s="65" t="n"/>
      <c r="AP448" s="65" t="n"/>
      <c r="AQ448" s="65" t="n"/>
      <c r="AR448" s="65" t="n"/>
      <c r="AS448" s="65" t="n"/>
      <c r="AT448" s="65" t="n"/>
      <c r="AU448" s="65" t="n"/>
      <c r="AV448" s="65" t="n"/>
      <c r="AW448" s="65" t="n"/>
      <c r="AX448" s="65" t="n"/>
      <c r="AY448" s="65" t="n"/>
      <c r="AZ448" s="65">
        <f>13000*5</f>
        <v/>
      </c>
      <c r="BA448" s="65" t="n"/>
      <c r="BB448" s="65" t="n"/>
      <c r="BC448" s="65" t="n"/>
      <c r="BD448" s="65" t="n"/>
      <c r="BE448" s="65" t="n"/>
      <c r="BF448" s="65" t="n"/>
      <c r="BG448" s="65" t="n"/>
    </row>
    <row r="449">
      <c r="B449" s="1" t="inlineStr">
        <is>
          <t>シャインコート苦竹</t>
        </is>
      </c>
      <c r="C449" s="1" t="inlineStr">
        <is>
          <t>光和工業</t>
        </is>
      </c>
      <c r="D449" s="1" t="inlineStr">
        <is>
          <t>コイン新築工事</t>
        </is>
      </c>
      <c r="E449" s="2" t="inlineStr">
        <is>
          <t>2月</t>
        </is>
      </c>
      <c r="F449" s="68" t="n">
        <v>4000000</v>
      </c>
      <c r="G449" s="68">
        <f>IF(B449="","",F449-I449 )</f>
        <v/>
      </c>
      <c r="H449" s="5">
        <f>IF(G449="","",G449/F449)</f>
        <v/>
      </c>
      <c r="I449" s="62">
        <f>SUM(テーブル9[[#This Row],[五大]:[工場材]])</f>
        <v/>
      </c>
      <c r="J449" s="65" t="n"/>
      <c r="K449" s="65" t="n"/>
      <c r="L449" s="65" t="n"/>
      <c r="M449" s="65" t="n"/>
      <c r="N449" s="65" t="n"/>
      <c r="O449" s="69" t="n">
        <v>120000</v>
      </c>
      <c r="P449" s="65" t="n"/>
      <c r="Q449" s="65" t="n"/>
      <c r="R449" s="65" t="n"/>
      <c r="S449" s="65" t="n"/>
      <c r="T449" s="65" t="n"/>
      <c r="U449" s="69" t="n">
        <v>185000</v>
      </c>
      <c r="V449" s="65" t="n"/>
      <c r="W449" s="69" t="n">
        <v>150000</v>
      </c>
      <c r="X449" s="66" t="n">
        <v>121185</v>
      </c>
      <c r="Y449" s="65" t="n"/>
      <c r="Z449" s="65" t="n"/>
      <c r="AA449" s="69" t="n">
        <v>650000</v>
      </c>
      <c r="AB449" s="69" t="n">
        <v>544000</v>
      </c>
      <c r="AC449" s="65" t="n"/>
      <c r="AD449" s="65" t="n"/>
      <c r="AE449" s="69" t="n">
        <v>220000</v>
      </c>
      <c r="AF449" s="69" t="n">
        <v>1000000</v>
      </c>
      <c r="AG449" s="65" t="n"/>
      <c r="AH449" s="69" t="n">
        <v>60000</v>
      </c>
      <c r="AI449" s="65" t="n"/>
      <c r="AJ449" s="69" t="n">
        <v>25000</v>
      </c>
      <c r="AK449" s="65" t="n"/>
      <c r="AL449" s="65" t="n"/>
      <c r="AM449" s="65" t="n"/>
      <c r="AN449" s="69" t="n">
        <v>19500</v>
      </c>
      <c r="AO449" s="65" t="n"/>
      <c r="AP449" s="69">
        <f>55210+155420</f>
        <v/>
      </c>
      <c r="AQ449" s="69" t="n"/>
      <c r="AR449" s="65" t="n">
        <v>154650</v>
      </c>
      <c r="AS449" s="65" t="n"/>
      <c r="AT449" s="65" t="n"/>
      <c r="AU449" s="65" t="n"/>
      <c r="AV449" s="65" t="n"/>
      <c r="AW449" s="65" t="n"/>
      <c r="AX449" s="65" t="n"/>
      <c r="AY449" s="65" t="n"/>
      <c r="AZ449" s="65" t="n"/>
      <c r="BA449" s="65" t="n"/>
      <c r="BB449" s="65" t="n"/>
      <c r="BC449" s="65" t="n"/>
      <c r="BD449" s="65" t="n"/>
      <c r="BE449" s="65" t="n"/>
      <c r="BF449" s="65" t="n"/>
      <c r="BG449" s="64" t="n">
        <v>152438</v>
      </c>
    </row>
    <row r="450">
      <c r="B450" s="1" t="inlineStr">
        <is>
          <t>支倉パークホームズ1002</t>
        </is>
      </c>
      <c r="C450" s="1" t="inlineStr">
        <is>
          <t>LIXIL</t>
        </is>
      </c>
      <c r="D450" s="1" t="inlineStr">
        <is>
          <t>UB入替</t>
        </is>
      </c>
      <c r="E450" s="2" t="inlineStr">
        <is>
          <t>2月</t>
        </is>
      </c>
      <c r="F450" s="68" t="n">
        <v>310618</v>
      </c>
      <c r="G450" s="68">
        <f>IF(B450="","",F450-I450 )</f>
        <v/>
      </c>
      <c r="H450" s="5">
        <f>IF(G450="","",G450/F450)</f>
        <v/>
      </c>
      <c r="I450" s="62">
        <f>SUM(テーブル9[[#This Row],[五大]:[工場材]])</f>
        <v/>
      </c>
      <c r="J450" s="65" t="n"/>
      <c r="K450" s="65" t="n"/>
      <c r="L450" s="65" t="n"/>
      <c r="M450" s="65" t="n"/>
      <c r="N450" s="65" t="n"/>
      <c r="O450" s="69" t="n"/>
      <c r="P450" s="65" t="n"/>
      <c r="Q450" s="65" t="n"/>
      <c r="R450" s="65" t="n"/>
      <c r="S450" s="65" t="n"/>
      <c r="T450" s="65" t="n"/>
      <c r="U450" s="65" t="n"/>
      <c r="V450" s="65" t="n"/>
      <c r="W450" s="65" t="n">
        <v>80000</v>
      </c>
      <c r="X450" s="66" t="n">
        <v>15914</v>
      </c>
      <c r="Y450" s="65" t="n"/>
      <c r="Z450" s="65" t="n"/>
      <c r="AA450" s="69" t="n">
        <v>35000</v>
      </c>
      <c r="AB450" s="69" t="n">
        <v>85000</v>
      </c>
      <c r="AC450" s="65" t="n"/>
      <c r="AD450" s="65" t="n"/>
      <c r="AE450" s="65" t="n"/>
      <c r="AF450" s="65" t="n"/>
      <c r="AG450" s="65" t="n"/>
      <c r="AH450" s="69" t="n">
        <v>35000</v>
      </c>
      <c r="AI450" s="65" t="n"/>
      <c r="AJ450" s="65" t="n"/>
      <c r="AK450" s="65" t="n"/>
      <c r="AL450" s="65" t="n"/>
      <c r="AM450" s="65" t="n"/>
      <c r="AN450" s="65" t="n"/>
      <c r="AO450" s="65" t="n"/>
      <c r="AP450" s="65" t="n"/>
      <c r="AQ450" s="65" t="n"/>
      <c r="AR450" s="65" t="n"/>
      <c r="AS450" s="65" t="n"/>
      <c r="AT450" s="65" t="n"/>
      <c r="AU450" s="65" t="n"/>
      <c r="AV450" s="65" t="n"/>
      <c r="AW450" s="65" t="n"/>
      <c r="AX450" s="65" t="n"/>
      <c r="AY450" s="65" t="n"/>
      <c r="AZ450" s="65" t="n"/>
      <c r="BA450" s="65" t="n"/>
      <c r="BB450" s="65" t="n"/>
      <c r="BC450" s="65" t="n"/>
      <c r="BD450" s="65" t="n"/>
      <c r="BE450" s="65" t="n"/>
      <c r="BF450" s="65" t="n"/>
      <c r="BG450" s="65" t="n"/>
    </row>
    <row r="451">
      <c r="F451" s="68" t="n"/>
      <c r="G451" s="68">
        <f>IF(B451="","",F451-I451 )</f>
        <v/>
      </c>
      <c r="H451" s="5">
        <f>IF(G451="","",G451/F451)</f>
        <v/>
      </c>
      <c r="I451" s="62">
        <f>SUM(テーブル9[[#This Row],[五大]:[工場材]])</f>
        <v/>
      </c>
      <c r="J451" s="65" t="n"/>
      <c r="K451" s="65" t="n"/>
      <c r="L451" s="65" t="n"/>
      <c r="M451" s="65" t="n"/>
      <c r="N451" s="65" t="n"/>
      <c r="O451" s="69" t="n"/>
      <c r="P451" s="65" t="n"/>
      <c r="Q451" s="65" t="n"/>
      <c r="R451" s="65" t="n"/>
      <c r="S451" s="65" t="n"/>
      <c r="T451" s="65" t="n"/>
      <c r="U451" s="65" t="n"/>
      <c r="V451" s="65" t="n"/>
      <c r="W451" s="65" t="n"/>
      <c r="X451" s="66" t="n"/>
      <c r="Y451" s="65" t="n"/>
      <c r="Z451" s="65" t="n"/>
      <c r="AA451" s="65" t="n"/>
      <c r="AB451" s="65" t="n"/>
      <c r="AC451" s="65" t="n"/>
      <c r="AD451" s="65" t="n"/>
      <c r="AE451" s="65" t="n"/>
      <c r="AF451" s="65" t="n"/>
      <c r="AG451" s="65" t="n"/>
      <c r="AH451" s="65" t="n"/>
      <c r="AI451" s="65" t="n"/>
      <c r="AJ451" s="65" t="n"/>
      <c r="AK451" s="65" t="n"/>
      <c r="AL451" s="65" t="n"/>
      <c r="AM451" s="65" t="n"/>
      <c r="AN451" s="65" t="n"/>
      <c r="AO451" s="65" t="n"/>
      <c r="AP451" s="65" t="n"/>
      <c r="AQ451" s="65" t="n"/>
      <c r="AR451" s="65" t="n"/>
      <c r="AS451" s="65" t="n"/>
      <c r="AT451" s="65" t="n"/>
      <c r="AU451" s="65" t="n"/>
      <c r="AV451" s="65" t="n"/>
      <c r="AW451" s="65" t="n"/>
      <c r="AX451" s="65" t="n"/>
      <c r="AY451" s="65" t="n"/>
      <c r="AZ451" s="65" t="n"/>
      <c r="BA451" s="65" t="n"/>
      <c r="BB451" s="65" t="n"/>
      <c r="BC451" s="65" t="n"/>
      <c r="BD451" s="65" t="n"/>
      <c r="BE451" s="65" t="n"/>
      <c r="BF451" s="65" t="n"/>
      <c r="BG451" s="65" t="n"/>
    </row>
    <row r="452">
      <c r="A452" s="0" t="inlineStr">
        <is>
          <t>R5.10</t>
        </is>
      </c>
      <c r="B452" s="1" t="inlineStr">
        <is>
          <t>遠藤マタニティクリニック</t>
        </is>
      </c>
      <c r="C452" s="1" t="inlineStr">
        <is>
          <t>サステム</t>
        </is>
      </c>
      <c r="D452" s="1" t="inlineStr">
        <is>
          <t>換気扇工事</t>
        </is>
      </c>
      <c r="E452" s="2" t="inlineStr">
        <is>
          <t>1月</t>
        </is>
      </c>
      <c r="F452" s="68" t="n">
        <v>350000</v>
      </c>
      <c r="G452" s="68">
        <f>IF(B452="","",F452-I452 )</f>
        <v/>
      </c>
      <c r="H452" s="5">
        <f>IF(G452="","",G452/F452)</f>
        <v/>
      </c>
      <c r="I452" s="62">
        <f>SUM(テーブル9[[#This Row],[五大]:[工場材]])</f>
        <v/>
      </c>
      <c r="J452" s="65" t="n"/>
      <c r="K452" s="65" t="n"/>
      <c r="L452" s="65" t="n"/>
      <c r="M452" s="65" t="n"/>
      <c r="N452" s="65" t="n"/>
      <c r="O452" s="69" t="n"/>
      <c r="P452" s="65" t="n"/>
      <c r="Q452" s="65" t="n"/>
      <c r="R452" s="65" t="n"/>
      <c r="S452" s="65" t="n"/>
      <c r="T452" s="65" t="n"/>
      <c r="U452" s="65" t="n"/>
      <c r="V452" s="65" t="n"/>
      <c r="W452" s="65" t="n"/>
      <c r="X452" s="66" t="n"/>
      <c r="Y452" s="65" t="n"/>
      <c r="Z452" s="65" t="n"/>
      <c r="AA452" s="65" t="n">
        <v>75000</v>
      </c>
      <c r="AB452" s="65" t="n">
        <v>235000</v>
      </c>
      <c r="AC452" s="65" t="n"/>
      <c r="AD452" s="65" t="n"/>
      <c r="AE452" s="65" t="n"/>
      <c r="AF452" s="65" t="n"/>
      <c r="AG452" s="65" t="n"/>
      <c r="AH452" s="65" t="n"/>
      <c r="AI452" s="65" t="n"/>
      <c r="AJ452" s="65" t="n"/>
      <c r="AK452" s="65" t="n"/>
      <c r="AL452" s="65" t="n"/>
      <c r="AM452" s="65" t="n"/>
      <c r="AN452" s="65" t="n"/>
      <c r="AO452" s="65" t="n"/>
      <c r="AP452" s="65" t="n"/>
      <c r="AQ452" s="65" t="n"/>
      <c r="AR452" s="65" t="n"/>
      <c r="AS452" s="65" t="n"/>
      <c r="AT452" s="65" t="n"/>
      <c r="AU452" s="65" t="n"/>
      <c r="AV452" s="65" t="n"/>
      <c r="AW452" s="65" t="n"/>
      <c r="AX452" s="65" t="n"/>
      <c r="AY452" s="65" t="n"/>
      <c r="AZ452" s="65" t="n"/>
      <c r="BA452" s="65" t="n"/>
      <c r="BB452" s="65" t="n"/>
      <c r="BC452" s="65" t="n"/>
      <c r="BD452" s="65" t="n"/>
      <c r="BE452" s="65" t="n"/>
      <c r="BF452" s="65" t="n"/>
      <c r="BG452" s="65" t="n"/>
    </row>
    <row r="453">
      <c r="F453" s="68" t="n"/>
      <c r="G453" s="68">
        <f>IF(B453="","",F453-I453 )</f>
        <v/>
      </c>
      <c r="H453" s="5">
        <f>IF(G453="","",G453/F453)</f>
        <v/>
      </c>
      <c r="I453" s="62">
        <f>SUM(テーブル9[[#This Row],[五大]:[工場材]])</f>
        <v/>
      </c>
      <c r="J453" s="65" t="n"/>
      <c r="K453" s="65" t="n"/>
      <c r="L453" s="65" t="n"/>
      <c r="M453" s="65" t="n"/>
      <c r="N453" s="65" t="n"/>
      <c r="O453" s="69" t="n"/>
      <c r="P453" s="65" t="n"/>
      <c r="Q453" s="65" t="n"/>
      <c r="R453" s="65" t="n"/>
      <c r="S453" s="65" t="n"/>
      <c r="T453" s="65" t="n"/>
      <c r="U453" s="65" t="n"/>
      <c r="V453" s="65" t="n"/>
      <c r="W453" s="65" t="n"/>
      <c r="X453" s="66" t="n"/>
      <c r="Y453" s="65" t="n"/>
      <c r="Z453" s="65" t="n"/>
      <c r="AA453" s="65" t="n"/>
      <c r="AB453" s="65" t="n"/>
      <c r="AC453" s="65" t="n"/>
      <c r="AD453" s="65" t="n"/>
      <c r="AE453" s="65" t="n"/>
      <c r="AF453" s="65" t="n"/>
      <c r="AG453" s="65" t="n"/>
      <c r="AH453" s="65" t="n"/>
      <c r="AI453" s="65" t="n"/>
      <c r="AJ453" s="65" t="n"/>
      <c r="AK453" s="65" t="n"/>
      <c r="AL453" s="65" t="n"/>
      <c r="AM453" s="65" t="n"/>
      <c r="AN453" s="65" t="n"/>
      <c r="AO453" s="65" t="n"/>
      <c r="AP453" s="65" t="n"/>
      <c r="AQ453" s="65" t="n"/>
      <c r="AR453" s="65" t="n"/>
      <c r="AS453" s="65" t="n"/>
      <c r="AT453" s="65" t="n"/>
      <c r="AU453" s="65" t="n"/>
      <c r="AV453" s="65" t="n"/>
      <c r="AW453" s="65" t="n"/>
      <c r="AX453" s="65" t="n"/>
      <c r="AY453" s="65" t="n"/>
      <c r="AZ453" s="65" t="n"/>
      <c r="BA453" s="65" t="n"/>
      <c r="BB453" s="65" t="n"/>
      <c r="BC453" s="65" t="n"/>
      <c r="BD453" s="65" t="n"/>
      <c r="BE453" s="65" t="n"/>
      <c r="BF453" s="65" t="n"/>
      <c r="BG453" s="65" t="n"/>
    </row>
    <row r="454">
      <c r="A454" s="0" t="inlineStr">
        <is>
          <t>R5.11</t>
        </is>
      </c>
      <c r="B454" s="1" t="inlineStr">
        <is>
          <t>フォーブル吉住</t>
        </is>
      </c>
      <c r="C454" s="1" t="inlineStr">
        <is>
          <t>積水不動産</t>
        </is>
      </c>
      <c r="D454" s="1" t="inlineStr">
        <is>
          <t>鼻隠し修繕</t>
        </is>
      </c>
      <c r="E454" s="2" t="inlineStr">
        <is>
          <t>2月</t>
        </is>
      </c>
      <c r="F454" s="68" t="n">
        <v>335000</v>
      </c>
      <c r="G454" s="68">
        <f>IF(B454="","",F454-I454 )</f>
        <v/>
      </c>
      <c r="H454" s="5">
        <f>IF(G454="","",G454/F454)</f>
        <v/>
      </c>
      <c r="I454" s="62">
        <f>SUM(テーブル9[[#This Row],[五大]:[工場材]])</f>
        <v/>
      </c>
      <c r="J454" s="69" t="n">
        <v>70000</v>
      </c>
      <c r="K454" s="65" t="n"/>
      <c r="L454" s="65" t="n"/>
      <c r="M454" s="65" t="n"/>
      <c r="N454" s="65" t="n"/>
      <c r="O454" s="69" t="n">
        <v>40000</v>
      </c>
      <c r="P454" s="65" t="n"/>
      <c r="Q454" s="65" t="n"/>
      <c r="R454" s="65" t="n"/>
      <c r="S454" s="65" t="n"/>
      <c r="T454" s="65" t="n"/>
      <c r="U454" s="65" t="n"/>
      <c r="V454" s="65" t="n"/>
      <c r="W454" s="69" t="n">
        <v>100000</v>
      </c>
      <c r="X454" s="66" t="n">
        <v>19456</v>
      </c>
      <c r="Y454" s="65" t="n"/>
      <c r="Z454" s="65" t="n"/>
      <c r="AA454" s="65" t="n"/>
      <c r="AB454" s="65" t="n"/>
      <c r="AC454" s="65" t="n"/>
      <c r="AD454" s="65" t="n"/>
      <c r="AE454" s="65" t="n"/>
      <c r="AF454" s="65" t="n"/>
      <c r="AG454" s="65" t="n"/>
      <c r="AH454" s="65" t="n"/>
      <c r="AI454" s="65" t="n"/>
      <c r="AJ454" s="65" t="n"/>
      <c r="AK454" s="65" t="n"/>
      <c r="AL454" s="65" t="n"/>
      <c r="AM454" s="65" t="n"/>
      <c r="AN454" s="65" t="n"/>
      <c r="AO454" s="65" t="n"/>
      <c r="AP454" s="65" t="n"/>
      <c r="AQ454" s="65" t="n"/>
      <c r="AR454" s="65" t="n"/>
      <c r="AS454" s="65" t="n"/>
      <c r="AT454" s="65" t="n"/>
      <c r="AU454" s="65" t="n"/>
      <c r="AV454" s="65" t="n"/>
      <c r="AW454" s="65" t="n"/>
      <c r="AX454" s="65" t="n"/>
      <c r="AY454" s="65" t="n"/>
      <c r="AZ454" s="65" t="n"/>
      <c r="BA454" s="65" t="n"/>
      <c r="BB454" s="65" t="n"/>
      <c r="BC454" s="65" t="n"/>
      <c r="BD454" s="65" t="n"/>
      <c r="BE454" s="65" t="n"/>
      <c r="BF454" s="65" t="n"/>
      <c r="BG454" s="65" t="n"/>
    </row>
    <row r="455">
      <c r="B455" s="1" t="inlineStr">
        <is>
          <t>ヴィレッジグリーン</t>
        </is>
      </c>
      <c r="C455" s="1" t="inlineStr">
        <is>
          <t>積水不動産</t>
        </is>
      </c>
      <c r="D455" s="1" t="inlineStr">
        <is>
          <t>リノベーション</t>
        </is>
      </c>
      <c r="E455" s="2" t="inlineStr">
        <is>
          <t>2月</t>
        </is>
      </c>
      <c r="F455" s="68">
        <f>1670000+46000</f>
        <v/>
      </c>
      <c r="G455" s="68">
        <f>IF(B455="","",F455-I455 )</f>
        <v/>
      </c>
      <c r="H455" s="5">
        <f>IF(G455="","",G455/F455)</f>
        <v/>
      </c>
      <c r="I455" s="62">
        <f>SUM(テーブル9[[#This Row],[五大]:[工場材]])</f>
        <v/>
      </c>
      <c r="J455" s="65" t="n"/>
      <c r="K455" s="65" t="n"/>
      <c r="L455" s="65" t="n"/>
      <c r="M455" s="65" t="n"/>
      <c r="N455" s="65" t="n"/>
      <c r="O455" s="69" t="n"/>
      <c r="P455" s="65" t="n"/>
      <c r="Q455" s="65" t="n"/>
      <c r="R455" s="65" t="n"/>
      <c r="S455" s="65" t="n"/>
      <c r="T455" s="65" t="n"/>
      <c r="U455" s="65" t="n"/>
      <c r="V455" s="65" t="n"/>
      <c r="W455" s="69" t="n">
        <v>400000</v>
      </c>
      <c r="X455" s="66" t="n">
        <v>94883</v>
      </c>
      <c r="Y455" s="65" t="n"/>
      <c r="Z455" s="65" t="n"/>
      <c r="AA455" s="69" t="n">
        <v>80800</v>
      </c>
      <c r="AB455" s="69" t="n">
        <v>43000</v>
      </c>
      <c r="AC455" s="65" t="n"/>
      <c r="AD455" s="65" t="n"/>
      <c r="AE455" s="65" t="n"/>
      <c r="AF455" s="65" t="n"/>
      <c r="AG455" s="65" t="n"/>
      <c r="AH455" s="69" t="n">
        <v>311440</v>
      </c>
      <c r="AI455" s="65" t="n"/>
      <c r="AJ455" s="65" t="n"/>
      <c r="AK455" s="65" t="n"/>
      <c r="AL455" s="65" t="n"/>
      <c r="AM455" s="65" t="n"/>
      <c r="AN455" s="65" t="n"/>
      <c r="AO455" s="65" t="n"/>
      <c r="AP455" s="69">
        <f>112120-6000-14800-9600</f>
        <v/>
      </c>
      <c r="AQ455" s="69" t="n"/>
      <c r="AR455" s="65" t="n"/>
      <c r="AS455" s="65" t="n"/>
      <c r="AT455" s="65" t="n"/>
      <c r="AU455" s="65" t="n"/>
      <c r="AV455" s="65" t="n"/>
      <c r="AW455" s="65" t="n"/>
      <c r="AX455" s="65" t="n"/>
      <c r="AY455" s="65" t="n"/>
      <c r="AZ455" s="65" t="n"/>
      <c r="BA455" s="65" t="n"/>
      <c r="BB455" s="65" t="n"/>
      <c r="BC455" s="65" t="n"/>
      <c r="BD455" s="65" t="n"/>
      <c r="BE455" s="65" t="n"/>
      <c r="BF455" s="65" t="n"/>
      <c r="BG455" s="65" t="n"/>
    </row>
    <row r="456">
      <c r="B456" s="1" t="inlineStr">
        <is>
          <t>なんてん吉岡</t>
        </is>
      </c>
      <c r="C456" s="1" t="inlineStr">
        <is>
          <t>ウェル</t>
        </is>
      </c>
      <c r="D456" s="1" t="inlineStr">
        <is>
          <t>フローリング工事</t>
        </is>
      </c>
      <c r="E456" s="2" t="inlineStr">
        <is>
          <t>2月</t>
        </is>
      </c>
      <c r="F456" s="68" t="n">
        <v>320000</v>
      </c>
      <c r="G456" s="68">
        <f>IF(B456="","",F456-I456 )</f>
        <v/>
      </c>
      <c r="H456" s="5">
        <f>IF(G456="","",G456/F456)</f>
        <v/>
      </c>
      <c r="I456" s="62">
        <f>SUM(テーブル9[[#This Row],[五大]:[工場材]])</f>
        <v/>
      </c>
      <c r="J456" s="65" t="n"/>
      <c r="K456" s="65" t="n"/>
      <c r="L456" s="65" t="n"/>
      <c r="M456" s="65" t="n"/>
      <c r="N456" s="65" t="n"/>
      <c r="O456" s="69" t="n"/>
      <c r="P456" s="65" t="n"/>
      <c r="Q456" s="65" t="n"/>
      <c r="R456" s="65" t="n"/>
      <c r="S456" s="65" t="n"/>
      <c r="T456" s="65" t="n"/>
      <c r="U456" s="65" t="n"/>
      <c r="V456" s="65" t="n"/>
      <c r="W456" s="69" t="n">
        <v>120000</v>
      </c>
      <c r="X456" s="66" t="n">
        <v>48963</v>
      </c>
      <c r="Y456" s="65" t="n"/>
      <c r="Z456" s="65" t="n"/>
      <c r="AA456" s="65" t="n"/>
      <c r="AB456" s="65" t="n"/>
      <c r="AC456" s="65" t="n"/>
      <c r="AD456" s="65" t="n"/>
      <c r="AE456" s="65" t="n"/>
      <c r="AF456" s="65" t="n"/>
      <c r="AG456" s="65" t="n"/>
      <c r="AH456" s="65" t="n"/>
      <c r="AI456" s="65" t="n"/>
      <c r="AJ456" s="65" t="n"/>
      <c r="AK456" s="65" t="n"/>
      <c r="AL456" s="65" t="n"/>
      <c r="AM456" s="65" t="n"/>
      <c r="AN456" s="65" t="n"/>
      <c r="AO456" s="65" t="n"/>
      <c r="AP456" s="69">
        <f>61250+10500</f>
        <v/>
      </c>
      <c r="AQ456" s="69" t="n"/>
      <c r="AR456" s="65" t="n"/>
      <c r="AS456" s="65" t="n"/>
      <c r="AT456" s="65" t="n"/>
      <c r="AU456" s="65" t="n"/>
      <c r="AV456" s="65" t="n"/>
      <c r="AW456" s="65" t="n"/>
      <c r="AX456" s="65" t="n"/>
      <c r="AY456" s="65" t="n"/>
      <c r="AZ456" s="65" t="n"/>
      <c r="BA456" s="65" t="n"/>
      <c r="BB456" s="65" t="n"/>
      <c r="BC456" s="65" t="n"/>
      <c r="BD456" s="65" t="n"/>
      <c r="BE456" s="65" t="n"/>
      <c r="BF456" s="65" t="n"/>
      <c r="BG456" s="65" t="n"/>
    </row>
    <row r="457">
      <c r="B457" s="1" t="inlineStr">
        <is>
          <t>連坊　パークハウスリシェルテ804</t>
        </is>
      </c>
      <c r="C457" s="1" t="inlineStr">
        <is>
          <t>LIXIL</t>
        </is>
      </c>
      <c r="D457" s="1" t="inlineStr">
        <is>
          <t>トイレ工事</t>
        </is>
      </c>
      <c r="E457" s="2" t="inlineStr">
        <is>
          <t>2月</t>
        </is>
      </c>
      <c r="F457" s="68">
        <f>20000+10340+25000+15000+20000+14000</f>
        <v/>
      </c>
      <c r="G457" s="68">
        <f>IF(B457="","",F457-I457 )</f>
        <v/>
      </c>
      <c r="H457" s="5">
        <f>IF(G457="","",G457/F457)</f>
        <v/>
      </c>
      <c r="I457" s="62">
        <f>SUM(テーブル9[[#This Row],[五大]:[工場材]])</f>
        <v/>
      </c>
      <c r="J457" s="65" t="n"/>
      <c r="K457" s="65" t="n"/>
      <c r="L457" s="65" t="n"/>
      <c r="M457" s="65" t="n"/>
      <c r="N457" s="65" t="n"/>
      <c r="O457" s="69" t="n"/>
      <c r="P457" s="65" t="n"/>
      <c r="Q457" s="65" t="n"/>
      <c r="R457" s="65" t="n"/>
      <c r="S457" s="65" t="n"/>
      <c r="T457" s="65" t="n"/>
      <c r="U457" s="65" t="n"/>
      <c r="V457" s="65" t="n"/>
      <c r="W457" s="69" t="n">
        <v>25000</v>
      </c>
      <c r="X457" s="66" t="n"/>
      <c r="Y457" s="65" t="n"/>
      <c r="Z457" s="65" t="n"/>
      <c r="AA457" s="65" t="n"/>
      <c r="AB457" s="69" t="n">
        <v>22000</v>
      </c>
      <c r="AC457" s="65" t="n"/>
      <c r="AD457" s="65" t="n"/>
      <c r="AE457" s="65" t="n"/>
      <c r="AF457" s="65" t="n"/>
      <c r="AG457" s="65" t="n"/>
      <c r="AH457" s="69" t="n">
        <v>25000</v>
      </c>
      <c r="AI457" s="65" t="n"/>
      <c r="AJ457" s="65" t="n"/>
      <c r="AK457" s="65" t="n"/>
      <c r="AL457" s="65" t="n"/>
      <c r="AM457" s="65" t="n"/>
      <c r="AN457" s="65" t="n"/>
      <c r="AO457" s="65" t="n"/>
      <c r="AP457" s="65" t="n"/>
      <c r="AQ457" s="65" t="n"/>
      <c r="AR457" s="65" t="n"/>
      <c r="AS457" s="65" t="n"/>
      <c r="AT457" s="65" t="n"/>
      <c r="AU457" s="65" t="n"/>
      <c r="AV457" s="65" t="n"/>
      <c r="AW457" s="65" t="n"/>
      <c r="AX457" s="65" t="n"/>
      <c r="AY457" s="65" t="n"/>
      <c r="AZ457" s="65" t="n"/>
      <c r="BA457" s="65" t="n"/>
      <c r="BB457" s="65" t="n"/>
      <c r="BC457" s="65" t="n"/>
      <c r="BD457" s="65" t="n"/>
      <c r="BE457" s="65" t="n"/>
      <c r="BF457" s="65" t="n"/>
      <c r="BG457" s="65" t="n"/>
    </row>
    <row r="458">
      <c r="B458" s="1" t="inlineStr">
        <is>
          <t>ネオハイツ中野栄202</t>
        </is>
      </c>
      <c r="C458" s="1" t="inlineStr">
        <is>
          <t>LIXIL</t>
        </is>
      </c>
      <c r="D458" s="1" t="inlineStr">
        <is>
          <t>内装</t>
        </is>
      </c>
      <c r="E458" s="2" t="inlineStr">
        <is>
          <t>2月</t>
        </is>
      </c>
      <c r="F458" s="68">
        <f>50000+40000+60000+55000+10000</f>
        <v/>
      </c>
      <c r="G458" s="68">
        <f>IF(B458="","",F458-I458 )</f>
        <v/>
      </c>
      <c r="H458" s="5">
        <f>IF(G458="","",G458/F458)</f>
        <v/>
      </c>
      <c r="I458" s="62">
        <f>SUM(テーブル9[[#This Row],[五大]:[工場材]])</f>
        <v/>
      </c>
      <c r="J458" s="65" t="n"/>
      <c r="K458" s="65" t="n"/>
      <c r="L458" s="65" t="n"/>
      <c r="M458" s="65" t="n"/>
      <c r="N458" s="65" t="n"/>
      <c r="O458" s="69" t="n"/>
      <c r="P458" s="65" t="n"/>
      <c r="Q458" s="65" t="n"/>
      <c r="R458" s="65" t="n"/>
      <c r="S458" s="65" t="n"/>
      <c r="T458" s="65" t="n"/>
      <c r="U458" s="65" t="n"/>
      <c r="V458" s="65" t="n"/>
      <c r="W458" s="65" t="n"/>
      <c r="X458" s="66" t="n"/>
      <c r="Y458" s="65" t="n"/>
      <c r="Z458" s="65" t="n"/>
      <c r="AA458" s="65" t="n"/>
      <c r="AB458" s="65" t="n"/>
      <c r="AC458" s="65" t="n"/>
      <c r="AD458" s="65" t="n"/>
      <c r="AE458" s="65" t="n"/>
      <c r="AF458" s="65" t="n"/>
      <c r="AG458" s="65" t="n"/>
      <c r="AH458" s="69" t="n">
        <v>90000</v>
      </c>
      <c r="AI458" s="65" t="n"/>
      <c r="AJ458" s="65" t="n"/>
      <c r="AK458" s="65" t="n"/>
      <c r="AL458" s="65" t="n"/>
      <c r="AM458" s="65" t="n"/>
      <c r="AN458" s="65" t="n"/>
      <c r="AO458" s="65" t="n"/>
      <c r="AP458" s="65" t="n"/>
      <c r="AQ458" s="65" t="n"/>
      <c r="AR458" s="65" t="n"/>
      <c r="AS458" s="65" t="n"/>
      <c r="AT458" s="65" t="n"/>
      <c r="AU458" s="65" t="n"/>
      <c r="AV458" s="65" t="n"/>
      <c r="AW458" s="65" t="n"/>
      <c r="AX458" s="65" t="n"/>
      <c r="AY458" s="65" t="n"/>
      <c r="AZ458" s="65" t="n"/>
      <c r="BA458" s="65" t="n"/>
      <c r="BB458" s="65" t="n"/>
      <c r="BC458" s="65" t="n"/>
      <c r="BD458" s="65" t="n"/>
      <c r="BE458" s="65" t="n"/>
      <c r="BF458" s="65" t="n"/>
      <c r="BG458" s="65" t="n"/>
    </row>
    <row r="459">
      <c r="B459" s="1" t="inlineStr">
        <is>
          <t>ネオハイツ中野栄408</t>
        </is>
      </c>
      <c r="C459" s="1" t="inlineStr">
        <is>
          <t>LIXIL</t>
        </is>
      </c>
      <c r="D459" s="1" t="inlineStr">
        <is>
          <t>内装</t>
        </is>
      </c>
      <c r="E459" s="2" t="inlineStr">
        <is>
          <t>2月</t>
        </is>
      </c>
      <c r="F459" s="68" t="n"/>
      <c r="G459" s="68">
        <f>IF(B459="","",F459-I459 )</f>
        <v/>
      </c>
      <c r="H459" s="5">
        <f>IF(OR(G459="",F459=0),"",G459/F459)</f>
        <v/>
      </c>
      <c r="I459" s="62">
        <f>SUM(テーブル9[[#This Row],[五大]:[工場材]])</f>
        <v/>
      </c>
      <c r="J459" s="65" t="n"/>
      <c r="K459" s="65" t="n"/>
      <c r="L459" s="65" t="n"/>
      <c r="M459" s="65" t="n"/>
      <c r="N459" s="65" t="n"/>
      <c r="O459" s="69" t="n"/>
      <c r="P459" s="65" t="n"/>
      <c r="Q459" s="65" t="n"/>
      <c r="R459" s="65" t="n"/>
      <c r="S459" s="65" t="n"/>
      <c r="T459" s="65" t="n"/>
      <c r="U459" s="65" t="n"/>
      <c r="V459" s="65" t="n"/>
      <c r="W459" s="69" t="n">
        <v>25000</v>
      </c>
      <c r="X459" s="66" t="n"/>
      <c r="Y459" s="65" t="n"/>
      <c r="Z459" s="65" t="n"/>
      <c r="AA459" s="65" t="n"/>
      <c r="AB459" s="65" t="n"/>
      <c r="AC459" s="65" t="n"/>
      <c r="AD459" s="65" t="n"/>
      <c r="AE459" s="65" t="n"/>
      <c r="AF459" s="65" t="n"/>
      <c r="AG459" s="65" t="n"/>
      <c r="AH459" s="69" t="n">
        <v>18000</v>
      </c>
      <c r="AI459" s="65" t="n"/>
      <c r="AJ459" s="65" t="n"/>
      <c r="AK459" s="65" t="n"/>
      <c r="AL459" s="65" t="n"/>
      <c r="AM459" s="65" t="n"/>
      <c r="AN459" s="65" t="n"/>
      <c r="AO459" s="65" t="n"/>
      <c r="AP459" s="65" t="n"/>
      <c r="AQ459" s="65" t="n"/>
      <c r="AR459" s="65" t="n"/>
      <c r="AS459" s="65" t="n"/>
      <c r="AT459" s="65" t="n"/>
      <c r="AU459" s="65" t="n"/>
      <c r="AV459" s="65" t="n"/>
      <c r="AW459" s="65" t="n"/>
      <c r="AX459" s="65" t="n"/>
      <c r="AY459" s="65" t="n"/>
      <c r="AZ459" s="65" t="n"/>
      <c r="BA459" s="65" t="n"/>
      <c r="BB459" s="65" t="n"/>
      <c r="BC459" s="65" t="n"/>
      <c r="BD459" s="65" t="n"/>
      <c r="BE459" s="65" t="n"/>
      <c r="BF459" s="65" t="n"/>
      <c r="BG459" s="65" t="n"/>
    </row>
    <row r="460">
      <c r="B460" s="1" t="inlineStr">
        <is>
          <t>ふれあい富谷ホーム</t>
        </is>
      </c>
      <c r="C460" s="1" t="inlineStr">
        <is>
          <t>ふれあい</t>
        </is>
      </c>
      <c r="D460" s="1" t="inlineStr">
        <is>
          <t>TV壁掛け</t>
        </is>
      </c>
      <c r="E460" s="2" t="inlineStr">
        <is>
          <t>2月</t>
        </is>
      </c>
      <c r="F460" s="68" t="n">
        <v>145000</v>
      </c>
      <c r="G460" s="68">
        <f>IF(B460="","",F460-I460 )</f>
        <v/>
      </c>
      <c r="H460" s="5">
        <f>IF(G460="","",G460/F460)</f>
        <v/>
      </c>
      <c r="I460" s="62">
        <f>SUM(テーブル9[[#This Row],[五大]:[工場材]])</f>
        <v/>
      </c>
      <c r="J460" s="65" t="n"/>
      <c r="K460" s="65" t="n"/>
      <c r="L460" s="65" t="n"/>
      <c r="M460" s="65" t="n"/>
      <c r="N460" s="65" t="n"/>
      <c r="O460" s="69" t="n"/>
      <c r="P460" s="65" t="n"/>
      <c r="Q460" s="65" t="n"/>
      <c r="R460" s="65" t="n"/>
      <c r="S460" s="65" t="n"/>
      <c r="T460" s="65" t="n"/>
      <c r="U460" s="65" t="n"/>
      <c r="V460" s="65" t="n"/>
      <c r="W460" s="69" t="n">
        <v>35000</v>
      </c>
      <c r="X460" s="66" t="n"/>
      <c r="Y460" s="65" t="n"/>
      <c r="Z460" s="65" t="n"/>
      <c r="AA460" s="69" t="n">
        <v>35000</v>
      </c>
      <c r="AB460" s="65" t="n"/>
      <c r="AC460" s="65" t="n"/>
      <c r="AD460" s="65" t="n"/>
      <c r="AE460" s="65" t="n"/>
      <c r="AF460" s="65" t="n"/>
      <c r="AG460" s="65" t="n"/>
      <c r="AH460" s="69" t="n">
        <v>20000</v>
      </c>
      <c r="AI460" s="65" t="n"/>
      <c r="AJ460" s="65" t="n"/>
      <c r="AK460" s="65" t="n"/>
      <c r="AL460" s="65" t="n"/>
      <c r="AM460" s="65" t="n"/>
      <c r="AN460" s="65" t="n"/>
      <c r="AO460" s="65" t="n"/>
      <c r="AP460" s="65" t="n"/>
      <c r="AQ460" s="65" t="n"/>
      <c r="AR460" s="65" t="n"/>
      <c r="AS460" s="65" t="n"/>
      <c r="AT460" s="65" t="n"/>
      <c r="AU460" s="65" t="n"/>
      <c r="AV460" s="65" t="n"/>
      <c r="AW460" s="65" t="n"/>
      <c r="AX460" s="65" t="n"/>
      <c r="AY460" s="65" t="n"/>
      <c r="AZ460" s="65" t="n"/>
      <c r="BA460" s="65" t="n"/>
      <c r="BB460" s="65" t="n"/>
      <c r="BC460" s="65" t="n"/>
      <c r="BD460" s="65" t="n"/>
      <c r="BE460" s="65" t="n"/>
      <c r="BF460" s="65" t="n"/>
      <c r="BG460" s="65" t="n"/>
    </row>
    <row r="461">
      <c r="B461" s="1" t="inlineStr">
        <is>
          <t>桂　濱谷邸</t>
        </is>
      </c>
      <c r="C461" s="1" t="inlineStr">
        <is>
          <t>LIXIL</t>
        </is>
      </c>
      <c r="D461" s="1" t="inlineStr">
        <is>
          <t>塗装</t>
        </is>
      </c>
      <c r="E461" s="2" t="inlineStr">
        <is>
          <t>3月</t>
        </is>
      </c>
      <c r="F461" s="68" t="n">
        <v>1440000</v>
      </c>
      <c r="G461" s="68">
        <f>IF(B461="","",F461-I461 )</f>
        <v/>
      </c>
      <c r="H461" s="5">
        <f>IF(G461="","",G461/F461)</f>
        <v/>
      </c>
      <c r="I461" s="62">
        <f>SUM(テーブル9[[#This Row],[五大]:[工場材]])</f>
        <v/>
      </c>
      <c r="J461" s="69" t="n">
        <v>120000</v>
      </c>
      <c r="K461" s="65" t="n"/>
      <c r="L461" s="65" t="n"/>
      <c r="M461" s="65" t="n"/>
      <c r="N461" s="65" t="n"/>
      <c r="O461" s="69" t="n">
        <v>600000</v>
      </c>
      <c r="P461" s="65" t="n"/>
      <c r="Q461" s="65" t="n"/>
      <c r="R461" s="69" t="n">
        <v>95000</v>
      </c>
      <c r="S461" s="65" t="n"/>
      <c r="T461" s="65" t="n"/>
      <c r="U461" s="69" t="n">
        <v>220300</v>
      </c>
      <c r="V461" s="65" t="n"/>
      <c r="W461" s="65" t="n"/>
      <c r="X461" s="66" t="n"/>
      <c r="Y461" s="65" t="n"/>
      <c r="Z461" s="65" t="n"/>
      <c r="AA461" s="65" t="n"/>
      <c r="AB461" s="65" t="n"/>
      <c r="AC461" s="65" t="n"/>
      <c r="AD461" s="65" t="n"/>
      <c r="AE461" s="65" t="n"/>
      <c r="AF461" s="65" t="n"/>
      <c r="AG461" s="65" t="n"/>
      <c r="AH461" s="65" t="n"/>
      <c r="AI461" s="65" t="n"/>
      <c r="AJ461" s="69" t="n">
        <v>30000</v>
      </c>
      <c r="AK461" s="65" t="n"/>
      <c r="AL461" s="65" t="n"/>
      <c r="AM461" s="65" t="n"/>
      <c r="AN461" s="65" t="n"/>
      <c r="AO461" s="65" t="n"/>
      <c r="AP461" s="65" t="n"/>
      <c r="AQ461" s="65" t="n"/>
      <c r="AR461" s="65" t="n"/>
      <c r="AS461" s="65" t="n"/>
      <c r="AT461" s="65" t="n"/>
      <c r="AU461" s="65" t="n"/>
      <c r="AV461" s="65" t="n"/>
      <c r="AW461" s="65" t="n"/>
      <c r="AX461" s="65" t="n"/>
      <c r="AY461" s="65" t="n"/>
      <c r="AZ461" s="65" t="n"/>
      <c r="BA461" s="65" t="n"/>
      <c r="BB461" s="65" t="n"/>
      <c r="BC461" s="65" t="n"/>
      <c r="BD461" s="65" t="n"/>
      <c r="BE461" s="65" t="n"/>
      <c r="BF461" s="65" t="n"/>
      <c r="BG461" s="65" t="n"/>
    </row>
    <row r="462">
      <c r="F462" s="68" t="n"/>
      <c r="G462" s="68">
        <f>IF(B462="","",F462-I462 )</f>
        <v/>
      </c>
      <c r="H462" s="5">
        <f>IF(G462="","",G462/F462)</f>
        <v/>
      </c>
      <c r="I462" s="62">
        <f>SUM(テーブル9[[#This Row],[五大]:[工場材]])</f>
        <v/>
      </c>
      <c r="J462" s="65" t="n"/>
      <c r="K462" s="65" t="n"/>
      <c r="L462" s="65" t="n"/>
      <c r="M462" s="65" t="n"/>
      <c r="N462" s="65" t="n"/>
      <c r="O462" s="69" t="n"/>
      <c r="P462" s="65" t="n"/>
      <c r="Q462" s="65" t="n"/>
      <c r="R462" s="65" t="n"/>
      <c r="S462" s="65" t="n"/>
      <c r="T462" s="65" t="n"/>
      <c r="U462" s="65" t="n"/>
      <c r="V462" s="65" t="n"/>
      <c r="W462" s="65" t="n"/>
      <c r="X462" s="66" t="n"/>
      <c r="Y462" s="65" t="n"/>
      <c r="Z462" s="65" t="n"/>
      <c r="AA462" s="65" t="n"/>
      <c r="AB462" s="65" t="n"/>
      <c r="AC462" s="65" t="n"/>
      <c r="AD462" s="65" t="n"/>
      <c r="AE462" s="65" t="n"/>
      <c r="AF462" s="65" t="n"/>
      <c r="AG462" s="65" t="n"/>
      <c r="AH462" s="65" t="n"/>
      <c r="AI462" s="65" t="n"/>
      <c r="AJ462" s="65" t="n"/>
      <c r="AK462" s="65" t="n"/>
      <c r="AL462" s="65" t="n"/>
      <c r="AM462" s="65" t="n"/>
      <c r="AN462" s="65" t="n"/>
      <c r="AO462" s="65" t="n"/>
      <c r="AP462" s="65" t="n"/>
      <c r="AQ462" s="65" t="n"/>
      <c r="AR462" s="65" t="n"/>
      <c r="AS462" s="65" t="n"/>
      <c r="AT462" s="65" t="n"/>
      <c r="AU462" s="65" t="n"/>
      <c r="AV462" s="65" t="n"/>
      <c r="AW462" s="65" t="n"/>
      <c r="AX462" s="65" t="n"/>
      <c r="AY462" s="65" t="n"/>
      <c r="AZ462" s="65" t="n"/>
      <c r="BA462" s="65" t="n"/>
      <c r="BB462" s="65" t="n"/>
      <c r="BC462" s="65" t="n"/>
      <c r="BD462" s="65" t="n"/>
      <c r="BE462" s="65" t="n"/>
      <c r="BF462" s="65" t="n"/>
      <c r="BG462" s="65" t="n"/>
    </row>
    <row r="463">
      <c r="A463" s="0" t="inlineStr">
        <is>
          <t>R5.12</t>
        </is>
      </c>
      <c r="B463" s="1" t="inlineStr">
        <is>
          <t>コインランドリーじゃぶJOB</t>
        </is>
      </c>
      <c r="C463" s="1" t="inlineStr">
        <is>
          <t>まるたん企業</t>
        </is>
      </c>
      <c r="D463" s="1" t="inlineStr">
        <is>
          <t>コイン改修</t>
        </is>
      </c>
      <c r="E463" s="2" t="inlineStr">
        <is>
          <t>3月</t>
        </is>
      </c>
      <c r="F463" s="68" t="n">
        <v>820000</v>
      </c>
      <c r="G463" s="68">
        <f>IF(B463="","",F463-I463 )</f>
        <v/>
      </c>
      <c r="H463" s="5">
        <f>IF(G463="","",G463/F463)</f>
        <v/>
      </c>
      <c r="I463" s="62">
        <f>SUM(テーブル9[[#This Row],[五大]:[工場材]])</f>
        <v/>
      </c>
      <c r="J463" s="65" t="n"/>
      <c r="K463" s="65" t="n"/>
      <c r="L463" s="65" t="n"/>
      <c r="M463" s="65" t="n"/>
      <c r="N463" s="65" t="n"/>
      <c r="O463" s="69" t="n"/>
      <c r="P463" s="65" t="n"/>
      <c r="Q463" s="65" t="n"/>
      <c r="R463" s="65" t="n"/>
      <c r="S463" s="65" t="n"/>
      <c r="T463" s="65" t="n"/>
      <c r="U463" s="65" t="n"/>
      <c r="V463" s="65" t="n"/>
      <c r="W463" s="69" t="n">
        <v>100000</v>
      </c>
      <c r="X463" s="66" t="n">
        <v>35000</v>
      </c>
      <c r="Y463" s="65" t="n"/>
      <c r="Z463" s="65" t="n"/>
      <c r="AA463" s="69" t="n">
        <v>90000</v>
      </c>
      <c r="AB463" s="65" t="n"/>
      <c r="AC463" s="65" t="n"/>
      <c r="AD463" s="65" t="n"/>
      <c r="AE463" s="65" t="n"/>
      <c r="AF463" s="65" t="n"/>
      <c r="AG463" s="65" t="n"/>
      <c r="AH463" s="69" t="n">
        <v>317500</v>
      </c>
      <c r="AI463" s="65" t="n"/>
      <c r="AJ463" s="69" t="n">
        <v>40000</v>
      </c>
      <c r="AK463" s="65" t="n"/>
      <c r="AL463" s="65" t="n"/>
      <c r="AM463" s="65" t="n"/>
      <c r="AN463" s="69" t="n">
        <v>160900</v>
      </c>
      <c r="AO463" s="65" t="n"/>
      <c r="AP463" s="65" t="n"/>
      <c r="AQ463" s="65" t="n"/>
      <c r="AR463" s="65" t="n"/>
      <c r="AS463" s="65" t="n"/>
      <c r="AT463" s="65" t="n"/>
      <c r="AU463" s="65" t="n"/>
      <c r="AV463" s="65" t="n"/>
      <c r="AW463" s="65" t="n"/>
      <c r="AX463" s="65" t="n"/>
      <c r="AY463" s="65" t="n"/>
      <c r="AZ463" s="65" t="n"/>
      <c r="BA463" s="65" t="n"/>
      <c r="BB463" s="65" t="n"/>
      <c r="BC463" s="65" t="n"/>
      <c r="BD463" s="65" t="n"/>
      <c r="BE463" s="65" t="n"/>
      <c r="BF463" s="65" t="n"/>
      <c r="BG463" s="65" t="n"/>
    </row>
    <row r="464">
      <c r="B464" s="1" t="inlineStr">
        <is>
          <t>蒲生　小林邸</t>
        </is>
      </c>
      <c r="C464" s="1" t="inlineStr">
        <is>
          <t>サステム</t>
        </is>
      </c>
      <c r="D464" s="1" t="inlineStr">
        <is>
          <t>UB入替</t>
        </is>
      </c>
      <c r="E464" s="2" t="inlineStr">
        <is>
          <t>3月</t>
        </is>
      </c>
      <c r="F464" s="68" t="n">
        <v>495000</v>
      </c>
      <c r="G464" s="68">
        <f>IF(B464="","",F464-I464 )</f>
        <v/>
      </c>
      <c r="H464" s="5">
        <f>IF(G464="","",G464/F464)</f>
        <v/>
      </c>
      <c r="I464" s="62">
        <f>SUM(テーブル9[[#This Row],[五大]:[工場材]])</f>
        <v/>
      </c>
      <c r="J464" s="65" t="n"/>
      <c r="K464" s="65" t="n"/>
      <c r="L464" s="65" t="n"/>
      <c r="M464" s="65" t="n"/>
      <c r="N464" s="65" t="n"/>
      <c r="O464" s="69" t="n"/>
      <c r="P464" s="65" t="n"/>
      <c r="Q464" s="65" t="n"/>
      <c r="R464" s="65" t="n"/>
      <c r="S464" s="65" t="n"/>
      <c r="T464" s="65" t="n"/>
      <c r="U464" s="65" t="n"/>
      <c r="V464" s="65" t="n"/>
      <c r="W464" s="65" t="n">
        <v>80000</v>
      </c>
      <c r="X464" s="66" t="n">
        <v>23464</v>
      </c>
      <c r="Y464" s="65" t="n"/>
      <c r="Z464" s="65" t="n"/>
      <c r="AA464" s="69">
        <f>35000+12000</f>
        <v/>
      </c>
      <c r="AB464" s="69" t="n">
        <v>135000</v>
      </c>
      <c r="AC464" s="65" t="n"/>
      <c r="AD464" s="65" t="n"/>
      <c r="AE464" s="65" t="n"/>
      <c r="AF464" s="65" t="n"/>
      <c r="AG464" s="65" t="n"/>
      <c r="AH464" s="69" t="n">
        <v>18000</v>
      </c>
      <c r="AI464" s="65" t="n"/>
      <c r="AJ464" s="65" t="n"/>
      <c r="AK464" s="65" t="n"/>
      <c r="AL464" s="65" t="n"/>
      <c r="AM464" s="65" t="n"/>
      <c r="AN464" s="65" t="n"/>
      <c r="AO464" s="65" t="n"/>
      <c r="AP464" s="65" t="n"/>
      <c r="AQ464" s="65" t="n"/>
      <c r="AR464" s="65" t="n"/>
      <c r="AS464" s="65" t="n"/>
      <c r="AT464" s="65" t="n"/>
      <c r="AU464" s="65" t="n"/>
      <c r="AV464" s="65" t="n"/>
      <c r="AW464" s="65" t="n"/>
      <c r="AX464" s="65" t="n"/>
      <c r="AY464" s="65" t="n"/>
      <c r="AZ464" s="65" t="n"/>
      <c r="BA464" s="65" t="n"/>
      <c r="BB464" s="65" t="n"/>
      <c r="BC464" s="65" t="n"/>
      <c r="BD464" s="65" t="n"/>
      <c r="BE464" s="65" t="n"/>
      <c r="BF464" s="65" t="n"/>
      <c r="BG464" s="65" t="n"/>
    </row>
    <row r="465">
      <c r="B465" s="1" t="inlineStr">
        <is>
          <t>ほっこり</t>
        </is>
      </c>
      <c r="C465" s="1" t="inlineStr">
        <is>
          <t>ウェル</t>
        </is>
      </c>
      <c r="D465" s="1" t="inlineStr">
        <is>
          <t>改修工事</t>
        </is>
      </c>
      <c r="E465" s="2" t="inlineStr">
        <is>
          <t>3月</t>
        </is>
      </c>
      <c r="F465" s="68" t="n">
        <v>3790000</v>
      </c>
      <c r="G465" s="68">
        <f>IF(B465="","",F465-I465 )</f>
        <v/>
      </c>
      <c r="H465" s="5">
        <f>IF(G465="","",G465/F465)</f>
        <v/>
      </c>
      <c r="I465" s="62">
        <f>SUM(テーブル9[[#This Row],[五大]:[工場材]])</f>
        <v/>
      </c>
      <c r="J465" s="65" t="n"/>
      <c r="K465" s="65" t="n"/>
      <c r="L465" s="65" t="n"/>
      <c r="M465" s="65" t="n"/>
      <c r="N465" s="65" t="n"/>
      <c r="O465" s="69" t="n"/>
      <c r="P465" s="65" t="n"/>
      <c r="Q465" s="65" t="n"/>
      <c r="R465" s="65" t="n"/>
      <c r="S465" s="65" t="n"/>
      <c r="T465" s="65" t="n"/>
      <c r="U465" s="65" t="n"/>
      <c r="V465" s="65" t="n"/>
      <c r="W465" s="69" t="n">
        <v>600000</v>
      </c>
      <c r="X465" s="69" t="n">
        <v>217271</v>
      </c>
      <c r="Y465" s="65" t="n"/>
      <c r="Z465" s="65" t="n"/>
      <c r="AA465" s="69" t="n">
        <v>250000</v>
      </c>
      <c r="AB465" s="69" t="n">
        <v>942500</v>
      </c>
      <c r="AC465" s="65" t="n"/>
      <c r="AD465" s="65" t="n"/>
      <c r="AE465" s="65" t="n"/>
      <c r="AF465" s="65" t="n"/>
      <c r="AG465" s="65" t="n"/>
      <c r="AH465" s="69" t="n">
        <v>197500</v>
      </c>
      <c r="AI465" s="65" t="n"/>
      <c r="AJ465" s="69" t="n">
        <v>80000</v>
      </c>
      <c r="AK465" s="65" t="n"/>
      <c r="AL465" s="65" t="n"/>
      <c r="AM465" s="65" t="n"/>
      <c r="AN465" s="65" t="n"/>
      <c r="AO465" s="65" t="n"/>
      <c r="AP465" s="69">
        <f>17310+17340+30765+1290+990+34620+31680+61530+2580+17310+17340+30765+1290+990+5370+16875+104000+5376+3080+29600+7326+7194+1584+22572+18942+6831+3960+1914+12771+8613+13365+2890+2600+8000+14610+17340+4950-34620-31680-30765-1290</f>
        <v/>
      </c>
      <c r="AQ465" s="69" t="n"/>
      <c r="AR465" s="65" t="n"/>
      <c r="AS465" s="65" t="n"/>
      <c r="AT465" s="65" t="n"/>
      <c r="AU465" s="65" t="n"/>
      <c r="AV465" s="65" t="n"/>
      <c r="AW465" s="65" t="n"/>
      <c r="AX465" s="65" t="n"/>
      <c r="AY465" s="65" t="n"/>
      <c r="AZ465" s="65" t="n"/>
      <c r="BA465" s="65" t="n"/>
      <c r="BB465" s="65" t="n"/>
      <c r="BC465" s="65" t="n"/>
      <c r="BD465" s="65" t="n"/>
      <c r="BE465" s="65" t="n"/>
      <c r="BF465" s="65" t="n"/>
      <c r="BG465" s="64">
        <f>140000+13400+74000+25000+7600+15000</f>
        <v/>
      </c>
    </row>
    <row r="466">
      <c r="F466" s="68" t="n"/>
      <c r="G466" s="68">
        <f>IF(B466="","",F466-I466 )</f>
        <v/>
      </c>
      <c r="H466" s="5">
        <f>IF(G466="","",G466/F466)</f>
        <v/>
      </c>
      <c r="I466" s="62">
        <f>SUM(テーブル9[[#This Row],[五大]:[工場材]])</f>
        <v/>
      </c>
      <c r="J466" s="65" t="n"/>
      <c r="K466" s="65" t="n"/>
      <c r="L466" s="65" t="n"/>
      <c r="M466" s="65" t="n"/>
      <c r="N466" s="65" t="n"/>
      <c r="O466" s="69" t="n"/>
      <c r="P466" s="65" t="n"/>
      <c r="Q466" s="65" t="n"/>
      <c r="R466" s="65" t="n"/>
      <c r="S466" s="65" t="n"/>
      <c r="T466" s="65" t="n"/>
      <c r="U466" s="65" t="n"/>
      <c r="V466" s="65" t="n"/>
      <c r="W466" s="65" t="n"/>
      <c r="X466" s="66" t="n"/>
      <c r="Y466" s="65" t="n"/>
      <c r="Z466" s="65" t="n"/>
      <c r="AA466" s="65" t="n"/>
      <c r="AB466" s="65" t="n"/>
      <c r="AC466" s="65" t="n"/>
      <c r="AD466" s="65" t="n"/>
      <c r="AE466" s="65" t="n"/>
      <c r="AF466" s="65" t="n"/>
      <c r="AG466" s="65" t="n"/>
      <c r="AH466" s="65" t="n"/>
      <c r="AI466" s="65" t="n"/>
      <c r="AJ466" s="65" t="n"/>
      <c r="AK466" s="65" t="n"/>
      <c r="AL466" s="65" t="n"/>
      <c r="AM466" s="65" t="n"/>
      <c r="AN466" s="65" t="n"/>
      <c r="AO466" s="65" t="n"/>
      <c r="AP466" s="65" t="n"/>
      <c r="AQ466" s="65" t="n"/>
      <c r="AR466" s="65" t="n"/>
      <c r="AS466" s="65" t="n"/>
      <c r="AT466" s="65" t="n"/>
      <c r="AU466" s="65" t="n"/>
      <c r="AV466" s="65" t="n"/>
      <c r="AW466" s="65" t="n"/>
      <c r="AX466" s="65" t="n"/>
      <c r="AY466" s="65" t="n"/>
      <c r="AZ466" s="65" t="n"/>
      <c r="BA466" s="65" t="n"/>
      <c r="BB466" s="65" t="n"/>
      <c r="BC466" s="65" t="n"/>
      <c r="BD466" s="65" t="n"/>
      <c r="BE466" s="65" t="n"/>
      <c r="BF466" s="65" t="n"/>
      <c r="BG466" s="65" t="n"/>
    </row>
    <row r="467">
      <c r="A467" s="0" t="inlineStr">
        <is>
          <t>R6.3</t>
        </is>
      </c>
      <c r="B467" s="1" t="inlineStr">
        <is>
          <t>ハイツAB 3年目</t>
        </is>
      </c>
      <c r="C467" s="1" t="inlineStr">
        <is>
          <t>光和工業</t>
        </is>
      </c>
      <c r="D467" s="1" t="inlineStr">
        <is>
          <t>3部屋工事</t>
        </is>
      </c>
      <c r="E467" s="2" t="inlineStr">
        <is>
          <t>3月</t>
        </is>
      </c>
      <c r="F467" s="68">
        <f>630000*3</f>
        <v/>
      </c>
      <c r="G467" s="68">
        <f>IF(B467="","",F467-I467 )</f>
        <v/>
      </c>
      <c r="H467" s="5">
        <f>IF(G467="","",G467/F467)</f>
        <v/>
      </c>
      <c r="I467" s="62">
        <f>SUM(テーブル9[[#This Row],[五大]:[工場材]])</f>
        <v/>
      </c>
      <c r="J467" s="65" t="n"/>
      <c r="K467" s="65" t="n"/>
      <c r="L467" s="65" t="n"/>
      <c r="M467" s="65" t="n"/>
      <c r="N467" s="65" t="n"/>
      <c r="O467" s="69" t="n">
        <v>120000</v>
      </c>
      <c r="P467" s="65" t="n"/>
      <c r="Q467" s="65" t="n"/>
      <c r="R467" s="65" t="n"/>
      <c r="S467" s="65" t="n"/>
      <c r="T467" s="65" t="n"/>
      <c r="U467" s="65" t="n"/>
      <c r="V467" s="65" t="n"/>
      <c r="W467" s="66" t="n">
        <v>150000</v>
      </c>
      <c r="X467" s="66" t="n">
        <v>37917</v>
      </c>
      <c r="Y467" s="76" t="n"/>
      <c r="Z467" s="76" t="n"/>
      <c r="AA467" s="76" t="n"/>
      <c r="AB467" s="77" t="n">
        <v>96000</v>
      </c>
      <c r="AC467" s="76" t="n"/>
      <c r="AD467" s="76" t="n"/>
      <c r="AE467" s="66" t="n">
        <v>293680</v>
      </c>
      <c r="AF467" s="76" t="n"/>
      <c r="AG467" s="66" t="n"/>
      <c r="AH467" s="66" t="n">
        <v>363270</v>
      </c>
      <c r="AI467" s="76" t="n"/>
      <c r="AJ467" s="66">
        <f>62500+12500</f>
        <v/>
      </c>
      <c r="AK467" s="65" t="n"/>
      <c r="AL467" s="65" t="n"/>
      <c r="AM467" s="65" t="n"/>
      <c r="AN467" s="65" t="n"/>
      <c r="AO467" s="69" t="n"/>
      <c r="AP467" s="69">
        <f>30600+37500+16140+34632+6840+1800+6120+8000</f>
        <v/>
      </c>
      <c r="AQ467" s="69" t="n"/>
      <c r="AR467" s="65" t="n"/>
      <c r="AS467" s="65" t="n"/>
      <c r="AT467" s="65" t="n"/>
      <c r="AU467" s="65" t="n"/>
      <c r="AV467" s="65" t="n"/>
      <c r="AW467" s="65" t="n"/>
      <c r="AX467" s="65" t="n"/>
      <c r="AY467" s="65" t="n"/>
      <c r="AZ467" s="65" t="n"/>
      <c r="BA467" s="65" t="n"/>
      <c r="BB467" s="65" t="n"/>
      <c r="BC467" s="65" t="n"/>
      <c r="BD467" s="65" t="n"/>
      <c r="BE467" s="65" t="n"/>
      <c r="BF467" s="65" t="n"/>
      <c r="BG467" s="65" t="n"/>
    </row>
    <row r="468">
      <c r="B468" s="1" t="inlineStr">
        <is>
          <t>ハイツAB 3年目　各部屋</t>
        </is>
      </c>
      <c r="C468" s="1" t="inlineStr">
        <is>
          <t>光和工業</t>
        </is>
      </c>
      <c r="E468" s="2" t="inlineStr">
        <is>
          <t>3月</t>
        </is>
      </c>
      <c r="F468" s="68" t="n">
        <v>226000</v>
      </c>
      <c r="G468" s="68">
        <f>IF(B468="","",F468-I468 )</f>
        <v/>
      </c>
      <c r="H468" s="5">
        <f>IF(G468="","",G468/F468)</f>
        <v/>
      </c>
      <c r="I468" s="62">
        <f>SUM(テーブル9[[#This Row],[五大]:[工場材]])</f>
        <v/>
      </c>
      <c r="J468" s="65" t="n"/>
      <c r="K468" s="65" t="n"/>
      <c r="L468" s="65" t="n"/>
      <c r="M468" s="65" t="n"/>
      <c r="N468" s="65" t="n"/>
      <c r="O468" s="69" t="n"/>
      <c r="P468" s="65" t="n"/>
      <c r="Q468" s="65" t="n"/>
      <c r="R468" s="65" t="n"/>
      <c r="S468" s="65" t="n"/>
      <c r="T468" s="65" t="n"/>
      <c r="U468" s="65" t="n"/>
      <c r="V468" s="65" t="n"/>
      <c r="W468" s="65" t="n"/>
      <c r="X468" s="66" t="n"/>
      <c r="Y468" s="65" t="n"/>
      <c r="Z468" s="65" t="n"/>
      <c r="AA468" s="65" t="n"/>
      <c r="AB468" s="65" t="n"/>
      <c r="AC468" s="65" t="n"/>
      <c r="AD468" s="65" t="n"/>
      <c r="AE468" s="65" t="n"/>
      <c r="AF468" s="65" t="n"/>
      <c r="AG468" s="65" t="n"/>
      <c r="AH468" s="65" t="n"/>
      <c r="AI468" s="65" t="n"/>
      <c r="AJ468" s="65" t="n"/>
      <c r="AK468" s="65" t="n"/>
      <c r="AL468" s="65" t="n"/>
      <c r="AM468" s="65" t="n"/>
      <c r="AN468" s="65" t="n"/>
      <c r="AO468" s="65" t="n"/>
      <c r="AP468" s="65" t="n"/>
      <c r="AQ468" s="65" t="n"/>
      <c r="AR468" s="65" t="n"/>
      <c r="AS468" s="65" t="n"/>
      <c r="AT468" s="65" t="n"/>
      <c r="AU468" s="65" t="n"/>
      <c r="AV468" s="65" t="n"/>
      <c r="AW468" s="65" t="n"/>
      <c r="AX468" s="65" t="n"/>
      <c r="AY468" s="65" t="n"/>
      <c r="AZ468" s="65" t="n"/>
      <c r="BA468" s="65" t="n"/>
      <c r="BB468" s="65" t="n"/>
      <c r="BC468" s="65" t="n"/>
      <c r="BD468" s="65" t="n"/>
      <c r="BE468" s="65" t="n"/>
      <c r="BF468" s="65" t="n"/>
      <c r="BG468" s="65" t="n"/>
    </row>
    <row r="469">
      <c r="B469" s="1" t="inlineStr">
        <is>
          <t>塩釜　石川邸</t>
        </is>
      </c>
      <c r="C469" s="1" t="inlineStr">
        <is>
          <t>光和工業</t>
        </is>
      </c>
      <c r="D469" s="1" t="inlineStr">
        <is>
          <t>エコキュート交換</t>
        </is>
      </c>
      <c r="E469" s="2" t="inlineStr">
        <is>
          <t>3月</t>
        </is>
      </c>
      <c r="F469" s="68" t="n">
        <v>363000</v>
      </c>
      <c r="G469" s="68">
        <f>IF(B469="","",F469-I469 )</f>
        <v/>
      </c>
      <c r="H469" s="5">
        <f>IF(G469="","",G469/F469)</f>
        <v/>
      </c>
      <c r="I469" s="62">
        <f>SUM(テーブル9[[#This Row],[五大]:[工場材]])</f>
        <v/>
      </c>
      <c r="J469" s="69" t="n"/>
      <c r="K469" s="65" t="n"/>
      <c r="L469" s="65" t="n"/>
      <c r="M469" s="65" t="n"/>
      <c r="N469" s="65" t="n"/>
      <c r="O469" s="69" t="n"/>
      <c r="P469" s="65" t="n"/>
      <c r="Q469" s="65" t="n"/>
      <c r="R469" s="65" t="n"/>
      <c r="S469" s="65" t="n"/>
      <c r="T469" s="65" t="n"/>
      <c r="U469" s="65" t="n"/>
      <c r="V469" s="65" t="n"/>
      <c r="W469" s="65" t="n"/>
      <c r="X469" s="66" t="n"/>
      <c r="Y469" s="65" t="n"/>
      <c r="Z469" s="65" t="n"/>
      <c r="AA469" s="69" t="n">
        <v>15000</v>
      </c>
      <c r="AB469" s="65" t="n"/>
      <c r="AC469" s="65" t="n"/>
      <c r="AD469" s="65" t="n"/>
      <c r="AE469" s="65" t="n"/>
      <c r="AF469" s="65" t="n"/>
      <c r="AG469" s="65" t="n"/>
      <c r="AH469" s="65" t="n"/>
      <c r="AI469" s="65" t="n"/>
      <c r="AJ469" s="65" t="n"/>
      <c r="AK469" s="65" t="n"/>
      <c r="AL469" s="65" t="n"/>
      <c r="AM469" s="65" t="n"/>
      <c r="AN469" s="65" t="n"/>
      <c r="AO469" s="65" t="n"/>
      <c r="AP469" s="69">
        <f>150000+10000</f>
        <v/>
      </c>
      <c r="AQ469" s="69" t="n"/>
      <c r="AR469" s="65" t="n"/>
      <c r="AS469" s="65" t="n"/>
      <c r="AT469" s="65" t="n"/>
      <c r="AU469" s="65" t="n"/>
      <c r="AV469" s="65" t="n"/>
      <c r="AW469" s="65" t="n"/>
      <c r="AX469" s="65" t="n"/>
      <c r="AY469" s="65" t="n"/>
      <c r="AZ469" s="65" t="n"/>
      <c r="BA469" s="65" t="n"/>
      <c r="BB469" s="65" t="n"/>
      <c r="BC469" s="65" t="n"/>
      <c r="BD469" s="65" t="n"/>
      <c r="BE469" s="65" t="n"/>
      <c r="BF469" s="65" t="n"/>
      <c r="BG469" s="65" t="n"/>
    </row>
    <row r="470">
      <c r="B470" s="1" t="inlineStr">
        <is>
          <t>柏邸　高山紹介</t>
        </is>
      </c>
      <c r="C470" s="1" t="inlineStr">
        <is>
          <t>光和工業</t>
        </is>
      </c>
      <c r="D470" s="1" t="inlineStr">
        <is>
          <t>便器交換</t>
        </is>
      </c>
      <c r="E470" s="2" t="inlineStr">
        <is>
          <t>3月</t>
        </is>
      </c>
      <c r="F470" s="68" t="n">
        <v>286000</v>
      </c>
      <c r="G470" s="68">
        <f>IF(B470="","",F470-I470 )</f>
        <v/>
      </c>
      <c r="H470" s="5">
        <f>IF(G470="","",G470/F470)</f>
        <v/>
      </c>
      <c r="I470" s="62">
        <f>SUM(テーブル9[[#This Row],[五大]:[工場材]])</f>
        <v/>
      </c>
      <c r="J470" s="65" t="n"/>
      <c r="K470" s="65" t="n"/>
      <c r="L470" s="65" t="n"/>
      <c r="M470" s="65" t="n"/>
      <c r="N470" s="65" t="n"/>
      <c r="O470" s="69" t="n"/>
      <c r="P470" s="65" t="n"/>
      <c r="Q470" s="65" t="n"/>
      <c r="R470" s="65" t="n"/>
      <c r="S470" s="65" t="n"/>
      <c r="T470" s="65" t="n"/>
      <c r="U470" s="65" t="n"/>
      <c r="V470" s="65" t="n"/>
      <c r="W470" s="65" t="n"/>
      <c r="X470" s="66" t="n"/>
      <c r="Y470" s="65" t="n"/>
      <c r="Z470" s="65" t="n"/>
      <c r="AA470" s="65" t="n"/>
      <c r="AB470" s="69" t="n">
        <v>22000</v>
      </c>
      <c r="AC470" s="65" t="n"/>
      <c r="AD470" s="65" t="n"/>
      <c r="AE470" s="65" t="n"/>
      <c r="AF470" s="65" t="n"/>
      <c r="AG470" s="65" t="n"/>
      <c r="AH470" s="65" t="n"/>
      <c r="AI470" s="65" t="n"/>
      <c r="AJ470" s="65" t="n"/>
      <c r="AK470" s="65" t="n"/>
      <c r="AL470" s="65" t="n"/>
      <c r="AM470" s="65" t="n"/>
      <c r="AN470" s="65" t="n"/>
      <c r="AO470" s="65" t="n"/>
      <c r="AP470" s="69" t="n">
        <v>165648</v>
      </c>
      <c r="AQ470" s="69" t="n"/>
      <c r="AR470" s="65" t="n"/>
      <c r="AS470" s="65" t="n"/>
      <c r="AT470" s="65" t="n"/>
      <c r="AU470" s="65" t="n"/>
      <c r="AV470" s="65" t="n"/>
      <c r="AW470" s="65" t="n"/>
      <c r="AX470" s="65" t="n"/>
      <c r="AY470" s="65" t="n"/>
      <c r="AZ470" s="65" t="n"/>
      <c r="BA470" s="65" t="n"/>
      <c r="BB470" s="65" t="n"/>
      <c r="BC470" s="65" t="n"/>
      <c r="BD470" s="65" t="n"/>
      <c r="BE470" s="65" t="n"/>
      <c r="BF470" s="65" t="n"/>
      <c r="BG470" s="64">
        <f>テーブル9[[#This Row],[受注金額 税抜]]*0.05</f>
        <v/>
      </c>
    </row>
    <row r="471">
      <c r="B471" s="1" t="inlineStr">
        <is>
          <t>広瀬病院</t>
        </is>
      </c>
      <c r="C471" s="1" t="inlineStr">
        <is>
          <t>光和工業</t>
        </is>
      </c>
      <c r="D471" s="1" t="inlineStr">
        <is>
          <t>天井ソーラトン張り</t>
        </is>
      </c>
      <c r="E471" s="2" t="inlineStr">
        <is>
          <t>3月</t>
        </is>
      </c>
      <c r="F471" s="68" t="n">
        <v>146000</v>
      </c>
      <c r="G471" s="68">
        <f>IF(B471="","",F471-I471 )</f>
        <v/>
      </c>
      <c r="H471" s="5">
        <f>IF(G471="","",G471/F471)</f>
        <v/>
      </c>
      <c r="I471" s="62">
        <f>SUM(テーブル9[[#This Row],[五大]:[工場材]])</f>
        <v/>
      </c>
      <c r="J471" s="65" t="n"/>
      <c r="K471" s="65" t="n"/>
      <c r="L471" s="65" t="n"/>
      <c r="M471" s="65" t="n"/>
      <c r="N471" s="65" t="n"/>
      <c r="O471" s="69" t="n"/>
      <c r="P471" s="65" t="n"/>
      <c r="Q471" s="65" t="n"/>
      <c r="R471" s="65" t="n"/>
      <c r="S471" s="65" t="n"/>
      <c r="T471" s="65" t="n"/>
      <c r="U471" s="65" t="n"/>
      <c r="V471" s="65" t="n"/>
      <c r="W471" s="65" t="n">
        <v>80000</v>
      </c>
      <c r="X471" s="66" t="n">
        <v>9000</v>
      </c>
      <c r="Y471" s="65" t="n"/>
      <c r="Z471" s="65" t="n"/>
      <c r="AA471" s="65" t="n"/>
      <c r="AB471" s="65" t="n"/>
      <c r="AC471" s="65" t="n"/>
      <c r="AD471" s="65" t="n"/>
      <c r="AE471" s="65" t="n"/>
      <c r="AF471" s="65" t="n"/>
      <c r="AG471" s="65" t="n"/>
      <c r="AH471" s="65" t="n"/>
      <c r="AI471" s="65" t="n"/>
      <c r="AJ471" s="65" t="n"/>
      <c r="AK471" s="65" t="n"/>
      <c r="AL471" s="65" t="n"/>
      <c r="AM471" s="65" t="n"/>
      <c r="AN471" s="65" t="n"/>
      <c r="AO471" s="69" t="n">
        <v>28200</v>
      </c>
      <c r="AP471" s="65" t="n"/>
      <c r="AQ471" s="65" t="n"/>
      <c r="AR471" s="65" t="n"/>
      <c r="AS471" s="65" t="n"/>
      <c r="AT471" s="65" t="n"/>
      <c r="AU471" s="65" t="n"/>
      <c r="AV471" s="65" t="n"/>
      <c r="AW471" s="65" t="n"/>
      <c r="AX471" s="65" t="n"/>
      <c r="AY471" s="65" t="n"/>
      <c r="AZ471" s="65" t="n"/>
      <c r="BA471" s="65" t="n"/>
      <c r="BB471" s="65" t="n"/>
      <c r="BC471" s="65" t="n"/>
      <c r="BD471" s="65" t="n"/>
      <c r="BE471" s="65" t="n"/>
      <c r="BF471" s="65" t="n"/>
      <c r="BG471" s="65" t="n"/>
    </row>
    <row r="472">
      <c r="B472" s="1" t="inlineStr">
        <is>
          <t>遠藤マタニティクリニック</t>
        </is>
      </c>
      <c r="C472" s="1" t="inlineStr">
        <is>
          <t>サステム</t>
        </is>
      </c>
      <c r="D472" s="1" t="inlineStr">
        <is>
          <t>防水・シーリング</t>
        </is>
      </c>
      <c r="E472" s="2" t="inlineStr">
        <is>
          <t>4月</t>
        </is>
      </c>
      <c r="F472" s="68" t="n">
        <v>9790000</v>
      </c>
      <c r="G472" s="68">
        <f>IF(B472="","",F472-I472 )</f>
        <v/>
      </c>
      <c r="H472" s="5">
        <f>IF(G472="","",G472/F472)</f>
        <v/>
      </c>
      <c r="I472" s="62">
        <f>SUM(テーブル9[[#This Row],[五大]:[工場材]])</f>
        <v/>
      </c>
      <c r="J472" s="65">
        <f>2300000+250000</f>
        <v/>
      </c>
      <c r="K472" s="65">
        <f>19*20000</f>
        <v/>
      </c>
      <c r="L472" s="65">
        <f>24000*6</f>
        <v/>
      </c>
      <c r="M472" s="65" t="n"/>
      <c r="N472" s="65" t="n"/>
      <c r="O472" s="69" t="n">
        <v>1800000</v>
      </c>
      <c r="P472" s="65" t="n"/>
      <c r="Q472" s="65" t="n"/>
      <c r="R472" s="69">
        <f>1200*1300</f>
        <v/>
      </c>
      <c r="S472" s="65" t="n"/>
      <c r="T472" s="65" t="n"/>
      <c r="U472" s="69" t="n">
        <v>523350</v>
      </c>
      <c r="V472" s="65" t="n"/>
      <c r="W472" s="65" t="n">
        <v>30000</v>
      </c>
      <c r="X472" s="66" t="n"/>
      <c r="Y472" s="65" t="n"/>
      <c r="Z472" s="65" t="n"/>
      <c r="AA472" s="65" t="n"/>
      <c r="AB472" s="65" t="n"/>
      <c r="AC472" s="65" t="n"/>
      <c r="AD472" s="65" t="n"/>
      <c r="AE472" s="65" t="n"/>
      <c r="AF472" s="65" t="n"/>
      <c r="AG472" s="65" t="n"/>
      <c r="AH472" s="65" t="n"/>
      <c r="AI472" s="65" t="n"/>
      <c r="AJ472" s="65" t="n"/>
      <c r="AK472" s="65" t="n"/>
      <c r="AL472" s="65" t="n"/>
      <c r="AM472" s="65" t="n"/>
      <c r="AN472" s="69" t="n">
        <v>68500</v>
      </c>
      <c r="AO472" s="65" t="n"/>
      <c r="AP472" s="65" t="n"/>
      <c r="AQ472" s="65" t="n"/>
      <c r="AR472" s="65" t="n"/>
      <c r="AS472" s="65" t="n"/>
      <c r="AT472" s="65" t="n"/>
      <c r="AU472" s="65" t="n"/>
      <c r="AV472" s="65" t="n"/>
      <c r="AW472" s="65" t="n"/>
      <c r="AX472" s="65" t="n"/>
      <c r="AY472" s="65" t="n"/>
      <c r="AZ472" s="65" t="n"/>
      <c r="BA472" s="65" t="n"/>
      <c r="BB472" s="65" t="n"/>
      <c r="BC472" s="65" t="n"/>
      <c r="BD472" s="65" t="n"/>
      <c r="BE472" s="65" t="n"/>
      <c r="BF472" s="65" t="n"/>
      <c r="BG472" s="65" t="n"/>
    </row>
    <row r="473">
      <c r="B473" s="1" t="inlineStr">
        <is>
          <t>ジェネラスマンション上杉703</t>
        </is>
      </c>
      <c r="C473" s="1" t="inlineStr">
        <is>
          <t>光和工業</t>
        </is>
      </c>
      <c r="D473" s="1" t="inlineStr">
        <is>
          <t>リフォーム工事</t>
        </is>
      </c>
      <c r="E473" s="2" t="inlineStr">
        <is>
          <t>4月</t>
        </is>
      </c>
      <c r="F473" s="68" t="n">
        <v>4543000</v>
      </c>
      <c r="G473" s="68">
        <f>IF(B473="","",F473-I473 )</f>
        <v/>
      </c>
      <c r="H473" s="5">
        <f>IF(G473="","",G473/F473)</f>
        <v/>
      </c>
      <c r="I473" s="62">
        <f>SUM(テーブル9[[#This Row],[五大]:[工場材]])</f>
        <v/>
      </c>
      <c r="J473" s="65" t="n"/>
      <c r="K473" s="65" t="n"/>
      <c r="L473" s="65" t="n"/>
      <c r="M473" s="65" t="n"/>
      <c r="N473" s="65" t="n"/>
      <c r="O473" s="69" t="n"/>
      <c r="P473" s="65" t="n"/>
      <c r="Q473" s="65" t="n"/>
      <c r="R473" s="65" t="n"/>
      <c r="S473" s="65" t="n"/>
      <c r="T473" s="65" t="n"/>
      <c r="U473" s="65" t="n"/>
      <c r="V473" s="65" t="n"/>
      <c r="W473" s="69">
        <f>400000+20000</f>
        <v/>
      </c>
      <c r="X473" s="66">
        <f>29179+8408</f>
        <v/>
      </c>
      <c r="Y473" s="65" t="n"/>
      <c r="Z473" s="65" t="n"/>
      <c r="AA473" s="69" t="n">
        <v>240000</v>
      </c>
      <c r="AB473" s="69" t="n">
        <v>328000</v>
      </c>
      <c r="AC473" s="65" t="n"/>
      <c r="AD473" s="65" t="n"/>
      <c r="AE473" s="65" t="n"/>
      <c r="AF473" s="65" t="n"/>
      <c r="AG473" s="65" t="n"/>
      <c r="AH473" s="69" t="n">
        <v>271630</v>
      </c>
      <c r="AI473" s="65" t="n"/>
      <c r="AJ473" s="65" t="n"/>
      <c r="AK473" s="64" t="n">
        <v>28800</v>
      </c>
      <c r="AL473" s="65" t="n"/>
      <c r="AM473" s="65" t="n"/>
      <c r="AN473" s="65" t="n"/>
      <c r="AO473" s="65" t="n"/>
      <c r="AP473" s="69">
        <f>82000+151500+433952+75130+4000+15000+13076+53580+314162+77299+4000+163200+100320+36240+14580+13610+8640+160677+15040+5450+1260+1260+4840+9300</f>
        <v/>
      </c>
      <c r="AQ473" s="69" t="n"/>
      <c r="AR473" s="69" t="n">
        <v>48400</v>
      </c>
      <c r="AS473" s="65" t="n"/>
      <c r="AT473" s="65" t="n"/>
      <c r="AU473" s="65" t="n"/>
      <c r="AV473" s="65" t="n"/>
      <c r="AW473" s="65" t="n"/>
      <c r="AX473" s="65" t="n"/>
      <c r="AY473" s="65" t="n"/>
      <c r="AZ473" s="65" t="n"/>
      <c r="BA473" s="65" t="n"/>
      <c r="BB473" s="65" t="n"/>
      <c r="BC473" s="65" t="n"/>
      <c r="BD473" s="65" t="n"/>
      <c r="BE473" s="65" t="n"/>
      <c r="BF473" s="65" t="n"/>
      <c r="BG473" s="64">
        <f>16470+1647</f>
        <v/>
      </c>
    </row>
    <row r="474">
      <c r="B474" s="1" t="inlineStr">
        <is>
          <t>ピックアップ</t>
        </is>
      </c>
      <c r="C474" s="1" t="inlineStr">
        <is>
          <t>サステム</t>
        </is>
      </c>
      <c r="D474" s="1" t="inlineStr">
        <is>
          <t>トイレ→シャワーユニット</t>
        </is>
      </c>
      <c r="E474" s="2" t="inlineStr">
        <is>
          <t>4月</t>
        </is>
      </c>
      <c r="F474" s="68" t="n">
        <v>1850000</v>
      </c>
      <c r="G474" s="68">
        <f>IF(B474="","",F474-I474 )</f>
        <v/>
      </c>
      <c r="H474" s="5">
        <f>IF(G474="","",G474/F474)</f>
        <v/>
      </c>
      <c r="I474" s="62">
        <f>SUM(テーブル9[[#This Row],[五大]:[工場材]])</f>
        <v/>
      </c>
      <c r="J474" s="65" t="n"/>
      <c r="K474" s="65" t="n"/>
      <c r="L474" s="65" t="n"/>
      <c r="M474" s="65" t="n"/>
      <c r="N474" s="65" t="n"/>
      <c r="O474" s="69" t="n"/>
      <c r="P474" s="65" t="n"/>
      <c r="Q474" s="65" t="n"/>
      <c r="R474" s="65" t="n"/>
      <c r="S474" s="65" t="n"/>
      <c r="T474" s="65" t="n"/>
      <c r="U474" s="65" t="n"/>
      <c r="V474" s="65" t="n"/>
      <c r="W474" s="69" t="n">
        <v>400000</v>
      </c>
      <c r="X474" s="66" t="n">
        <v>57588</v>
      </c>
      <c r="Y474" s="65" t="n"/>
      <c r="Z474" s="65" t="n"/>
      <c r="AA474" s="69" t="n">
        <v>90000</v>
      </c>
      <c r="AB474" s="69" t="n">
        <v>433000</v>
      </c>
      <c r="AC474" s="65" t="n"/>
      <c r="AD474" s="65" t="n"/>
      <c r="AE474" s="65" t="n"/>
      <c r="AF474" s="65" t="n"/>
      <c r="AG474" s="65" t="n"/>
      <c r="AH474" s="69" t="n">
        <v>20000</v>
      </c>
      <c r="AI474" s="65" t="n"/>
      <c r="AJ474" s="65" t="n"/>
      <c r="AK474" s="65" t="n"/>
      <c r="AL474" s="65" t="n"/>
      <c r="AM474" s="65" t="n"/>
      <c r="AN474" s="69" t="n">
        <v>109200</v>
      </c>
      <c r="AO474" s="65" t="n"/>
      <c r="AP474" s="69">
        <f>8015+7630+2800</f>
        <v/>
      </c>
      <c r="AQ474" s="69" t="n"/>
      <c r="AR474" s="65" t="n"/>
      <c r="AS474" s="65" t="n"/>
      <c r="AT474" s="65" t="n"/>
      <c r="AU474" s="65" t="n"/>
      <c r="AV474" s="65" t="n"/>
      <c r="AW474" s="65" t="n"/>
      <c r="AX474" s="65" t="n"/>
      <c r="AY474" s="65" t="n"/>
      <c r="AZ474" s="65" t="n"/>
      <c r="BA474" s="65" t="n"/>
      <c r="BB474" s="65" t="n"/>
      <c r="BC474" s="65" t="n"/>
      <c r="BD474" s="65" t="n"/>
      <c r="BE474" s="65" t="n"/>
      <c r="BF474" s="65" t="n"/>
      <c r="BG474" s="65" t="n">
        <v>70000</v>
      </c>
    </row>
    <row r="475">
      <c r="B475" s="1" t="inlineStr">
        <is>
          <t>館　佐藤邸</t>
        </is>
      </c>
      <c r="C475" s="1" t="inlineStr">
        <is>
          <t>LIXIL</t>
        </is>
      </c>
      <c r="D475" s="1" t="inlineStr">
        <is>
          <t>キッチン入替</t>
        </is>
      </c>
      <c r="E475" s="2" t="inlineStr">
        <is>
          <t>4月</t>
        </is>
      </c>
      <c r="F475" s="68">
        <f>595240+56760+16000</f>
        <v/>
      </c>
      <c r="G475" s="68">
        <f>IF(B475="","",F475-I475 )</f>
        <v/>
      </c>
      <c r="H475" s="5">
        <f>IF(G475="","",G475/F475)</f>
        <v/>
      </c>
      <c r="I475" s="62">
        <f>SUM(テーブル9[[#This Row],[五大]:[工場材]])</f>
        <v/>
      </c>
      <c r="J475" s="65" t="n"/>
      <c r="K475" s="65" t="n"/>
      <c r="L475" s="65" t="n"/>
      <c r="M475" s="65" t="n"/>
      <c r="N475" s="65" t="n"/>
      <c r="O475" s="69" t="n"/>
      <c r="P475" s="65" t="n"/>
      <c r="Q475" s="65" t="n"/>
      <c r="R475" s="65" t="n"/>
      <c r="S475" s="65" t="n"/>
      <c r="T475" s="65" t="n"/>
      <c r="U475" s="65" t="n"/>
      <c r="V475" s="65" t="n"/>
      <c r="W475" s="65" t="n">
        <v>200000</v>
      </c>
      <c r="X475" s="66" t="n">
        <v>28638</v>
      </c>
      <c r="Y475" s="65" t="n"/>
      <c r="Z475" s="65" t="n"/>
      <c r="AA475" s="69" t="n">
        <v>300000</v>
      </c>
      <c r="AB475" s="69" t="n">
        <v>87000</v>
      </c>
      <c r="AC475" s="65" t="n"/>
      <c r="AD475" s="65" t="n"/>
      <c r="AE475" s="65" t="n"/>
      <c r="AF475" s="65" t="n"/>
      <c r="AG475" s="65" t="n"/>
      <c r="AH475" s="69" t="n">
        <v>80000</v>
      </c>
      <c r="AI475" s="65" t="n"/>
      <c r="AJ475" s="65" t="n"/>
      <c r="AK475" s="65" t="n"/>
      <c r="AL475" s="65" t="n"/>
      <c r="AM475" s="65" t="n"/>
      <c r="AN475" s="65" t="n"/>
      <c r="AO475" s="65" t="n"/>
      <c r="AP475" s="65" t="n"/>
      <c r="AQ475" s="65" t="n"/>
      <c r="AR475" s="65" t="n"/>
      <c r="AS475" s="65" t="n"/>
      <c r="AT475" s="65" t="n"/>
      <c r="AU475" s="65" t="n"/>
      <c r="AV475" s="65" t="n"/>
      <c r="AW475" s="65" t="n"/>
      <c r="AX475" s="65" t="n"/>
      <c r="AY475" s="65" t="n"/>
      <c r="AZ475" s="65" t="n"/>
      <c r="BA475" s="65" t="n"/>
      <c r="BB475" s="65" t="n"/>
      <c r="BC475" s="65" t="n"/>
      <c r="BD475" s="65" t="n"/>
      <c r="BE475" s="65" t="n"/>
      <c r="BF475" s="65" t="n"/>
      <c r="BG475" s="65" t="n"/>
    </row>
    <row r="476">
      <c r="B476" s="1" t="inlineStr">
        <is>
          <t>みやぎ台　佐藤邸</t>
        </is>
      </c>
      <c r="C476" s="1" t="inlineStr">
        <is>
          <t>光和工業</t>
        </is>
      </c>
      <c r="D476" s="1" t="inlineStr">
        <is>
          <t>塗装</t>
        </is>
      </c>
      <c r="E476" s="2" t="inlineStr">
        <is>
          <t>5月</t>
        </is>
      </c>
      <c r="F476" s="68" t="n">
        <v>1580000</v>
      </c>
      <c r="G476" s="68">
        <f>IF(B476="","",F476-I476 )</f>
        <v/>
      </c>
      <c r="H476" s="5">
        <f>IF(G476="","",G476/F476)</f>
        <v/>
      </c>
      <c r="I476" s="62">
        <f>SUM(テーブル9[[#This Row],[五大]:[工場材]])</f>
        <v/>
      </c>
      <c r="J476" s="69" t="n">
        <v>140000</v>
      </c>
      <c r="K476" s="65" t="n"/>
      <c r="L476" s="65" t="n"/>
      <c r="M476" s="65" t="n"/>
      <c r="N476" s="65" t="n"/>
      <c r="O476" s="69" t="n">
        <v>20000</v>
      </c>
      <c r="P476" s="65" t="n"/>
      <c r="Q476" s="65" t="n"/>
      <c r="R476" s="69">
        <f>46*1200</f>
        <v/>
      </c>
      <c r="S476" s="65" t="n"/>
      <c r="T476" s="65" t="n"/>
      <c r="U476" s="69" t="n">
        <v>190000</v>
      </c>
      <c r="V476" s="65" t="n"/>
      <c r="W476" s="65" t="n"/>
      <c r="X476" s="66" t="n"/>
      <c r="Y476" s="65" t="n"/>
      <c r="Z476" s="65" t="n"/>
      <c r="AA476" s="65" t="n"/>
      <c r="AB476" s="65" t="n"/>
      <c r="AC476" s="65" t="n"/>
      <c r="AD476" s="65" t="n"/>
      <c r="AE476" s="65" t="n"/>
      <c r="AF476" s="65" t="n"/>
      <c r="AG476" s="65" t="n"/>
      <c r="AH476" s="65" t="n"/>
      <c r="AI476" s="65" t="n"/>
      <c r="AJ476" s="65" t="n"/>
      <c r="AK476" s="65" t="n"/>
      <c r="AL476" s="65" t="n"/>
      <c r="AM476" s="65" t="n"/>
      <c r="AN476" s="65" t="n"/>
      <c r="AO476" s="65" t="n"/>
      <c r="AP476" s="65" t="n"/>
      <c r="AQ476" s="65" t="n"/>
      <c r="AR476" s="65" t="n"/>
      <c r="AS476" s="65" t="n"/>
      <c r="AT476" s="65" t="n"/>
      <c r="AU476" s="65" t="n"/>
      <c r="AV476" s="65" t="n"/>
      <c r="AW476" s="65" t="n"/>
      <c r="AX476" s="65" t="n"/>
      <c r="AY476" s="65" t="n"/>
      <c r="AZ476" s="65" t="n"/>
      <c r="BA476" s="65" t="n"/>
      <c r="BB476" s="65" t="n"/>
      <c r="BC476" s="65" t="n"/>
      <c r="BD476" s="65" t="n"/>
      <c r="BE476" s="65" t="n"/>
      <c r="BF476" s="65" t="n"/>
      <c r="BG476" s="64" t="n">
        <v>150000</v>
      </c>
    </row>
    <row r="477">
      <c r="B477" s="1" t="inlineStr">
        <is>
          <t>みやぎ台バルコニー交換</t>
        </is>
      </c>
      <c r="C477" s="1" t="inlineStr">
        <is>
          <t>光和工業</t>
        </is>
      </c>
      <c r="D477" s="1" t="inlineStr">
        <is>
          <t>五大保険工事</t>
        </is>
      </c>
      <c r="E477" s="2" t="inlineStr">
        <is>
          <t>5月</t>
        </is>
      </c>
      <c r="F477" s="68" t="n">
        <v>520000</v>
      </c>
      <c r="G477" s="68">
        <f>IF(B477="","",F477-I477 )</f>
        <v/>
      </c>
      <c r="H477" s="5">
        <f>IF(G477="","",G477/F477)</f>
        <v/>
      </c>
      <c r="I477" s="62">
        <f>SUM(テーブル9[[#This Row],[五大]:[工場材]])</f>
        <v/>
      </c>
      <c r="J477" s="65" t="n"/>
      <c r="K477" s="65" t="n"/>
      <c r="L477" s="65" t="n"/>
      <c r="M477" s="65" t="n"/>
      <c r="N477" s="65" t="n"/>
      <c r="O477" s="69" t="n">
        <v>15000</v>
      </c>
      <c r="P477" s="65" t="n"/>
      <c r="Q477" s="65" t="n"/>
      <c r="R477" s="65" t="n"/>
      <c r="S477" s="65" t="n"/>
      <c r="T477" s="65" t="n"/>
      <c r="U477" s="69" t="n">
        <v>3500</v>
      </c>
      <c r="V477" s="65" t="n"/>
      <c r="W477" s="65" t="n"/>
      <c r="X477" s="66" t="n"/>
      <c r="Y477" s="65" t="n"/>
      <c r="Z477" s="65" t="n"/>
      <c r="AA477" s="69" t="n">
        <v>12000</v>
      </c>
      <c r="AB477" s="65" t="n"/>
      <c r="AC477" s="65" t="n"/>
      <c r="AD477" s="65" t="n"/>
      <c r="AE477" s="65" t="n">
        <v>356120</v>
      </c>
      <c r="AF477" s="65" t="n"/>
      <c r="AG477" s="65" t="n"/>
      <c r="AH477" s="65" t="n"/>
      <c r="AI477" s="65" t="n"/>
      <c r="AJ477" s="65" t="n"/>
      <c r="AK477" s="65" t="n"/>
      <c r="AL477" s="65" t="n"/>
      <c r="AM477" s="65" t="n"/>
      <c r="AN477" s="65" t="n"/>
      <c r="AO477" s="65" t="n"/>
      <c r="AP477" s="65" t="n"/>
      <c r="AQ477" s="65" t="n"/>
      <c r="AR477" s="65" t="n"/>
      <c r="AS477" s="65" t="n"/>
      <c r="AT477" s="65" t="n"/>
      <c r="AU477" s="65" t="n"/>
      <c r="AV477" s="65" t="n"/>
      <c r="AW477" s="65" t="n"/>
      <c r="AX477" s="65" t="n"/>
      <c r="AY477" s="65" t="n"/>
      <c r="AZ477" s="65" t="n"/>
      <c r="BA477" s="65" t="n"/>
      <c r="BB477" s="65" t="n"/>
      <c r="BC477" s="65" t="n"/>
      <c r="BD477" s="65" t="n"/>
      <c r="BE477" s="65" t="n"/>
      <c r="BF477" s="65" t="n"/>
      <c r="BG477" s="65">
        <f>3625+5500</f>
        <v/>
      </c>
    </row>
    <row r="478">
      <c r="B478" s="1" t="inlineStr">
        <is>
          <t>石川邸　漏水修理</t>
        </is>
      </c>
      <c r="C478" s="1" t="inlineStr">
        <is>
          <t>光和工業</t>
        </is>
      </c>
      <c r="E478" s="2" t="inlineStr">
        <is>
          <t>5月</t>
        </is>
      </c>
      <c r="F478" s="68" t="n">
        <v>366000</v>
      </c>
      <c r="G478" s="68">
        <f>IF(B478="","",F478-I478 )</f>
        <v/>
      </c>
      <c r="H478" s="5">
        <f>IF(G478="","",G478/F478)</f>
        <v/>
      </c>
      <c r="I478" s="62">
        <f>SUM(テーブル9[[#This Row],[五大]:[工場材]])</f>
        <v/>
      </c>
      <c r="J478" s="65" t="n"/>
      <c r="K478" s="65" t="n"/>
      <c r="L478" s="65" t="n"/>
      <c r="M478" s="65" t="n"/>
      <c r="N478" s="65" t="n"/>
      <c r="O478" s="69" t="n"/>
      <c r="P478" s="65" t="n"/>
      <c r="Q478" s="65" t="n"/>
      <c r="R478" s="65" t="n"/>
      <c r="S478" s="65" t="n"/>
      <c r="T478" s="65" t="n"/>
      <c r="U478" s="65" t="n"/>
      <c r="V478" s="65" t="n"/>
      <c r="W478" s="65" t="n"/>
      <c r="X478" s="66" t="n"/>
      <c r="Y478" s="65" t="n"/>
      <c r="Z478" s="65" t="n"/>
      <c r="AA478" s="65" t="n"/>
      <c r="AB478" s="69" t="n">
        <v>110000</v>
      </c>
      <c r="AC478" s="65" t="n"/>
      <c r="AD478" s="65" t="n"/>
      <c r="AE478" s="65" t="n"/>
      <c r="AF478" s="65" t="n"/>
      <c r="AG478" s="65" t="n"/>
      <c r="AH478" s="65" t="n"/>
      <c r="AI478" s="65" t="n"/>
      <c r="AJ478" s="65" t="n"/>
      <c r="AK478" s="65" t="n"/>
      <c r="AL478" s="65" t="n"/>
      <c r="AM478" s="65" t="n"/>
      <c r="AN478" s="65" t="n"/>
      <c r="AO478" s="65" t="n"/>
      <c r="AP478" s="65" t="n"/>
      <c r="AQ478" s="65" t="n"/>
      <c r="AR478" s="65" t="n"/>
      <c r="AS478" s="65" t="n"/>
      <c r="AT478" s="65" t="n"/>
      <c r="AU478" s="65" t="n"/>
      <c r="AV478" s="65" t="n"/>
      <c r="AW478" s="65" t="n"/>
      <c r="AX478" s="65" t="n"/>
      <c r="AY478" s="65" t="n"/>
      <c r="AZ478" s="65" t="n"/>
      <c r="BA478" s="65" t="n"/>
      <c r="BB478" s="65" t="n"/>
      <c r="BC478" s="65" t="n"/>
      <c r="BD478" s="65" t="n"/>
      <c r="BE478" s="65" t="n"/>
      <c r="BF478" s="65" t="n"/>
      <c r="BG478" s="64" t="n">
        <v>98825</v>
      </c>
    </row>
    <row r="479">
      <c r="F479" s="68" t="n"/>
      <c r="G479" s="68">
        <f>IF(B479="","",F479-I479 )</f>
        <v/>
      </c>
      <c r="H479" s="5">
        <f>IF(G479="","",G479/F479)</f>
        <v/>
      </c>
      <c r="I479" s="62">
        <f>SUM(テーブル9[[#This Row],[五大]:[工場材]])</f>
        <v/>
      </c>
      <c r="J479" s="65" t="n"/>
      <c r="K479" s="65" t="n"/>
      <c r="L479" s="65" t="n"/>
      <c r="M479" s="65" t="n"/>
      <c r="N479" s="65" t="n"/>
      <c r="O479" s="69" t="n"/>
      <c r="P479" s="65" t="n"/>
      <c r="Q479" s="65" t="n"/>
      <c r="R479" s="65" t="n"/>
      <c r="S479" s="65" t="n"/>
      <c r="T479" s="65" t="n"/>
      <c r="U479" s="65" t="n"/>
      <c r="V479" s="65" t="n"/>
      <c r="W479" s="65" t="n"/>
      <c r="X479" s="66" t="n"/>
      <c r="Y479" s="65" t="n"/>
      <c r="Z479" s="65" t="n"/>
      <c r="AA479" s="65" t="n"/>
      <c r="AB479" s="65" t="n"/>
      <c r="AC479" s="65" t="n"/>
      <c r="AD479" s="65" t="n"/>
      <c r="AE479" s="65" t="n"/>
      <c r="AF479" s="65" t="n"/>
      <c r="AG479" s="65" t="n"/>
      <c r="AH479" s="65" t="n"/>
      <c r="AI479" s="65" t="n"/>
      <c r="AJ479" s="65" t="n"/>
      <c r="AK479" s="65" t="n"/>
      <c r="AL479" s="65" t="n"/>
      <c r="AM479" s="65" t="n"/>
      <c r="AN479" s="65" t="n"/>
      <c r="AO479" s="65" t="n"/>
      <c r="AP479" s="65" t="n"/>
      <c r="AQ479" s="65" t="n"/>
      <c r="AR479" s="65" t="n"/>
      <c r="AS479" s="65" t="n"/>
      <c r="AT479" s="65" t="n"/>
      <c r="AU479" s="65" t="n"/>
      <c r="AV479" s="65" t="n"/>
      <c r="AW479" s="65" t="n"/>
      <c r="AX479" s="65" t="n"/>
      <c r="AY479" s="65" t="n"/>
      <c r="AZ479" s="65" t="n"/>
      <c r="BA479" s="65" t="n"/>
      <c r="BB479" s="65" t="n"/>
      <c r="BC479" s="65" t="n"/>
      <c r="BD479" s="65" t="n"/>
      <c r="BE479" s="65" t="n"/>
      <c r="BF479" s="65" t="n"/>
      <c r="BG479" s="65" t="n"/>
    </row>
    <row r="480">
      <c r="A480" s="0" t="inlineStr">
        <is>
          <t>R6.5</t>
        </is>
      </c>
      <c r="B480" s="1" t="inlineStr">
        <is>
          <t>小田原ライオンズ　103永田様</t>
        </is>
      </c>
      <c r="C480" s="1" t="inlineStr">
        <is>
          <t>LIXIL</t>
        </is>
      </c>
      <c r="D480" s="1" t="inlineStr">
        <is>
          <t>UB入替</t>
        </is>
      </c>
      <c r="E480" s="2" t="inlineStr">
        <is>
          <t>5月</t>
        </is>
      </c>
      <c r="F480" s="68">
        <f>25100+18000+25000+17000+18000+25000+5000+60000+50000+30000</f>
        <v/>
      </c>
      <c r="G480" s="68">
        <f>IF(B480="","",F480-I480 )</f>
        <v/>
      </c>
      <c r="H480" s="5">
        <f>IF(G480="","",G480/F480)</f>
        <v/>
      </c>
      <c r="I480" s="62">
        <f>SUM(テーブル9[[#This Row],[五大]:[工場材]])</f>
        <v/>
      </c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65" t="n"/>
      <c r="U480" s="76" t="n"/>
      <c r="V480" s="76" t="n"/>
      <c r="W480" s="66" t="n">
        <v>80000</v>
      </c>
      <c r="X480" s="66">
        <f>15914+9168</f>
        <v/>
      </c>
      <c r="Y480" s="76" t="n"/>
      <c r="Z480" s="76" t="n"/>
      <c r="AA480" s="66" t="n">
        <v>45000</v>
      </c>
      <c r="AB480" s="66" t="n">
        <v>110000</v>
      </c>
      <c r="AC480" s="76" t="n"/>
      <c r="AD480" s="76" t="n"/>
      <c r="AE480" s="76" t="n"/>
      <c r="AF480" s="76" t="n"/>
      <c r="AG480" s="76" t="n"/>
      <c r="AH480" s="66" t="n">
        <v>18000</v>
      </c>
      <c r="AI480" s="65" t="n"/>
      <c r="AJ480" s="65" t="n"/>
      <c r="AK480" s="65" t="n"/>
      <c r="AL480" s="65" t="n"/>
      <c r="AM480" s="65" t="n"/>
      <c r="AN480" s="65" t="n"/>
      <c r="AO480" s="65" t="n"/>
      <c r="AP480" s="65" t="n"/>
      <c r="AQ480" s="65" t="n"/>
      <c r="AR480" s="65" t="n"/>
      <c r="AS480" s="65" t="n"/>
      <c r="AT480" s="65" t="n"/>
      <c r="AU480" s="65" t="n"/>
      <c r="AV480" s="65" t="n"/>
      <c r="AW480" s="65" t="n"/>
      <c r="AX480" s="65" t="n"/>
      <c r="AY480" s="65" t="n"/>
      <c r="AZ480" s="65" t="n"/>
      <c r="BA480" s="65" t="n"/>
      <c r="BB480" s="65" t="n"/>
      <c r="BC480" s="65" t="n"/>
      <c r="BD480" s="65" t="n"/>
      <c r="BE480" s="65" t="n"/>
      <c r="BF480" s="65" t="n"/>
      <c r="BG480" s="65" t="n"/>
    </row>
    <row r="481">
      <c r="B481" s="1" t="inlineStr">
        <is>
          <t>加茂　郷右近邸</t>
        </is>
      </c>
      <c r="C481" s="1" t="inlineStr">
        <is>
          <t>LIXIL</t>
        </is>
      </c>
      <c r="D481" s="1" t="inlineStr">
        <is>
          <t>ガス→IH</t>
        </is>
      </c>
      <c r="E481" s="2" t="inlineStr">
        <is>
          <t>5月</t>
        </is>
      </c>
      <c r="F481" s="68">
        <f>16000+23000+20626+6900+9374</f>
        <v/>
      </c>
      <c r="G481" s="68">
        <f>IF(B481="","",F481-I481 )</f>
        <v/>
      </c>
      <c r="H481" s="5">
        <f>IF(G481="","",G481/F481)</f>
        <v/>
      </c>
      <c r="I481" s="62">
        <f>SUM(テーブル9[[#This Row],[五大]:[工場材]])</f>
        <v/>
      </c>
      <c r="J481" s="65" t="n"/>
      <c r="K481" s="65" t="n"/>
      <c r="L481" s="65" t="n"/>
      <c r="M481" s="65" t="n"/>
      <c r="N481" s="65" t="n"/>
      <c r="O481" s="69" t="n"/>
      <c r="P481" s="65" t="n"/>
      <c r="Q481" s="65" t="n"/>
      <c r="R481" s="65" t="n"/>
      <c r="S481" s="65" t="n"/>
      <c r="T481" s="65" t="n"/>
      <c r="U481" s="65" t="n"/>
      <c r="V481" s="65" t="n"/>
      <c r="W481" s="65" t="n"/>
      <c r="X481" s="66" t="n"/>
      <c r="Y481" s="65" t="n"/>
      <c r="Z481" s="65" t="n"/>
      <c r="AA481" s="69" t="n">
        <v>35000</v>
      </c>
      <c r="AB481" s="65" t="inlineStr">
        <is>
          <t>-</t>
        </is>
      </c>
      <c r="AC481" s="65" t="n"/>
      <c r="AD481" s="65" t="n"/>
      <c r="AE481" s="65" t="n"/>
      <c r="AF481" s="65" t="n"/>
      <c r="AG481" s="65" t="n"/>
      <c r="AH481" s="65" t="n"/>
      <c r="AI481" s="65" t="n"/>
      <c r="AJ481" s="65" t="n"/>
      <c r="AK481" s="65" t="n"/>
      <c r="AL481" s="65" t="n"/>
      <c r="AM481" s="65" t="n"/>
      <c r="AN481" s="65" t="n"/>
      <c r="AO481" s="65" t="n"/>
      <c r="AP481" s="65" t="n"/>
      <c r="AQ481" s="65" t="n"/>
      <c r="AR481" s="65" t="n"/>
      <c r="AS481" s="65" t="n"/>
      <c r="AT481" s="65" t="n"/>
      <c r="AU481" s="65" t="n"/>
      <c r="AV481" s="65" t="n"/>
      <c r="AW481" s="65" t="n"/>
      <c r="AX481" s="65" t="n"/>
      <c r="AY481" s="65" t="n"/>
      <c r="AZ481" s="65" t="n"/>
      <c r="BA481" s="65" t="n"/>
      <c r="BB481" s="65" t="n"/>
      <c r="BC481" s="65" t="n"/>
      <c r="BD481" s="65" t="n"/>
      <c r="BE481" s="65" t="n"/>
      <c r="BF481" s="65" t="n"/>
      <c r="BG481" s="65" t="n"/>
    </row>
    <row r="482">
      <c r="B482" s="1" t="inlineStr">
        <is>
          <t>吉成　大沼邸便器交換</t>
        </is>
      </c>
      <c r="C482" s="1" t="inlineStr">
        <is>
          <t>LIXIL</t>
        </is>
      </c>
      <c r="D482" s="1" t="inlineStr">
        <is>
          <t>便器交換</t>
        </is>
      </c>
      <c r="E482" s="2" t="inlineStr">
        <is>
          <t>5月</t>
        </is>
      </c>
      <c r="F482" s="68">
        <f>7100+10000+10000+4000+30000+15000+7150</f>
        <v/>
      </c>
      <c r="G482" s="68">
        <f>IF(B482="","",F482-I482 )</f>
        <v/>
      </c>
      <c r="H482" s="5">
        <f>IF(G482="","",G482/F482)</f>
        <v/>
      </c>
      <c r="I482" s="62">
        <f>SUM(テーブル9[[#This Row],[五大]:[工場材]])</f>
        <v/>
      </c>
      <c r="J482" s="65" t="n"/>
      <c r="K482" s="65" t="n"/>
      <c r="L482" s="65" t="n"/>
      <c r="M482" s="65" t="n"/>
      <c r="N482" s="65" t="n"/>
      <c r="O482" s="69" t="n"/>
      <c r="P482" s="65" t="n"/>
      <c r="Q482" s="65" t="n"/>
      <c r="R482" s="65" t="n"/>
      <c r="S482" s="65" t="n"/>
      <c r="T482" s="65" t="n"/>
      <c r="U482" s="65" t="n"/>
      <c r="V482" s="65" t="n"/>
      <c r="W482" s="65" t="n">
        <v>25000</v>
      </c>
      <c r="X482" s="66" t="n"/>
      <c r="Y482" s="65" t="n"/>
      <c r="Z482" s="65" t="n"/>
      <c r="AA482" s="65" t="n"/>
      <c r="AB482" s="65" t="n">
        <v>20000</v>
      </c>
      <c r="AC482" s="65" t="n"/>
      <c r="AD482" s="65" t="n"/>
      <c r="AE482" s="65" t="n"/>
      <c r="AF482" s="65" t="n"/>
      <c r="AG482" s="65" t="n"/>
      <c r="AH482" s="65" t="n">
        <v>18000</v>
      </c>
      <c r="AI482" s="65" t="n"/>
      <c r="AJ482" s="65" t="n"/>
      <c r="AK482" s="65" t="n"/>
      <c r="AL482" s="65" t="n"/>
      <c r="AM482" s="65" t="n"/>
      <c r="AN482" s="65" t="n"/>
      <c r="AO482" s="65" t="n"/>
      <c r="AP482" s="65" t="n"/>
      <c r="AQ482" s="65" t="n"/>
      <c r="AR482" s="65" t="n"/>
      <c r="AS482" s="65" t="n"/>
      <c r="AT482" s="65" t="n"/>
      <c r="AU482" s="65" t="n"/>
      <c r="AV482" s="65" t="n"/>
      <c r="AW482" s="65" t="n"/>
      <c r="AX482" s="65" t="n"/>
      <c r="AY482" s="65" t="n"/>
      <c r="AZ482" s="65" t="n"/>
      <c r="BA482" s="65" t="n"/>
      <c r="BB482" s="65" t="n"/>
      <c r="BC482" s="65" t="n"/>
      <c r="BD482" s="65" t="n"/>
      <c r="BE482" s="65" t="n"/>
      <c r="BF482" s="65" t="n"/>
      <c r="BG482" s="65" t="n"/>
    </row>
    <row r="483">
      <c r="B483" s="1" t="inlineStr">
        <is>
          <t>-</t>
        </is>
      </c>
      <c r="C483" s="1" t="inlineStr">
        <is>
          <t>LIXIL</t>
        </is>
      </c>
      <c r="D483" s="1" t="inlineStr">
        <is>
          <t>現場不足分補填</t>
        </is>
      </c>
      <c r="E483" s="2" t="inlineStr">
        <is>
          <t>-</t>
        </is>
      </c>
      <c r="F483" s="68">
        <f>6050+48950+23000</f>
        <v/>
      </c>
      <c r="G483" s="68">
        <f>IF(B483="","",F483-I483 )</f>
        <v/>
      </c>
      <c r="H483" s="5">
        <f>IF(G483="","",G483/F483)</f>
        <v/>
      </c>
      <c r="I483" s="62">
        <f>SUM(テーブル9[[#This Row],[五大]:[工場材]])</f>
        <v/>
      </c>
      <c r="J483" s="65" t="n"/>
      <c r="K483" s="65" t="n"/>
      <c r="L483" s="65" t="n"/>
      <c r="M483" s="65" t="n"/>
      <c r="N483" s="65" t="n"/>
      <c r="O483" s="69" t="n"/>
      <c r="P483" s="65" t="n"/>
      <c r="Q483" s="65" t="n"/>
      <c r="R483" s="65" t="n"/>
      <c r="S483" s="65" t="n"/>
      <c r="T483" s="65" t="n"/>
      <c r="U483" s="65" t="n"/>
      <c r="V483" s="65" t="n"/>
      <c r="W483" s="65" t="n"/>
      <c r="X483" s="66" t="n"/>
      <c r="Y483" s="65" t="n"/>
      <c r="Z483" s="65" t="n"/>
      <c r="AA483" s="65" t="n"/>
      <c r="AB483" s="65" t="n"/>
      <c r="AC483" s="65" t="n"/>
      <c r="AD483" s="65" t="n"/>
      <c r="AE483" s="65" t="n"/>
      <c r="AF483" s="65" t="n"/>
      <c r="AG483" s="65" t="n"/>
      <c r="AH483" s="65" t="n"/>
      <c r="AI483" s="65" t="n"/>
      <c r="AJ483" s="65" t="n"/>
      <c r="AK483" s="65" t="n"/>
      <c r="AL483" s="65" t="n"/>
      <c r="AM483" s="65" t="n"/>
      <c r="AN483" s="65" t="n"/>
      <c r="AO483" s="65" t="n"/>
      <c r="AP483" s="65" t="n"/>
      <c r="AQ483" s="65" t="n"/>
      <c r="AR483" s="65" t="n"/>
      <c r="AS483" s="65" t="n"/>
      <c r="AT483" s="65" t="n"/>
      <c r="AU483" s="65" t="n"/>
      <c r="AV483" s="65" t="n"/>
      <c r="AW483" s="65" t="n"/>
      <c r="AX483" s="65" t="n"/>
      <c r="AY483" s="65" t="n"/>
      <c r="AZ483" s="65" t="n"/>
      <c r="BA483" s="65" t="n"/>
      <c r="BB483" s="65" t="n"/>
      <c r="BC483" s="65" t="n"/>
      <c r="BD483" s="65" t="n"/>
      <c r="BE483" s="65" t="n"/>
      <c r="BF483" s="65" t="n"/>
      <c r="BG483" s="65" t="n"/>
    </row>
    <row r="484">
      <c r="A484" s="0" t="inlineStr">
        <is>
          <t>R6.7</t>
        </is>
      </c>
      <c r="B484" s="1" t="inlineStr">
        <is>
          <t>八ファミール中島丁306　佐藤邸</t>
        </is>
      </c>
      <c r="C484" s="1" t="inlineStr">
        <is>
          <t>LIXIL</t>
        </is>
      </c>
      <c r="D484" s="1" t="inlineStr">
        <is>
          <t>UB入替</t>
        </is>
      </c>
      <c r="E484" s="2" t="inlineStr">
        <is>
          <t>6月</t>
        </is>
      </c>
      <c r="F484" s="68">
        <f>414100-78000</f>
        <v/>
      </c>
      <c r="G484" s="68">
        <f>IF(B484="","",F484-I484 )</f>
        <v/>
      </c>
      <c r="H484" s="5">
        <f>IF(G484="","",G484/F484)</f>
        <v/>
      </c>
      <c r="I484" s="62">
        <f>SUM(テーブル9[[#This Row],[五大]:[工場材]])</f>
        <v/>
      </c>
      <c r="J484" s="65" t="n"/>
      <c r="K484" s="65" t="n"/>
      <c r="L484" s="65" t="n"/>
      <c r="M484" s="65" t="n"/>
      <c r="N484" s="65" t="n"/>
      <c r="O484" s="69" t="n"/>
      <c r="P484" s="65" t="n"/>
      <c r="Q484" s="65" t="n"/>
      <c r="R484" s="65" t="n"/>
      <c r="S484" s="65" t="n"/>
      <c r="T484" s="65" t="n"/>
      <c r="U484" s="65" t="n"/>
      <c r="V484" s="65" t="n"/>
      <c r="W484" s="65" t="n">
        <v>80000</v>
      </c>
      <c r="X484" s="66" t="n">
        <v>1925</v>
      </c>
      <c r="Y484" s="65" t="n"/>
      <c r="Z484" s="65" t="n"/>
      <c r="AA484" s="69" t="n">
        <v>45000</v>
      </c>
      <c r="AB484" s="69" t="n">
        <v>80000</v>
      </c>
      <c r="AC484" s="65" t="n"/>
      <c r="AD484" s="65" t="n"/>
      <c r="AE484" s="65" t="n"/>
      <c r="AF484" s="65" t="n"/>
      <c r="AG484" s="65" t="n"/>
      <c r="AH484" s="65" t="n">
        <v>20000</v>
      </c>
      <c r="AI484" s="65" t="n"/>
      <c r="AJ484" s="65" t="n"/>
      <c r="AK484" s="65" t="n"/>
      <c r="AL484" s="65" t="n"/>
      <c r="AM484" s="65" t="n"/>
      <c r="AN484" s="65" t="n"/>
      <c r="AO484" s="65" t="n"/>
      <c r="AP484" s="65" t="n"/>
      <c r="AQ484" s="65" t="n"/>
      <c r="AR484" s="65" t="n"/>
      <c r="AS484" s="65" t="n"/>
      <c r="AT484" s="65" t="n"/>
      <c r="AU484" s="65" t="n"/>
      <c r="AV484" s="65" t="n"/>
      <c r="AW484" s="65" t="n"/>
      <c r="AX484" s="65" t="n"/>
      <c r="AY484" s="65" t="n"/>
      <c r="AZ484" s="65" t="n"/>
      <c r="BA484" s="65" t="n"/>
      <c r="BB484" s="65" t="n"/>
      <c r="BC484" s="65" t="n"/>
      <c r="BD484" s="65" t="n"/>
      <c r="BE484" s="65" t="n"/>
      <c r="BF484" s="65" t="n"/>
      <c r="BG484" s="65" t="n"/>
    </row>
    <row r="485">
      <c r="B485" s="1" t="inlineStr">
        <is>
          <t>ダイヤパレスいずみの杜南光台　佐藤邸</t>
        </is>
      </c>
      <c r="C485" s="1" t="inlineStr">
        <is>
          <t>LIXIL</t>
        </is>
      </c>
      <c r="D485" s="1" t="inlineStr">
        <is>
          <t>インプラス下地工事</t>
        </is>
      </c>
      <c r="E485" s="2" t="inlineStr">
        <is>
          <t>6月</t>
        </is>
      </c>
      <c r="F485" s="68">
        <f>9460+76540</f>
        <v/>
      </c>
      <c r="G485" s="68">
        <f>IF(B485="","",F485-I485 )</f>
        <v/>
      </c>
      <c r="H485" s="5">
        <f>IF(G485="","",G485/F485)</f>
        <v/>
      </c>
      <c r="I485" s="62">
        <f>SUM(テーブル9[[#This Row],[五大]:[工場材]])</f>
        <v/>
      </c>
      <c r="J485" s="65" t="n"/>
      <c r="K485" s="65" t="n"/>
      <c r="L485" s="65" t="n"/>
      <c r="M485" s="65" t="n"/>
      <c r="N485" s="65" t="n"/>
      <c r="O485" s="69" t="n"/>
      <c r="P485" s="65" t="n"/>
      <c r="Q485" s="65" t="n"/>
      <c r="R485" s="65" t="n"/>
      <c r="S485" s="65" t="n"/>
      <c r="T485" s="65" t="n"/>
      <c r="U485" s="65" t="n"/>
      <c r="V485" s="65" t="n"/>
      <c r="W485" s="65" t="n">
        <v>35000</v>
      </c>
      <c r="X485" s="66" t="n">
        <v>5632</v>
      </c>
      <c r="Y485" s="65" t="n"/>
      <c r="Z485" s="65" t="n"/>
      <c r="AA485" s="65" t="n"/>
      <c r="AB485" s="65" t="n"/>
      <c r="AC485" s="65" t="n"/>
      <c r="AD485" s="65" t="n"/>
      <c r="AE485" s="65" t="n"/>
      <c r="AF485" s="65" t="n"/>
      <c r="AG485" s="65" t="n"/>
      <c r="AH485" s="65" t="n">
        <v>20000</v>
      </c>
      <c r="AI485" s="65" t="n"/>
      <c r="AJ485" s="65" t="n"/>
      <c r="AK485" s="65" t="n"/>
      <c r="AL485" s="65" t="n"/>
      <c r="AM485" s="65" t="n"/>
      <c r="AN485" s="65" t="n"/>
      <c r="AO485" s="65" t="n"/>
      <c r="AP485" s="65" t="n"/>
      <c r="AQ485" s="65" t="n"/>
      <c r="AR485" s="65" t="n"/>
      <c r="AS485" s="65" t="n"/>
      <c r="AT485" s="65" t="n"/>
      <c r="AU485" s="65" t="n"/>
      <c r="AV485" s="65" t="n"/>
      <c r="AW485" s="65" t="n"/>
      <c r="AX485" s="65" t="n"/>
      <c r="AY485" s="65" t="n"/>
      <c r="AZ485" s="65" t="n"/>
      <c r="BA485" s="65" t="n"/>
      <c r="BB485" s="65" t="n"/>
      <c r="BC485" s="65" t="n"/>
      <c r="BD485" s="65" t="n"/>
      <c r="BE485" s="65" t="n"/>
      <c r="BF485" s="65" t="n"/>
      <c r="BG485" s="65" t="n"/>
    </row>
    <row r="486">
      <c r="B486" s="1" t="inlineStr">
        <is>
          <t>野のゆりホーム</t>
        </is>
      </c>
      <c r="C486" s="1" t="inlineStr">
        <is>
          <t>光和工業</t>
        </is>
      </c>
      <c r="D486" s="1" t="inlineStr">
        <is>
          <t>床清掃　什器清掃</t>
        </is>
      </c>
      <c r="E486" s="2" t="inlineStr">
        <is>
          <t>6月</t>
        </is>
      </c>
      <c r="F486" s="68" t="n">
        <v>270000</v>
      </c>
      <c r="G486" s="68">
        <f>IF(B486="","",F486-I486 )</f>
        <v/>
      </c>
      <c r="H486" s="5">
        <f>IF(G486="","",G486/F486)</f>
        <v/>
      </c>
      <c r="I486" s="62">
        <f>SUM(テーブル9[[#This Row],[五大]:[工場材]])</f>
        <v/>
      </c>
      <c r="J486" s="65" t="n"/>
      <c r="K486" s="65" t="n"/>
      <c r="L486" s="65" t="n"/>
      <c r="M486" s="65" t="n"/>
      <c r="N486" s="65" t="n"/>
      <c r="O486" s="69" t="n"/>
      <c r="P486" s="65" t="n"/>
      <c r="Q486" s="65" t="n"/>
      <c r="R486" s="65" t="n"/>
      <c r="S486" s="65" t="n"/>
      <c r="T486" s="69" t="n">
        <v>196000</v>
      </c>
      <c r="U486" s="65" t="n"/>
      <c r="V486" s="65" t="n"/>
      <c r="W486" s="65" t="n"/>
      <c r="X486" s="66" t="n"/>
      <c r="Y486" s="65" t="n"/>
      <c r="Z486" s="65" t="n"/>
      <c r="AA486" s="65" t="n"/>
      <c r="AB486" s="65" t="n"/>
      <c r="AC486" s="65" t="n"/>
      <c r="AD486" s="65" t="n"/>
      <c r="AE486" s="65" t="n"/>
      <c r="AF486" s="65" t="n"/>
      <c r="AG486" s="65" t="n"/>
      <c r="AH486" s="65" t="n"/>
      <c r="AI486" s="65" t="n"/>
      <c r="AJ486" s="69" t="n">
        <v>40000</v>
      </c>
      <c r="AK486" s="65" t="n"/>
      <c r="AL486" s="65" t="n"/>
      <c r="AM486" s="65" t="n"/>
      <c r="AN486" s="65" t="n"/>
      <c r="AO486" s="65" t="n"/>
      <c r="AP486" s="65" t="n"/>
      <c r="AQ486" s="65" t="n"/>
      <c r="AR486" s="65" t="n"/>
      <c r="AS486" s="65" t="n"/>
      <c r="AT486" s="65" t="n"/>
      <c r="AU486" s="65" t="n"/>
      <c r="AV486" s="65" t="n"/>
      <c r="AW486" s="65" t="n"/>
      <c r="AX486" s="65" t="n"/>
      <c r="AY486" s="65" t="n"/>
      <c r="AZ486" s="65" t="n"/>
      <c r="BA486" s="65" t="n"/>
      <c r="BB486" s="65" t="n"/>
      <c r="BC486" s="65" t="n"/>
      <c r="BD486" s="65" t="n"/>
      <c r="BE486" s="65" t="n"/>
      <c r="BF486" s="65" t="n"/>
      <c r="BG486" s="65" t="n"/>
    </row>
    <row r="487">
      <c r="B487" s="1" t="inlineStr">
        <is>
          <t>ピックアップ</t>
        </is>
      </c>
      <c r="C487" s="1" t="inlineStr">
        <is>
          <t>サステム</t>
        </is>
      </c>
      <c r="D487" s="1" t="inlineStr">
        <is>
          <t>入口ドア交換</t>
        </is>
      </c>
      <c r="E487" s="2" t="inlineStr">
        <is>
          <t>6月</t>
        </is>
      </c>
      <c r="F487" s="68" t="n">
        <v>360000</v>
      </c>
      <c r="G487" s="68">
        <f>IF(B487="","",F487-I487 )</f>
        <v/>
      </c>
      <c r="H487" s="5">
        <f>IF(G487="","",G487/F487)</f>
        <v/>
      </c>
      <c r="I487" s="62">
        <f>SUM(テーブル9[[#This Row],[五大]:[工場材]])</f>
        <v/>
      </c>
      <c r="J487" s="65" t="n"/>
      <c r="K487" s="65" t="n"/>
      <c r="L487" s="65" t="n"/>
      <c r="M487" s="65" t="n"/>
      <c r="N487" s="65" t="n"/>
      <c r="O487" s="69" t="n"/>
      <c r="P487" s="65" t="n"/>
      <c r="Q487" s="65" t="n"/>
      <c r="R487" s="65" t="n"/>
      <c r="S487" s="65" t="n"/>
      <c r="T487" s="65" t="n"/>
      <c r="U487" s="65" t="n"/>
      <c r="V487" s="65" t="n"/>
      <c r="W487" s="65" t="n"/>
      <c r="X487" s="66" t="n"/>
      <c r="Y487" s="65" t="n"/>
      <c r="Z487" s="65" t="n"/>
      <c r="AA487" s="65" t="n"/>
      <c r="AB487" s="65" t="n"/>
      <c r="AC487" s="65" t="n"/>
      <c r="AD487" s="65" t="n"/>
      <c r="AE487" s="65" t="n">
        <v>273484</v>
      </c>
      <c r="AF487" s="65" t="n"/>
      <c r="AG487" s="65" t="n"/>
      <c r="AH487" s="65" t="n"/>
      <c r="AI487" s="65" t="n"/>
      <c r="AJ487" s="65" t="n"/>
      <c r="AK487" s="65" t="n"/>
      <c r="AL487" s="65" t="n"/>
      <c r="AM487" s="65" t="n"/>
      <c r="AN487" s="65" t="n"/>
      <c r="AO487" s="65" t="n"/>
      <c r="AP487" s="65" t="n"/>
      <c r="AQ487" s="65" t="n"/>
      <c r="AR487" s="65" t="n"/>
      <c r="AS487" s="65" t="n"/>
      <c r="AT487" s="65" t="n"/>
      <c r="AU487" s="65" t="n"/>
      <c r="AV487" s="65" t="n"/>
      <c r="AW487" s="65" t="n"/>
      <c r="AX487" s="65" t="n"/>
      <c r="AY487" s="65" t="n"/>
      <c r="AZ487" s="65" t="n"/>
      <c r="BA487" s="65" t="n"/>
      <c r="BB487" s="65" t="n"/>
      <c r="BC487" s="65" t="n"/>
      <c r="BD487" s="65" t="n"/>
      <c r="BE487" s="65" t="n"/>
      <c r="BF487" s="65" t="n"/>
      <c r="BG487" s="65" t="n"/>
    </row>
    <row r="488">
      <c r="B488" s="1" t="inlineStr">
        <is>
          <t>ソファレ早川101</t>
        </is>
      </c>
      <c r="C488" s="1" t="inlineStr">
        <is>
          <t>ハイム</t>
        </is>
      </c>
      <c r="D488" s="1" t="inlineStr">
        <is>
          <t>リノベ</t>
        </is>
      </c>
      <c r="E488" s="2" t="inlineStr">
        <is>
          <t>6月</t>
        </is>
      </c>
      <c r="F488" s="68" t="n">
        <v>2770000</v>
      </c>
      <c r="G488" s="68">
        <f>IF(B488="","",F488-I488 )</f>
        <v/>
      </c>
      <c r="H488" s="5">
        <f>IF(G488="","",G488/F488)</f>
        <v/>
      </c>
      <c r="I488" s="62">
        <f>SUM(テーブル9[[#This Row],[五大]:[工場材]])</f>
        <v/>
      </c>
      <c r="J488" s="65" t="n"/>
      <c r="K488" s="65" t="n"/>
      <c r="L488" s="65" t="n"/>
      <c r="M488" s="65" t="n"/>
      <c r="N488" s="65" t="n"/>
      <c r="O488" s="69" t="n"/>
      <c r="P488" s="65" t="n"/>
      <c r="Q488" s="65" t="n"/>
      <c r="R488" s="65" t="n"/>
      <c r="S488" s="65" t="n"/>
      <c r="T488" s="65" t="n"/>
      <c r="U488" s="65" t="n"/>
      <c r="V488" s="65" t="n"/>
      <c r="W488" s="65" t="n">
        <v>500000</v>
      </c>
      <c r="X488" s="66" t="n">
        <v>81199</v>
      </c>
      <c r="Y488" s="65" t="n"/>
      <c r="Z488" s="65" t="n"/>
      <c r="AA488" s="69" t="n">
        <v>120000</v>
      </c>
      <c r="AB488" s="69" t="n">
        <v>130000</v>
      </c>
      <c r="AC488" s="65" t="n"/>
      <c r="AD488" s="65" t="n"/>
      <c r="AE488" s="65" t="n"/>
      <c r="AF488" s="65" t="n"/>
      <c r="AG488" s="69">
        <f>150450+4100+161000+40000</f>
        <v/>
      </c>
      <c r="AH488" s="65" t="n"/>
      <c r="AI488" s="65" t="n"/>
      <c r="AJ488" s="65" t="n"/>
      <c r="AK488" s="65" t="n"/>
      <c r="AL488" s="65" t="n"/>
      <c r="AM488" s="65" t="n"/>
      <c r="AN488" s="65" t="n"/>
      <c r="AO488" s="65" t="n"/>
      <c r="AP488" s="69">
        <f>814706-134590-8911-36750+2660+111370+3080</f>
        <v/>
      </c>
      <c r="AQ488" s="69" t="n"/>
      <c r="AR488" s="69" t="n">
        <v>44000</v>
      </c>
      <c r="AS488" s="65" t="n"/>
      <c r="AT488" s="65" t="n"/>
      <c r="AU488" s="65" t="n"/>
      <c r="AV488" s="65" t="n"/>
      <c r="AW488" s="69" t="n">
        <v>20000</v>
      </c>
      <c r="AX488" s="65" t="n"/>
      <c r="AY488" s="65" t="n"/>
      <c r="AZ488" s="65" t="n"/>
      <c r="BA488" s="65" t="n"/>
      <c r="BB488" s="65" t="n"/>
      <c r="BC488" s="65" t="n"/>
      <c r="BD488" s="65" t="n"/>
      <c r="BE488" s="65" t="n"/>
      <c r="BF488" s="65" t="n"/>
      <c r="BG488" s="65" t="n"/>
    </row>
    <row r="489">
      <c r="B489" s="1" t="inlineStr">
        <is>
          <t>河西様邸</t>
        </is>
      </c>
      <c r="C489" s="1" t="inlineStr">
        <is>
          <t>光和工業</t>
        </is>
      </c>
      <c r="D489" s="1" t="inlineStr">
        <is>
          <t>便器交換</t>
        </is>
      </c>
      <c r="E489" s="2" t="inlineStr">
        <is>
          <t>6月</t>
        </is>
      </c>
      <c r="F489" s="68" t="n">
        <v>280000</v>
      </c>
      <c r="G489" s="68">
        <f>IF(B489="","",F489-I489 )</f>
        <v/>
      </c>
      <c r="H489" s="5">
        <f>IF(G489="","",G489/F489)</f>
        <v/>
      </c>
      <c r="I489" s="62">
        <f>SUM(テーブル9[[#This Row],[五大]:[工場材]])</f>
        <v/>
      </c>
      <c r="J489" s="65" t="n"/>
      <c r="K489" s="65" t="n"/>
      <c r="L489" s="65" t="n"/>
      <c r="M489" s="65" t="n"/>
      <c r="N489" s="65" t="n"/>
      <c r="O489" s="69" t="n"/>
      <c r="P489" s="65" t="n"/>
      <c r="Q489" s="65" t="n"/>
      <c r="R489" s="65" t="n"/>
      <c r="S489" s="65" t="n"/>
      <c r="T489" s="65" t="n"/>
      <c r="U489" s="65" t="n"/>
      <c r="V489" s="65" t="n"/>
      <c r="W489" s="65" t="n"/>
      <c r="X489" s="66" t="n"/>
      <c r="Y489" s="65" t="n"/>
      <c r="Z489" s="65" t="n"/>
      <c r="AA489" s="65" t="n"/>
      <c r="AB489" s="69" t="n">
        <v>20000</v>
      </c>
      <c r="AC489" s="65" t="n"/>
      <c r="AD489" s="65" t="n"/>
      <c r="AE489" s="65" t="n"/>
      <c r="AF489" s="65" t="n"/>
      <c r="AG489" s="65" t="n"/>
      <c r="AH489" s="65" t="n"/>
      <c r="AI489" s="65" t="n"/>
      <c r="AJ489" s="65" t="n"/>
      <c r="AK489" s="65" t="n"/>
      <c r="AL489" s="65" t="n"/>
      <c r="AM489" s="65" t="n"/>
      <c r="AN489" s="65" t="n"/>
      <c r="AO489" s="65" t="n"/>
      <c r="AP489" s="69" t="n">
        <v>134590</v>
      </c>
      <c r="AQ489" s="69" t="n"/>
      <c r="AR489" s="65" t="n"/>
      <c r="AS489" s="65" t="n"/>
      <c r="AT489" s="65" t="n"/>
      <c r="AU489" s="65" t="n"/>
      <c r="AV489" s="65" t="n"/>
      <c r="AW489" s="65" t="n"/>
      <c r="AX489" s="65" t="n"/>
      <c r="AY489" s="65" t="n"/>
      <c r="AZ489" s="65" t="n"/>
      <c r="BA489" s="65" t="n"/>
      <c r="BB489" s="65" t="n"/>
      <c r="BC489" s="65" t="n"/>
      <c r="BD489" s="65" t="n"/>
      <c r="BE489" s="65" t="n"/>
      <c r="BF489" s="65" t="n"/>
      <c r="BG489" s="65" t="n"/>
    </row>
    <row r="490">
      <c r="B490" s="1" t="inlineStr">
        <is>
          <t>ふれあい　さつきホーム</t>
        </is>
      </c>
      <c r="C490" s="1" t="inlineStr">
        <is>
          <t>光和工業</t>
        </is>
      </c>
      <c r="D490" s="1" t="inlineStr">
        <is>
          <t>便器交換</t>
        </is>
      </c>
      <c r="E490" s="2" t="inlineStr">
        <is>
          <t>6月</t>
        </is>
      </c>
      <c r="F490" s="68" t="n">
        <v>80000</v>
      </c>
      <c r="G490" s="68">
        <f>IF(B490="","",F490-I490 )</f>
        <v/>
      </c>
      <c r="H490" s="5">
        <f>IF(G490="","",G490/F490)</f>
        <v/>
      </c>
      <c r="I490" s="62">
        <f>SUM(テーブル9[[#This Row],[五大]:[工場材]])</f>
        <v/>
      </c>
      <c r="J490" s="65" t="n"/>
      <c r="K490" s="65" t="n"/>
      <c r="L490" s="65" t="n"/>
      <c r="M490" s="65" t="n"/>
      <c r="N490" s="65" t="n"/>
      <c r="O490" s="69" t="n"/>
      <c r="P490" s="65" t="n"/>
      <c r="Q490" s="65" t="n"/>
      <c r="R490" s="65" t="n"/>
      <c r="S490" s="65" t="n"/>
      <c r="T490" s="65" t="n"/>
      <c r="U490" s="65" t="n"/>
      <c r="V490" s="65" t="n"/>
      <c r="W490" s="65" t="n"/>
      <c r="X490" s="66" t="n"/>
      <c r="Y490" s="65" t="n"/>
      <c r="Z490" s="65" t="n"/>
      <c r="AA490" s="65" t="n"/>
      <c r="AB490" s="65" t="n"/>
      <c r="AC490" s="65" t="n"/>
      <c r="AD490" s="65" t="n"/>
      <c r="AE490" s="65" t="n"/>
      <c r="AF490" s="65" t="n"/>
      <c r="AG490" s="65" t="n"/>
      <c r="AH490" s="65" t="n"/>
      <c r="AI490" s="65" t="n"/>
      <c r="AJ490" s="65" t="n"/>
      <c r="AK490" s="65" t="n"/>
      <c r="AL490" s="65" t="n"/>
      <c r="AM490" s="65" t="n"/>
      <c r="AN490" s="65" t="n"/>
      <c r="AO490" s="65" t="n"/>
      <c r="AP490" s="69">
        <f>18210+18540</f>
        <v/>
      </c>
      <c r="AQ490" s="69" t="n"/>
      <c r="AR490" s="65" t="n"/>
      <c r="AS490" s="65" t="n"/>
      <c r="AT490" s="65" t="n"/>
      <c r="AU490" s="65" t="n"/>
      <c r="AV490" s="65" t="n"/>
      <c r="AW490" s="65" t="n"/>
      <c r="AX490" s="65" t="n"/>
      <c r="AY490" s="65" t="n"/>
      <c r="AZ490" s="65" t="n"/>
      <c r="BA490" s="65" t="n"/>
      <c r="BB490" s="65" t="n"/>
      <c r="BC490" s="65" t="n"/>
      <c r="BD490" s="65" t="n"/>
      <c r="BE490" s="65" t="n"/>
      <c r="BF490" s="65" t="n"/>
      <c r="BG490" s="65" t="n"/>
    </row>
    <row r="491">
      <c r="B491" s="1" t="inlineStr">
        <is>
          <t>ほっこり</t>
        </is>
      </c>
      <c r="C491" s="1" t="inlineStr">
        <is>
          <t>光和工業</t>
        </is>
      </c>
      <c r="D491" s="1" t="inlineStr">
        <is>
          <t>階段手摺取付け</t>
        </is>
      </c>
      <c r="E491" s="2" t="inlineStr">
        <is>
          <t>6月</t>
        </is>
      </c>
      <c r="F491" s="68" t="n">
        <v>165000</v>
      </c>
      <c r="G491" s="68">
        <f>IF(B491="","",F491-I491 )</f>
        <v/>
      </c>
      <c r="H491" s="5">
        <f>IF(G491="","",G491/F491)</f>
        <v/>
      </c>
      <c r="I491" s="62">
        <f>SUM(テーブル9[[#This Row],[五大]:[工場材]])</f>
        <v/>
      </c>
      <c r="J491" s="65" t="n"/>
      <c r="K491" s="65" t="n"/>
      <c r="L491" s="65" t="n"/>
      <c r="M491" s="65" t="n"/>
      <c r="N491" s="65" t="n"/>
      <c r="O491" s="69" t="n"/>
      <c r="P491" s="65" t="n"/>
      <c r="Q491" s="65" t="n"/>
      <c r="R491" s="65" t="n"/>
      <c r="S491" s="65" t="n"/>
      <c r="T491" s="65" t="n"/>
      <c r="U491" s="65" t="n"/>
      <c r="V491" s="65" t="n"/>
      <c r="W491" s="65" t="n">
        <v>60000</v>
      </c>
      <c r="X491" s="66" t="n">
        <v>19610</v>
      </c>
      <c r="Y491" s="65" t="n"/>
      <c r="Z491" s="65" t="n"/>
      <c r="AA491" s="65" t="n"/>
      <c r="AB491" s="65" t="n"/>
      <c r="AC491" s="65" t="n"/>
      <c r="AD491" s="65" t="n"/>
      <c r="AE491" s="65" t="n"/>
      <c r="AF491" s="65" t="n"/>
      <c r="AG491" s="65" t="n"/>
      <c r="AH491" s="65" t="n"/>
      <c r="AI491" s="65" t="n"/>
      <c r="AJ491" s="65" t="n"/>
      <c r="AK491" s="65" t="n"/>
      <c r="AL491" s="65" t="n"/>
      <c r="AM491" s="65" t="n"/>
      <c r="AN491" s="65" t="n"/>
      <c r="AO491" s="65" t="n"/>
      <c r="AP491" s="69">
        <f>10692+1320+5280+3800+1800</f>
        <v/>
      </c>
      <c r="AQ491" s="69" t="n"/>
      <c r="AR491" s="65" t="n"/>
      <c r="AS491" s="65" t="n"/>
      <c r="AT491" s="65" t="n"/>
      <c r="AU491" s="65" t="n"/>
      <c r="AV491" s="65" t="n"/>
      <c r="AW491" s="65" t="n"/>
      <c r="AX491" s="65" t="n"/>
      <c r="AY491" s="65" t="n"/>
      <c r="AZ491" s="65" t="n"/>
      <c r="BA491" s="65" t="n"/>
      <c r="BB491" s="65" t="n"/>
      <c r="BC491" s="65" t="n"/>
      <c r="BD491" s="65" t="n"/>
      <c r="BE491" s="65" t="n"/>
      <c r="BF491" s="65" t="n"/>
      <c r="BG491" s="65" t="n"/>
    </row>
    <row r="492">
      <c r="B492" s="1" t="inlineStr">
        <is>
          <t>シャーメゾングリーンフィールド</t>
        </is>
      </c>
      <c r="C492" s="1" t="inlineStr">
        <is>
          <t>積水不動産</t>
        </is>
      </c>
      <c r="D492" s="1" t="inlineStr">
        <is>
          <t>軒樋交換　屋根補修</t>
        </is>
      </c>
      <c r="E492" s="2" t="inlineStr">
        <is>
          <t>6月</t>
        </is>
      </c>
      <c r="F492" s="68" t="n">
        <v>93000</v>
      </c>
      <c r="G492" s="68">
        <f>IF(B492="","",F492-I492 )</f>
        <v/>
      </c>
      <c r="H492" s="5">
        <f>IF(G492="","",G492/F492)</f>
        <v/>
      </c>
      <c r="I492" s="62">
        <f>SUM(テーブル9[[#This Row],[五大]:[工場材]])</f>
        <v/>
      </c>
      <c r="J492" s="65" t="n"/>
      <c r="K492" s="65" t="n"/>
      <c r="L492" s="65" t="n"/>
      <c r="M492" s="65" t="n"/>
      <c r="N492" s="65" t="n"/>
      <c r="O492" s="69" t="n"/>
      <c r="P492" s="65" t="n"/>
      <c r="Q492" s="65" t="n"/>
      <c r="R492" s="65" t="n"/>
      <c r="S492" s="65" t="n"/>
      <c r="T492" s="65" t="n"/>
      <c r="U492" s="65" t="n"/>
      <c r="V492" s="65" t="n"/>
      <c r="W492" s="69" t="n">
        <v>50000</v>
      </c>
      <c r="X492" s="66" t="n"/>
      <c r="Y492" s="65" t="n"/>
      <c r="Z492" s="65" t="n"/>
      <c r="AA492" s="65" t="n"/>
      <c r="AB492" s="65" t="n"/>
      <c r="AC492" s="65" t="n"/>
      <c r="AD492" s="65" t="n"/>
      <c r="AE492" s="65" t="n"/>
      <c r="AF492" s="65" t="n"/>
      <c r="AG492" s="65" t="n"/>
      <c r="AH492" s="65" t="n"/>
      <c r="AI492" s="65" t="n"/>
      <c r="AJ492" s="65" t="n"/>
      <c r="AK492" s="65" t="n"/>
      <c r="AL492" s="65" t="n"/>
      <c r="AM492" s="65" t="n"/>
      <c r="AN492" s="65" t="n"/>
      <c r="AO492" s="65" t="n"/>
      <c r="AP492" s="65" t="n"/>
      <c r="AQ492" s="65" t="n"/>
      <c r="AR492" s="65" t="n"/>
      <c r="AS492" s="65" t="n"/>
      <c r="AT492" s="65" t="n"/>
      <c r="AU492" s="65" t="n"/>
      <c r="AV492" s="65" t="n"/>
      <c r="AW492" s="65" t="n"/>
      <c r="AX492" s="65" t="n"/>
      <c r="AY492" s="65" t="n"/>
      <c r="AZ492" s="65" t="n"/>
      <c r="BA492" s="65" t="n"/>
      <c r="BB492" s="65" t="n"/>
      <c r="BC492" s="65" t="n"/>
      <c r="BD492" s="65" t="n"/>
      <c r="BE492" s="65" t="n"/>
      <c r="BF492" s="65" t="n"/>
      <c r="BG492" s="65">
        <f>2602+7000</f>
        <v/>
      </c>
    </row>
    <row r="493">
      <c r="B493" s="1" t="inlineStr">
        <is>
          <t>スナック美々</t>
        </is>
      </c>
      <c r="C493" s="1" t="inlineStr">
        <is>
          <t>光和工業</t>
        </is>
      </c>
      <c r="D493" s="1" t="inlineStr">
        <is>
          <t>店舗新築工事</t>
        </is>
      </c>
      <c r="E493" s="2" t="inlineStr">
        <is>
          <t>7月</t>
        </is>
      </c>
      <c r="F493" s="68" t="n">
        <v>2370000</v>
      </c>
      <c r="G493" s="68">
        <f>IF(B493="","",F493-I493 )</f>
        <v/>
      </c>
      <c r="H493" s="5">
        <f>IF(G493="","",G493/F493)</f>
        <v/>
      </c>
      <c r="I493" s="62">
        <f>SUM(テーブル9[[#This Row],[五大]:[工場材]])</f>
        <v/>
      </c>
      <c r="J493" s="65" t="n"/>
      <c r="K493" s="65" t="n"/>
      <c r="L493" s="65" t="n"/>
      <c r="M493" s="65" t="n"/>
      <c r="N493" s="65" t="n"/>
      <c r="O493" s="69" t="n"/>
      <c r="P493" s="65" t="n"/>
      <c r="Q493" s="65" t="n"/>
      <c r="R493" s="65" t="n"/>
      <c r="S493" s="65" t="n"/>
      <c r="T493" s="65" t="n"/>
      <c r="U493" s="65" t="n"/>
      <c r="V493" s="65" t="n"/>
      <c r="W493" s="69" t="n">
        <v>500000</v>
      </c>
      <c r="X493" s="66" t="n">
        <v>312794</v>
      </c>
      <c r="Y493" s="65" t="n"/>
      <c r="Z493" s="65" t="n"/>
      <c r="AA493" s="69" t="n">
        <v>550000</v>
      </c>
      <c r="AB493" s="69" t="n">
        <v>228000</v>
      </c>
      <c r="AC493" s="65" t="n"/>
      <c r="AD493" s="65" t="n"/>
      <c r="AE493" s="65" t="n"/>
      <c r="AF493" s="65" t="n"/>
      <c r="AG493" s="65" t="n"/>
      <c r="AH493" s="69" t="n">
        <v>358000</v>
      </c>
      <c r="AI493" s="65" t="n"/>
      <c r="AJ493" s="65" t="n"/>
      <c r="AK493" s="65" t="n"/>
      <c r="AL493" s="65" t="n"/>
      <c r="AM493" s="65" t="n"/>
      <c r="AN493" s="69" t="n">
        <v>58000</v>
      </c>
      <c r="AO493" s="65" t="n"/>
      <c r="AP493" s="65" t="n"/>
      <c r="AQ493" s="65" t="n"/>
      <c r="AR493" s="65" t="n"/>
      <c r="AS493" s="65" t="n"/>
      <c r="AT493" s="65" t="n"/>
      <c r="AU493" s="65" t="n"/>
      <c r="AV493" s="65" t="n"/>
      <c r="AW493" s="65" t="n"/>
      <c r="AX493" s="65" t="n"/>
      <c r="AY493" s="65" t="n"/>
      <c r="AZ493" s="65" t="n"/>
      <c r="BA493" s="65" t="n"/>
      <c r="BB493" s="65" t="n"/>
      <c r="BC493" s="65" t="n"/>
      <c r="BD493" s="65" t="n"/>
      <c r="BE493" s="65" t="n"/>
      <c r="BF493" s="65" t="n"/>
      <c r="BG493" s="65" t="n">
        <v>50000</v>
      </c>
    </row>
    <row r="494">
      <c r="F494" s="68" t="n"/>
      <c r="G494" s="68">
        <f>IF(B494="","",F494-I494 )</f>
        <v/>
      </c>
      <c r="H494" s="5">
        <f>IF(G494="","",G494/F494)</f>
        <v/>
      </c>
      <c r="I494" s="62">
        <f>SUM(テーブル9[[#This Row],[五大]:[工場材]])</f>
        <v/>
      </c>
      <c r="J494" s="65" t="n"/>
      <c r="K494" s="65" t="n"/>
      <c r="L494" s="65" t="n"/>
      <c r="M494" s="65" t="n"/>
      <c r="N494" s="65" t="n"/>
      <c r="O494" s="69" t="n"/>
      <c r="P494" s="65" t="n"/>
      <c r="Q494" s="65" t="n"/>
      <c r="R494" s="65" t="n"/>
      <c r="S494" s="65" t="n"/>
      <c r="T494" s="65" t="n"/>
      <c r="U494" s="65" t="n"/>
      <c r="V494" s="65" t="n"/>
      <c r="W494" s="65" t="n"/>
      <c r="X494" s="66" t="n"/>
      <c r="Y494" s="65" t="n"/>
      <c r="Z494" s="65" t="n"/>
      <c r="AA494" s="65" t="n"/>
      <c r="AB494" s="65" t="n"/>
      <c r="AC494" s="65" t="n"/>
      <c r="AD494" s="65" t="n"/>
      <c r="AE494" s="65" t="n"/>
      <c r="AF494" s="65" t="n"/>
      <c r="AG494" s="65" t="n"/>
      <c r="AH494" s="65" t="n"/>
      <c r="AI494" s="65" t="n"/>
      <c r="AJ494" s="65" t="n"/>
      <c r="AK494" s="65" t="n"/>
      <c r="AL494" s="65" t="n"/>
      <c r="AM494" s="65" t="n"/>
      <c r="AN494" s="65" t="n"/>
      <c r="AO494" s="65" t="n"/>
      <c r="AP494" s="65" t="n"/>
      <c r="AQ494" s="65" t="n"/>
      <c r="AR494" s="65" t="n"/>
      <c r="AS494" s="65" t="n"/>
      <c r="AT494" s="65" t="n"/>
      <c r="AU494" s="65" t="n"/>
      <c r="AV494" s="65" t="n"/>
      <c r="AW494" s="65" t="n"/>
      <c r="AX494" s="65" t="n"/>
      <c r="AY494" s="65" t="n"/>
      <c r="AZ494" s="65" t="n"/>
      <c r="BA494" s="65" t="n"/>
      <c r="BB494" s="65" t="n"/>
      <c r="BC494" s="65" t="n"/>
      <c r="BD494" s="65" t="n"/>
      <c r="BE494" s="65" t="n"/>
      <c r="BF494" s="65" t="n"/>
      <c r="BG494" s="65" t="n"/>
    </row>
    <row r="495">
      <c r="A495" s="0" t="inlineStr">
        <is>
          <t>R6.8</t>
        </is>
      </c>
      <c r="B495" s="1" t="inlineStr">
        <is>
          <t>レーベンハウス102</t>
        </is>
      </c>
      <c r="C495" s="1" t="inlineStr">
        <is>
          <t>積水不動産</t>
        </is>
      </c>
      <c r="D495" s="1" t="inlineStr">
        <is>
          <t>リノベーション</t>
        </is>
      </c>
      <c r="E495" s="2" t="inlineStr">
        <is>
          <t>7月</t>
        </is>
      </c>
      <c r="F495" s="68" t="n">
        <v>2100000</v>
      </c>
      <c r="G495" s="68">
        <f>IF(B495="","",F495-I495 )</f>
        <v/>
      </c>
      <c r="H495" s="5">
        <f>IF(G495="","",G495/F495)</f>
        <v/>
      </c>
      <c r="I495" s="62">
        <f>SUM(テーブル9[[#This Row],[五大]:[工場材]])</f>
        <v/>
      </c>
      <c r="J495" s="65" t="n"/>
      <c r="K495" s="65" t="n"/>
      <c r="L495" s="65" t="n"/>
      <c r="M495" s="65" t="n"/>
      <c r="N495" s="65" t="n"/>
      <c r="O495" s="69" t="n"/>
      <c r="P495" s="65" t="n"/>
      <c r="Q495" s="65" t="n"/>
      <c r="R495" s="65" t="n"/>
      <c r="S495" s="65" t="n"/>
      <c r="T495" s="65" t="n"/>
      <c r="U495" s="65" t="n"/>
      <c r="V495" s="65" t="n"/>
      <c r="W495" s="69" t="n">
        <v>500000</v>
      </c>
      <c r="X495" s="66" t="n">
        <v>118862</v>
      </c>
      <c r="Y495" s="65" t="n"/>
      <c r="Z495" s="65" t="n"/>
      <c r="AA495" s="69" t="n">
        <v>85000</v>
      </c>
      <c r="AB495" s="69" t="n"/>
      <c r="AC495" s="65" t="n"/>
      <c r="AD495" s="65" t="n"/>
      <c r="AE495" s="65" t="n"/>
      <c r="AF495" s="65" t="n"/>
      <c r="AG495" s="65" t="n"/>
      <c r="AH495" s="69" t="n">
        <v>428900</v>
      </c>
      <c r="AI495" s="65" t="n"/>
      <c r="AJ495" s="65" t="n"/>
      <c r="AK495" s="65" t="n"/>
      <c r="AL495" s="65" t="n"/>
      <c r="AM495" s="65" t="n"/>
      <c r="AN495" s="65" t="n"/>
      <c r="AO495" s="65" t="n"/>
      <c r="AP495" s="65" t="n"/>
      <c r="AQ495" s="65" t="n"/>
      <c r="AR495" s="65" t="n"/>
      <c r="AS495" s="69">
        <f>42200+195000+15000+72000+15000</f>
        <v/>
      </c>
      <c r="AT495" s="69" t="n"/>
      <c r="AU495" s="65" t="n"/>
      <c r="AV495" s="65" t="n"/>
      <c r="AW495" s="69" t="n">
        <v>60000</v>
      </c>
      <c r="AX495" s="65" t="n"/>
      <c r="AY495" s="65" t="n"/>
      <c r="AZ495" s="65" t="n"/>
      <c r="BA495" s="65" t="n"/>
      <c r="BB495" s="65" t="n"/>
      <c r="BC495" s="65" t="n"/>
      <c r="BD495" s="65" t="n"/>
      <c r="BE495" s="65" t="n"/>
      <c r="BF495" s="65" t="n"/>
      <c r="BG495" s="65">
        <f>197000+50000</f>
        <v/>
      </c>
    </row>
    <row r="496">
      <c r="B496" s="1" t="inlineStr">
        <is>
          <t>西中田　斎藤邸</t>
        </is>
      </c>
      <c r="C496" s="1" t="inlineStr">
        <is>
          <t>LIXIL</t>
        </is>
      </c>
      <c r="D496" s="1" t="inlineStr">
        <is>
          <t>インプラス窓ふかし　建具詰め</t>
        </is>
      </c>
      <c r="E496" s="2" t="inlineStr">
        <is>
          <t>7月</t>
        </is>
      </c>
      <c r="F496" s="68">
        <f>201000+11330</f>
        <v/>
      </c>
      <c r="G496" s="68">
        <f>IF(B496="","",F496-I496 )</f>
        <v/>
      </c>
      <c r="H496" s="5">
        <f>IF(G496="","",G496/F496)</f>
        <v/>
      </c>
      <c r="I496" s="62">
        <f>SUM(テーブル9[[#This Row],[五大]:[工場材]])</f>
        <v/>
      </c>
      <c r="J496" s="65" t="n"/>
      <c r="K496" s="65" t="n"/>
      <c r="L496" s="65" t="n"/>
      <c r="M496" s="65" t="n"/>
      <c r="N496" s="65" t="n"/>
      <c r="O496" s="69" t="n"/>
      <c r="P496" s="65" t="n"/>
      <c r="Q496" s="65" t="n"/>
      <c r="R496" s="65" t="n"/>
      <c r="S496" s="65" t="n"/>
      <c r="T496" s="65" t="n"/>
      <c r="U496" s="65" t="n"/>
      <c r="V496" s="65" t="n"/>
      <c r="W496" s="69" t="n">
        <v>100000</v>
      </c>
      <c r="X496" s="66" t="n">
        <v>33279</v>
      </c>
      <c r="Y496" s="65" t="n"/>
      <c r="Z496" s="65" t="n"/>
      <c r="AA496" s="65" t="n"/>
      <c r="AB496" s="65" t="n"/>
      <c r="AC496" s="65" t="n"/>
      <c r="AD496" s="65" t="n"/>
      <c r="AE496" s="65" t="n"/>
      <c r="AF496" s="65" t="n"/>
      <c r="AG496" s="65" t="n"/>
      <c r="AH496" s="65" t="n"/>
      <c r="AI496" s="65" t="n"/>
      <c r="AJ496" s="65" t="n"/>
      <c r="AK496" s="65" t="n"/>
      <c r="AL496" s="65" t="n"/>
      <c r="AM496" s="65" t="n"/>
      <c r="AN496" s="65" t="n"/>
      <c r="AO496" s="65" t="n"/>
      <c r="AP496" s="65" t="n"/>
      <c r="AQ496" s="65" t="n"/>
      <c r="AR496" s="65" t="n"/>
      <c r="AS496" s="65" t="n"/>
      <c r="AT496" s="65" t="n"/>
      <c r="AU496" s="65" t="n"/>
      <c r="AV496" s="65" t="n"/>
      <c r="AW496" s="65" t="n"/>
      <c r="AX496" s="65" t="n"/>
      <c r="AY496" s="65" t="n"/>
      <c r="AZ496" s="65" t="n"/>
      <c r="BA496" s="65" t="n"/>
      <c r="BB496" s="65" t="n"/>
      <c r="BC496" s="65" t="n"/>
      <c r="BD496" s="65" t="n"/>
      <c r="BE496" s="65" t="n"/>
      <c r="BF496" s="65" t="n"/>
      <c r="BG496" s="65" t="n"/>
    </row>
    <row r="497">
      <c r="B497" s="1" t="inlineStr">
        <is>
          <t>ネオハイツ中野栄505</t>
        </is>
      </c>
      <c r="C497" s="1" t="inlineStr">
        <is>
          <t>LIXIL</t>
        </is>
      </c>
      <c r="D497" s="1" t="inlineStr">
        <is>
          <t>防音フローリング+クロス</t>
        </is>
      </c>
      <c r="E497" s="2" t="inlineStr">
        <is>
          <t>7月</t>
        </is>
      </c>
      <c r="F497" s="68">
        <f>1233930-F496</f>
        <v/>
      </c>
      <c r="G497" s="68">
        <f>IF(B497="","",F497-I497 )</f>
        <v/>
      </c>
      <c r="H497" s="5">
        <f>IF(G497="","",G497/F497)</f>
        <v/>
      </c>
      <c r="I497" s="62">
        <f>SUM(テーブル9[[#This Row],[五大]:[工場材]])</f>
        <v/>
      </c>
      <c r="J497" s="65" t="n"/>
      <c r="K497" s="65" t="n"/>
      <c r="L497" s="65" t="n"/>
      <c r="M497" s="65" t="n"/>
      <c r="N497" s="65" t="n"/>
      <c r="O497" s="69" t="n"/>
      <c r="P497" s="65" t="n"/>
      <c r="Q497" s="65" t="n"/>
      <c r="R497" s="65" t="n"/>
      <c r="S497" s="65" t="n"/>
      <c r="T497" s="65" t="n"/>
      <c r="U497" s="65" t="n"/>
      <c r="V497" s="65" t="n"/>
      <c r="W497" s="69" t="n">
        <v>250000</v>
      </c>
      <c r="X497" s="66" t="n">
        <v>15836</v>
      </c>
      <c r="Y497" s="65" t="n"/>
      <c r="Z497" s="65" t="n"/>
      <c r="AA497" s="65" t="n"/>
      <c r="AB497" s="65" t="n"/>
      <c r="AC497" s="65" t="n"/>
      <c r="AD497" s="65" t="n"/>
      <c r="AE497" s="65" t="n"/>
      <c r="AF497" s="65" t="n"/>
      <c r="AG497" s="65" t="n"/>
      <c r="AH497" s="69" t="n">
        <v>329900</v>
      </c>
      <c r="AI497" s="65" t="n"/>
      <c r="AJ497" s="65" t="n"/>
      <c r="AK497" s="65" t="n"/>
      <c r="AL497" s="65" t="n"/>
      <c r="AM497" s="65" t="n"/>
      <c r="AN497" s="65" t="n"/>
      <c r="AO497" s="65" t="n"/>
      <c r="AP497" s="65" t="n"/>
      <c r="AQ497" s="65" t="n"/>
      <c r="AR497" s="65" t="n"/>
      <c r="AS497" s="65" t="n"/>
      <c r="AT497" s="65" t="n"/>
      <c r="AU497" s="65" t="n"/>
      <c r="AV497" s="65" t="n"/>
      <c r="AW497" s="65" t="n"/>
      <c r="AX497" s="65" t="n"/>
      <c r="AY497" s="65" t="n"/>
      <c r="AZ497" s="65" t="n"/>
      <c r="BA497" s="65" t="n"/>
      <c r="BB497" s="65" t="n"/>
      <c r="BC497" s="65" t="n"/>
      <c r="BD497" s="65" t="n"/>
      <c r="BE497" s="65" t="n"/>
      <c r="BF497" s="65" t="n"/>
      <c r="BG497" s="65" t="n"/>
    </row>
    <row r="498">
      <c r="B498" s="1" t="inlineStr">
        <is>
          <t>吉成　三浦邸　（佐々友人）</t>
        </is>
      </c>
      <c r="C498" s="1" t="inlineStr">
        <is>
          <t>光和工業</t>
        </is>
      </c>
      <c r="D498" s="1" t="inlineStr">
        <is>
          <t>キッチン入替</t>
        </is>
      </c>
      <c r="E498" s="2" t="inlineStr">
        <is>
          <t>7月</t>
        </is>
      </c>
      <c r="F498" s="68" t="n">
        <v>983000</v>
      </c>
      <c r="G498" s="68">
        <f>IF(B498="","",F498-I498 )</f>
        <v/>
      </c>
      <c r="H498" s="5">
        <f>IF(G498="","",G498/F498)</f>
        <v/>
      </c>
      <c r="I498" s="62">
        <f>SUM(テーブル9[[#This Row],[五大]:[工場材]])</f>
        <v/>
      </c>
      <c r="J498" s="65" t="n"/>
      <c r="K498" s="65" t="n"/>
      <c r="L498" s="65" t="n"/>
      <c r="M498" s="65" t="n"/>
      <c r="N498" s="65" t="n"/>
      <c r="O498" s="69" t="n"/>
      <c r="P498" s="65" t="n"/>
      <c r="Q498" s="65" t="n"/>
      <c r="R498" s="65" t="n"/>
      <c r="S498" s="65" t="n"/>
      <c r="T498" s="65" t="n"/>
      <c r="U498" s="65" t="n"/>
      <c r="V498" s="65" t="n"/>
      <c r="W498" s="69" t="n">
        <v>50000</v>
      </c>
      <c r="X498" s="66" t="n"/>
      <c r="Y498" s="65" t="n"/>
      <c r="Z498" s="65" t="n"/>
      <c r="AA498" s="65" t="n"/>
      <c r="AB498" s="69" t="n">
        <v>110000</v>
      </c>
      <c r="AC498" s="65" t="n"/>
      <c r="AD498" s="65" t="n"/>
      <c r="AE498" s="65" t="n"/>
      <c r="AF498" s="65" t="n"/>
      <c r="AG498" s="65" t="n"/>
      <c r="AH498" s="65" t="n"/>
      <c r="AI498" s="65" t="n"/>
      <c r="AJ498" s="65" t="n"/>
      <c r="AK498" s="65" t="n"/>
      <c r="AL498" s="65" t="n"/>
      <c r="AM498" s="65" t="n"/>
      <c r="AN498" s="65" t="n"/>
      <c r="AO498" s="65" t="n"/>
      <c r="AP498" s="69">
        <f>190554+60057+3000+10320</f>
        <v/>
      </c>
      <c r="AQ498" s="69" t="n"/>
      <c r="AR498" s="65" t="n"/>
      <c r="AS498" s="65" t="n"/>
      <c r="AT498" s="65" t="n"/>
      <c r="AU498" s="65" t="n"/>
      <c r="AV498" s="65" t="n"/>
      <c r="AW498" s="65" t="n"/>
      <c r="AX498" s="65" t="n"/>
      <c r="AY498" s="65" t="n"/>
      <c r="AZ498" s="65" t="n"/>
      <c r="BA498" s="65" t="n"/>
      <c r="BB498" s="65" t="n"/>
      <c r="BC498" s="65" t="n"/>
      <c r="BD498" s="65" t="n"/>
      <c r="BE498" s="65" t="n"/>
      <c r="BF498" s="65" t="n"/>
      <c r="BG498" s="65" t="n"/>
    </row>
    <row r="499">
      <c r="F499" s="68" t="n"/>
      <c r="G499" s="68">
        <f>IF(B499="","",F499-I499 )</f>
        <v/>
      </c>
      <c r="H499" s="5">
        <f>IF(G499="","",G499/F499)</f>
        <v/>
      </c>
      <c r="I499" s="62">
        <f>SUM(テーブル9[[#This Row],[五大]:[工場材]])</f>
        <v/>
      </c>
      <c r="J499" s="65" t="n"/>
      <c r="K499" s="65" t="n"/>
      <c r="L499" s="65" t="n"/>
      <c r="M499" s="65" t="n"/>
      <c r="N499" s="65" t="n"/>
      <c r="O499" s="69" t="n"/>
      <c r="P499" s="65" t="n"/>
      <c r="Q499" s="65" t="n"/>
      <c r="R499" s="65" t="n"/>
      <c r="S499" s="65" t="n"/>
      <c r="T499" s="65" t="n"/>
      <c r="U499" s="65" t="n"/>
      <c r="V499" s="65" t="n"/>
      <c r="W499" s="65" t="n"/>
      <c r="X499" s="66" t="n"/>
      <c r="Y499" s="65" t="n"/>
      <c r="Z499" s="65" t="n"/>
      <c r="AA499" s="65" t="n"/>
      <c r="AB499" s="65" t="n"/>
      <c r="AC499" s="65" t="n"/>
      <c r="AD499" s="65" t="n"/>
      <c r="AE499" s="65" t="n"/>
      <c r="AF499" s="65" t="n"/>
      <c r="AG499" s="65" t="n"/>
      <c r="AH499" s="65" t="n"/>
      <c r="AI499" s="65" t="n"/>
      <c r="AJ499" s="65" t="n"/>
      <c r="AK499" s="65" t="n"/>
      <c r="AL499" s="65" t="n"/>
      <c r="AM499" s="65" t="n"/>
      <c r="AN499" s="65" t="n"/>
      <c r="AO499" s="65" t="n"/>
      <c r="AP499" s="65" t="n"/>
      <c r="AQ499" s="65" t="n"/>
      <c r="AR499" s="65" t="n"/>
      <c r="AS499" s="65" t="n"/>
      <c r="AT499" s="65" t="n"/>
      <c r="AU499" s="65" t="n"/>
      <c r="AV499" s="65" t="n"/>
      <c r="AW499" s="65" t="n"/>
      <c r="AX499" s="65" t="n"/>
      <c r="AY499" s="65" t="n"/>
      <c r="AZ499" s="65" t="n"/>
      <c r="BA499" s="65" t="n"/>
      <c r="BB499" s="65" t="n"/>
      <c r="BC499" s="65" t="n"/>
      <c r="BD499" s="65" t="n"/>
      <c r="BE499" s="65" t="n"/>
      <c r="BF499" s="65" t="n"/>
      <c r="BG499" s="65" t="n"/>
    </row>
    <row r="500">
      <c r="B500" s="1" t="inlineStr">
        <is>
          <t>山田自由が丘　小川邸</t>
        </is>
      </c>
      <c r="C500" s="1" t="inlineStr">
        <is>
          <t>LIXIL</t>
        </is>
      </c>
      <c r="D500" s="1" t="inlineStr">
        <is>
          <t>在来→UB　間仕切り移設</t>
        </is>
      </c>
      <c r="E500" s="2" t="inlineStr">
        <is>
          <t>8月</t>
        </is>
      </c>
      <c r="F500" s="68" t="n">
        <v>1237700</v>
      </c>
      <c r="G500" s="68">
        <f>IF(B500="","",F500-I500 )</f>
        <v/>
      </c>
      <c r="H500" s="5">
        <f>IF(G500="","",G500/F500)</f>
        <v/>
      </c>
      <c r="I500" s="62">
        <f>SUM(テーブル9[[#This Row],[五大]:[工場材]])</f>
        <v/>
      </c>
      <c r="J500" s="65" t="n"/>
      <c r="K500" s="65" t="n"/>
      <c r="L500" s="65" t="n"/>
      <c r="M500" s="65" t="n"/>
      <c r="N500" s="65" t="n"/>
      <c r="O500" s="69" t="n"/>
      <c r="P500" s="65" t="n"/>
      <c r="Q500" s="65" t="n"/>
      <c r="R500" s="65" t="n"/>
      <c r="S500" s="65" t="n"/>
      <c r="T500" s="65" t="n"/>
      <c r="U500" s="65" t="n"/>
      <c r="V500" s="65" t="n"/>
      <c r="W500" s="69" t="n">
        <v>400000</v>
      </c>
      <c r="X500" s="66" t="n">
        <v>137158</v>
      </c>
      <c r="Y500" s="65" t="n"/>
      <c r="Z500" s="65" t="n"/>
      <c r="AA500" s="69" t="n">
        <v>78000</v>
      </c>
      <c r="AB500" s="69" t="n">
        <v>148000</v>
      </c>
      <c r="AC500" s="65" t="n"/>
      <c r="AD500" s="65" t="n"/>
      <c r="AE500" s="65" t="n"/>
      <c r="AF500" s="65" t="n"/>
      <c r="AG500" s="65" t="n"/>
      <c r="AH500" s="69" t="n">
        <v>55000</v>
      </c>
      <c r="AI500" s="65" t="n"/>
      <c r="AJ500" s="65" t="n"/>
      <c r="AK500" s="65" t="n"/>
      <c r="AL500" s="65" t="n"/>
      <c r="AM500" s="65" t="n"/>
      <c r="AN500" s="65" t="n"/>
      <c r="AO500" s="65" t="n"/>
      <c r="AP500" s="65" t="n"/>
      <c r="AQ500" s="65" t="n"/>
      <c r="AR500" s="65" t="n"/>
      <c r="AS500" s="65" t="n"/>
      <c r="AT500" s="65" t="n"/>
      <c r="AU500" s="65" t="n"/>
      <c r="AV500" s="65" t="n"/>
      <c r="AW500" s="65" t="n"/>
      <c r="AX500" s="65" t="n"/>
      <c r="AY500" s="65" t="n"/>
      <c r="AZ500" s="65" t="n"/>
      <c r="BA500" s="65" t="n"/>
      <c r="BB500" s="65" t="n"/>
      <c r="BC500" s="65" t="n"/>
      <c r="BD500" s="65" t="n"/>
      <c r="BE500" s="65" t="n"/>
      <c r="BF500" s="65" t="n"/>
      <c r="BG500" s="65" t="n"/>
    </row>
    <row r="501">
      <c r="B501" s="1" t="inlineStr">
        <is>
          <t>西中田　荒木邸</t>
        </is>
      </c>
      <c r="C501" s="1" t="inlineStr">
        <is>
          <t>LIXIL</t>
        </is>
      </c>
      <c r="D501" s="1" t="inlineStr">
        <is>
          <t>キッチン　ﾄｲﾚ交換</t>
        </is>
      </c>
      <c r="E501" s="2" t="inlineStr">
        <is>
          <t>8月</t>
        </is>
      </c>
      <c r="F501" s="68" t="n">
        <v>359000</v>
      </c>
      <c r="G501" s="68">
        <f>IF(B501="","",F501-I501 )</f>
        <v/>
      </c>
      <c r="H501" s="5">
        <f>IF(G501="","",G501/F501)</f>
        <v/>
      </c>
      <c r="I501" s="62">
        <f>SUM(テーブル9[[#This Row],[五大]:[工場材]])</f>
        <v/>
      </c>
      <c r="J501" s="65" t="n"/>
      <c r="K501" s="65" t="n"/>
      <c r="L501" s="65" t="n"/>
      <c r="M501" s="65" t="n"/>
      <c r="N501" s="65" t="n"/>
      <c r="O501" s="69" t="n"/>
      <c r="P501" s="65" t="n"/>
      <c r="Q501" s="65" t="n"/>
      <c r="R501" s="65" t="n"/>
      <c r="S501" s="65" t="n"/>
      <c r="T501" s="65" t="n"/>
      <c r="U501" s="65" t="n"/>
      <c r="V501" s="65" t="n"/>
      <c r="W501" s="69" t="n">
        <v>50000</v>
      </c>
      <c r="X501" s="66" t="n"/>
      <c r="Y501" s="65" t="n"/>
      <c r="Z501" s="65" t="n"/>
      <c r="AA501" s="65" t="n"/>
      <c r="AB501" s="69" t="n">
        <v>97000</v>
      </c>
      <c r="AC501" s="65" t="n"/>
      <c r="AD501" s="65" t="n"/>
      <c r="AE501" s="65" t="n"/>
      <c r="AF501" s="65" t="n"/>
      <c r="AG501" s="65" t="n"/>
      <c r="AH501" s="65" t="n"/>
      <c r="AI501" s="65" t="n"/>
      <c r="AJ501" s="65" t="n"/>
      <c r="AK501" s="65" t="n"/>
      <c r="AL501" s="65" t="n"/>
      <c r="AM501" s="65" t="n"/>
      <c r="AN501" s="65" t="n"/>
      <c r="AO501" s="65" t="n"/>
      <c r="AP501" s="65" t="n"/>
      <c r="AQ501" s="65" t="n"/>
      <c r="AR501" s="65" t="n"/>
      <c r="AS501" s="65" t="n"/>
      <c r="AT501" s="65" t="n"/>
      <c r="AU501" s="65" t="n"/>
      <c r="AV501" s="65" t="n"/>
      <c r="AW501" s="65" t="n"/>
      <c r="AX501" s="65" t="n"/>
      <c r="AY501" s="65" t="n"/>
      <c r="AZ501" s="65" t="n"/>
      <c r="BA501" s="65" t="n"/>
      <c r="BB501" s="65" t="n"/>
      <c r="BC501" s="65" t="n"/>
      <c r="BD501" s="65" t="n"/>
      <c r="BE501" s="65" t="n"/>
      <c r="BF501" s="65" t="n"/>
      <c r="BG501" s="65" t="n"/>
    </row>
    <row r="502">
      <c r="B502" s="1" t="inlineStr">
        <is>
          <t>亘理　オーニング電源</t>
        </is>
      </c>
      <c r="C502" s="1" t="inlineStr">
        <is>
          <t>LIXIL</t>
        </is>
      </c>
      <c r="D502" s="1" t="inlineStr">
        <is>
          <t>電気工事</t>
        </is>
      </c>
      <c r="E502" s="2" t="inlineStr">
        <is>
          <t>8月</t>
        </is>
      </c>
      <c r="F502" s="68" t="n">
        <v>60000</v>
      </c>
      <c r="G502" s="68">
        <f>IF(B502="","",F502-I502 )</f>
        <v/>
      </c>
      <c r="H502" s="5">
        <f>IF(G502="","",G502/F502)</f>
        <v/>
      </c>
      <c r="I502" s="62">
        <f>SUM(テーブル9[[#This Row],[五大]:[工場材]])</f>
        <v/>
      </c>
      <c r="J502" s="65" t="n"/>
      <c r="K502" s="65" t="n"/>
      <c r="L502" s="65" t="n"/>
      <c r="M502" s="65" t="n"/>
      <c r="N502" s="65" t="n"/>
      <c r="O502" s="69" t="n"/>
      <c r="P502" s="65" t="n"/>
      <c r="Q502" s="65" t="n"/>
      <c r="R502" s="65" t="n"/>
      <c r="S502" s="65" t="n"/>
      <c r="T502" s="65" t="n"/>
      <c r="U502" s="65" t="n"/>
      <c r="V502" s="65" t="n"/>
      <c r="W502" s="65" t="n"/>
      <c r="X502" s="66" t="n"/>
      <c r="Y502" s="65" t="n"/>
      <c r="Z502" s="65" t="n"/>
      <c r="AA502" s="65" t="n">
        <v>35000</v>
      </c>
      <c r="AB502" s="65" t="n"/>
      <c r="AC502" s="65" t="n"/>
      <c r="AD502" s="65" t="n"/>
      <c r="AE502" s="65" t="n"/>
      <c r="AF502" s="65" t="n"/>
      <c r="AG502" s="65" t="n"/>
      <c r="AH502" s="65" t="n"/>
      <c r="AI502" s="65" t="n"/>
      <c r="AJ502" s="65" t="n"/>
      <c r="AK502" s="65" t="n"/>
      <c r="AL502" s="65" t="n"/>
      <c r="AM502" s="65" t="n"/>
      <c r="AN502" s="65" t="n"/>
      <c r="AO502" s="65" t="n"/>
      <c r="AP502" s="65" t="n"/>
      <c r="AQ502" s="65" t="n"/>
      <c r="AR502" s="65" t="n"/>
      <c r="AS502" s="65" t="n"/>
      <c r="AT502" s="65" t="n"/>
      <c r="AU502" s="65" t="n"/>
      <c r="AV502" s="65" t="n"/>
      <c r="AW502" s="65" t="n"/>
      <c r="AX502" s="65" t="n"/>
      <c r="AY502" s="65" t="n"/>
      <c r="AZ502" s="65" t="n"/>
      <c r="BA502" s="65" t="n"/>
      <c r="BB502" s="65" t="n"/>
      <c r="BC502" s="65" t="n"/>
      <c r="BD502" s="65" t="n"/>
      <c r="BE502" s="65" t="n"/>
      <c r="BF502" s="65" t="n"/>
      <c r="BG502" s="65" t="n"/>
    </row>
    <row r="503">
      <c r="F503" s="68" t="n"/>
      <c r="G503" s="68">
        <f>IF(B503="","",F503-I503 )</f>
        <v/>
      </c>
      <c r="H503" s="5">
        <f>IF(G503="","",G503/F503)</f>
        <v/>
      </c>
      <c r="I503" s="62">
        <f>SUM(テーブル9[[#This Row],[五大]:[工場材]])</f>
        <v/>
      </c>
      <c r="J503" s="65" t="n"/>
      <c r="K503" s="65" t="n"/>
      <c r="L503" s="65" t="n"/>
      <c r="M503" s="65" t="n"/>
      <c r="N503" s="65" t="n"/>
      <c r="O503" s="69" t="n"/>
      <c r="P503" s="65" t="n"/>
      <c r="Q503" s="65" t="n"/>
      <c r="R503" s="65" t="n"/>
      <c r="S503" s="65" t="n"/>
      <c r="T503" s="65" t="n"/>
      <c r="U503" s="65" t="n"/>
      <c r="V503" s="65" t="n"/>
      <c r="W503" s="65" t="n"/>
      <c r="X503" s="66" t="n"/>
      <c r="Y503" s="65" t="n"/>
      <c r="Z503" s="65" t="n"/>
      <c r="AA503" s="65" t="n"/>
      <c r="AB503" s="65" t="n"/>
      <c r="AC503" s="65" t="n"/>
      <c r="AD503" s="65" t="n"/>
      <c r="AE503" s="65" t="n"/>
      <c r="AF503" s="65" t="n"/>
      <c r="AG503" s="65" t="n"/>
      <c r="AH503" s="65" t="n"/>
      <c r="AI503" s="65" t="n"/>
      <c r="AJ503" s="65" t="n"/>
      <c r="AK503" s="65" t="n"/>
      <c r="AL503" s="65" t="n"/>
      <c r="AM503" s="65" t="n"/>
      <c r="AN503" s="65" t="n"/>
      <c r="AO503" s="65" t="n"/>
      <c r="AP503" s="65" t="n"/>
      <c r="AQ503" s="65" t="n"/>
      <c r="AR503" s="65" t="n"/>
      <c r="AS503" s="65" t="n"/>
      <c r="AT503" s="65" t="n"/>
      <c r="AU503" s="65" t="n"/>
      <c r="AV503" s="65" t="n"/>
      <c r="AW503" s="65" t="n"/>
      <c r="AX503" s="65" t="n"/>
      <c r="AY503" s="65" t="n"/>
      <c r="AZ503" s="65" t="n"/>
      <c r="BA503" s="65" t="n"/>
      <c r="BB503" s="65" t="n"/>
      <c r="BC503" s="65" t="n"/>
      <c r="BD503" s="65" t="n"/>
      <c r="BE503" s="65" t="n"/>
      <c r="BF503" s="65" t="n"/>
      <c r="BG503" s="65" t="n"/>
    </row>
    <row r="504">
      <c r="B504" s="1" t="inlineStr">
        <is>
          <t>美里町　大石様</t>
        </is>
      </c>
      <c r="C504" s="1" t="inlineStr">
        <is>
          <t>LIXIL</t>
        </is>
      </c>
      <c r="D504" s="1" t="inlineStr">
        <is>
          <t>タイル→UB工事</t>
        </is>
      </c>
      <c r="E504" s="2" t="inlineStr">
        <is>
          <t>9月</t>
        </is>
      </c>
      <c r="F504" s="68">
        <f>60000+18000+79875+8000+60000+31500+18000+95000+40000+45000+85000+17000</f>
        <v/>
      </c>
      <c r="G504" s="68">
        <f>IF(B504="","",F504-I504 )</f>
        <v/>
      </c>
      <c r="H504" s="5">
        <f>IF(G504="","",G504/F504)</f>
        <v/>
      </c>
      <c r="I504" s="62">
        <f>SUM(テーブル9[[#This Row],[五大]:[工場材]])</f>
        <v/>
      </c>
      <c r="J504" s="65" t="n"/>
      <c r="K504" s="65" t="n"/>
      <c r="L504" s="65" t="n"/>
      <c r="M504" s="65" t="n"/>
      <c r="N504" s="65" t="n"/>
      <c r="O504" s="69" t="n"/>
      <c r="P504" s="65" t="n"/>
      <c r="Q504" s="65" t="n"/>
      <c r="R504" s="65" t="n"/>
      <c r="S504" s="65" t="n"/>
      <c r="T504" s="65" t="n"/>
      <c r="U504" s="65" t="n"/>
      <c r="V504" s="65" t="n"/>
      <c r="W504" s="69" t="n">
        <v>200000</v>
      </c>
      <c r="X504" s="66" t="n">
        <v>28868</v>
      </c>
      <c r="Y504" s="65" t="n"/>
      <c r="Z504" s="65" t="n"/>
      <c r="AA504" s="69" t="n">
        <v>45000</v>
      </c>
      <c r="AB504" s="69" t="n">
        <v>119000</v>
      </c>
      <c r="AC504" s="65" t="n"/>
      <c r="AD504" s="65" t="n"/>
      <c r="AE504" s="65" t="n"/>
      <c r="AF504" s="65" t="n"/>
      <c r="AG504" s="65" t="n"/>
      <c r="AH504" s="69" t="n">
        <v>25000</v>
      </c>
      <c r="AI504" s="65" t="n"/>
      <c r="AJ504" s="65" t="n"/>
      <c r="AK504" s="65" t="n"/>
      <c r="AL504" s="65" t="n"/>
      <c r="AM504" s="65" t="n"/>
      <c r="AN504" s="65" t="n"/>
      <c r="AO504" s="65" t="n"/>
      <c r="AP504" s="65" t="n"/>
      <c r="AQ504" s="65" t="n"/>
      <c r="AR504" s="65" t="n"/>
      <c r="AS504" s="65" t="n"/>
      <c r="AT504" s="65" t="n"/>
      <c r="AU504" s="65" t="n"/>
      <c r="AV504" s="65" t="n"/>
      <c r="AW504" s="65" t="n"/>
      <c r="AX504" s="65" t="n"/>
      <c r="AY504" s="65" t="n"/>
      <c r="AZ504" s="65" t="n"/>
      <c r="BA504" s="65" t="n"/>
      <c r="BB504" s="65" t="n"/>
      <c r="BC504" s="65" t="n"/>
      <c r="BD504" s="65" t="n"/>
      <c r="BE504" s="65" t="n"/>
      <c r="BF504" s="65" t="n"/>
      <c r="BG504" s="65" t="n"/>
    </row>
    <row r="505">
      <c r="B505" s="1" t="inlineStr">
        <is>
          <t>福室　及川邸</t>
        </is>
      </c>
      <c r="C505" s="1" t="inlineStr">
        <is>
          <t>LIXIL</t>
        </is>
      </c>
      <c r="D505" s="1" t="inlineStr">
        <is>
          <t>LIXIL</t>
        </is>
      </c>
      <c r="E505" s="2" t="inlineStr">
        <is>
          <t>9月</t>
        </is>
      </c>
      <c r="F505" s="68" t="n">
        <v>462600</v>
      </c>
      <c r="G505" s="68">
        <f>IF(B505="","",F505-I505 )</f>
        <v/>
      </c>
      <c r="H505" s="5">
        <f>IF(G505="","",G505/F505)</f>
        <v/>
      </c>
      <c r="I505" s="62">
        <f>SUM(テーブル9[[#This Row],[五大]:[工場材]])</f>
        <v/>
      </c>
      <c r="J505" s="65" t="n"/>
      <c r="K505" s="65" t="n"/>
      <c r="L505" s="65" t="n"/>
      <c r="M505" s="65" t="n"/>
      <c r="N505" s="65" t="n"/>
      <c r="O505" s="69" t="n"/>
      <c r="P505" s="65" t="n"/>
      <c r="Q505" s="65" t="n"/>
      <c r="R505" s="65" t="n"/>
      <c r="S505" s="65" t="n"/>
      <c r="T505" s="65" t="n"/>
      <c r="U505" s="65" t="n"/>
      <c r="V505" s="65" t="n"/>
      <c r="W505" s="69" t="n">
        <v>80000</v>
      </c>
      <c r="X505" s="66" t="n">
        <v>14497</v>
      </c>
      <c r="Y505" s="65" t="n"/>
      <c r="Z505" s="65" t="n"/>
      <c r="AA505" s="69" t="n">
        <v>40000</v>
      </c>
      <c r="AB505" s="69" t="n">
        <v>197000</v>
      </c>
      <c r="AC505" s="65" t="n"/>
      <c r="AD505" s="65" t="n"/>
      <c r="AE505" s="65" t="n"/>
      <c r="AF505" s="65" t="n"/>
      <c r="AG505" s="65" t="n"/>
      <c r="AH505" s="69" t="n">
        <v>25000</v>
      </c>
      <c r="AI505" s="65" t="n"/>
      <c r="AJ505" s="65" t="n"/>
      <c r="AK505" s="65" t="n"/>
      <c r="AL505" s="65" t="n"/>
      <c r="AM505" s="65" t="n"/>
      <c r="AN505" s="65" t="n"/>
      <c r="AO505" s="65" t="n"/>
      <c r="AP505" s="65" t="n"/>
      <c r="AQ505" s="65" t="n"/>
      <c r="AR505" s="65" t="n"/>
      <c r="AS505" s="65" t="n"/>
      <c r="AT505" s="65" t="n"/>
      <c r="AU505" s="65" t="n"/>
      <c r="AV505" s="65" t="n"/>
      <c r="AW505" s="65" t="n"/>
      <c r="AX505" s="65" t="n"/>
      <c r="AY505" s="65" t="n"/>
      <c r="AZ505" s="65" t="n"/>
      <c r="BA505" s="65" t="n"/>
      <c r="BB505" s="65" t="n"/>
      <c r="BC505" s="65" t="n"/>
      <c r="BD505" s="65" t="n"/>
      <c r="BE505" s="65" t="n"/>
      <c r="BF505" s="65" t="n"/>
      <c r="BG505" s="65" t="n"/>
    </row>
    <row r="506">
      <c r="B506" s="1" t="inlineStr">
        <is>
          <t>グリーンヒルズ　chida-F201</t>
        </is>
      </c>
      <c r="C506" s="1" t="inlineStr">
        <is>
          <t>LIXIL</t>
        </is>
      </c>
      <c r="D506" s="1" t="inlineStr">
        <is>
          <t>リノベ</t>
        </is>
      </c>
      <c r="E506" s="2" t="inlineStr">
        <is>
          <t>9月</t>
        </is>
      </c>
      <c r="F506" s="68" t="n">
        <v>1879000</v>
      </c>
      <c r="G506" s="68">
        <f>IF(B506="","",F506-I506 )</f>
        <v/>
      </c>
      <c r="H506" s="5">
        <f>IF(G506="","",G506/F506)</f>
        <v/>
      </c>
      <c r="I506" s="62">
        <f>SUM(テーブル9[[#This Row],[五大]:[工場材]])</f>
        <v/>
      </c>
      <c r="J506" s="65" t="n"/>
      <c r="K506" s="65" t="n"/>
      <c r="L506" s="65" t="n"/>
      <c r="M506" s="65" t="n"/>
      <c r="N506" s="65" t="n"/>
      <c r="O506" s="69" t="n"/>
      <c r="P506" s="65" t="n"/>
      <c r="Q506" s="65" t="n"/>
      <c r="R506" s="65" t="n"/>
      <c r="S506" s="65" t="n"/>
      <c r="T506" s="65" t="n"/>
      <c r="U506" s="65" t="n"/>
      <c r="V506" s="65" t="n"/>
      <c r="W506" s="69" t="n">
        <v>330000</v>
      </c>
      <c r="X506" s="66" t="n">
        <v>158954</v>
      </c>
      <c r="Y506" s="65" t="n"/>
      <c r="Z506" s="65" t="n"/>
      <c r="AA506" s="69" t="n"/>
      <c r="AB506" s="69" t="n">
        <v>148000</v>
      </c>
      <c r="AC506" s="65" t="n"/>
      <c r="AD506" s="65" t="n"/>
      <c r="AE506" s="65" t="n"/>
      <c r="AF506" s="65" t="n"/>
      <c r="AG506" s="65" t="n"/>
      <c r="AH506" s="69" t="n">
        <v>255850</v>
      </c>
      <c r="AI506" s="65" t="n"/>
      <c r="AJ506" s="65" t="n"/>
      <c r="AK506" s="65" t="n"/>
      <c r="AL506" s="65" t="n"/>
      <c r="AM506" s="65" t="n"/>
      <c r="AN506" s="65" t="n"/>
      <c r="AO506" s="69" t="n">
        <v>3340</v>
      </c>
      <c r="AP506" s="69">
        <f>1023+231+231+28800+1040+1280+1720+17300+16388+22737+3564+26000</f>
        <v/>
      </c>
      <c r="AQ506" s="69" t="n"/>
      <c r="AR506" s="69" t="n">
        <v>67100</v>
      </c>
      <c r="AS506" s="65" t="n"/>
      <c r="AT506" s="65" t="n"/>
      <c r="AU506" s="65" t="n"/>
      <c r="AV506" s="65" t="n"/>
      <c r="AW506" s="69">
        <f>25000+60000</f>
        <v/>
      </c>
      <c r="AX506" s="65" t="n"/>
      <c r="AY506" s="65" t="n"/>
      <c r="AZ506" s="65" t="n"/>
      <c r="BA506" s="65" t="n"/>
      <c r="BB506" s="65" t="n"/>
      <c r="BC506" s="69" t="n">
        <v>149000</v>
      </c>
      <c r="BD506" s="69" t="n"/>
      <c r="BE506" s="69" t="n">
        <v>107000</v>
      </c>
      <c r="BF506" s="64" t="n"/>
      <c r="BG506" s="64" t="n"/>
    </row>
    <row r="507">
      <c r="B507" s="1" t="inlineStr">
        <is>
          <t>美里町　藤村邸</t>
        </is>
      </c>
      <c r="C507" s="1" t="inlineStr">
        <is>
          <t>LIXIL</t>
        </is>
      </c>
      <c r="D507" s="1" t="inlineStr">
        <is>
          <t>タイル→UB工事</t>
        </is>
      </c>
      <c r="E507" s="2" t="inlineStr">
        <is>
          <t>10月</t>
        </is>
      </c>
      <c r="F507" s="68">
        <f>70000+60000+18000+60000+31500+93500+35000+17000+85000+45000+18000</f>
        <v/>
      </c>
      <c r="G507" s="68">
        <f>IF(B507="","",F507-I507 )</f>
        <v/>
      </c>
      <c r="H507" s="5">
        <f>IF(G507="","",G507/F507)</f>
        <v/>
      </c>
      <c r="I507" s="62">
        <f>SUM(テーブル9[[#This Row],[五大]:[工場材]])</f>
        <v/>
      </c>
      <c r="J507" s="65" t="n"/>
      <c r="K507" s="65" t="n"/>
      <c r="L507" s="65" t="n"/>
      <c r="M507" s="65" t="n"/>
      <c r="N507" s="65" t="n"/>
      <c r="O507" s="69" t="n"/>
      <c r="P507" s="65" t="n"/>
      <c r="Q507" s="65" t="n"/>
      <c r="R507" s="65" t="n"/>
      <c r="S507" s="65" t="n"/>
      <c r="T507" s="65" t="n"/>
      <c r="U507" s="65" t="n"/>
      <c r="V507" s="65" t="n"/>
      <c r="W507" s="69" t="n">
        <v>200000</v>
      </c>
      <c r="X507" s="66" t="n">
        <v>51134</v>
      </c>
      <c r="Y507" s="65" t="n"/>
      <c r="Z507" s="65" t="n"/>
      <c r="AA507" s="69" t="n">
        <v>78000</v>
      </c>
      <c r="AB507" s="69" t="n">
        <v>96000</v>
      </c>
      <c r="AC507" s="65" t="n"/>
      <c r="AD507" s="65" t="n"/>
      <c r="AE507" s="65" t="n"/>
      <c r="AF507" s="65" t="n"/>
      <c r="AG507" s="65" t="n"/>
      <c r="AH507" s="69" t="n">
        <v>35000</v>
      </c>
      <c r="AI507" s="65" t="n"/>
      <c r="AJ507" s="65" t="n"/>
      <c r="AK507" s="65" t="n"/>
      <c r="AL507" s="65" t="n"/>
      <c r="AM507" s="65" t="n"/>
      <c r="AN507" s="65" t="n"/>
      <c r="AO507" s="65" t="n"/>
      <c r="AP507" s="65" t="n"/>
      <c r="AQ507" s="65" t="n"/>
      <c r="AR507" s="65" t="n"/>
      <c r="AS507" s="65" t="n"/>
      <c r="AT507" s="65" t="n"/>
      <c r="AU507" s="65" t="n"/>
      <c r="AV507" s="65" t="n"/>
      <c r="AW507" s="65" t="n"/>
      <c r="AX507" s="65" t="n"/>
      <c r="AY507" s="65" t="n"/>
      <c r="AZ507" s="65" t="n"/>
      <c r="BA507" s="65" t="n"/>
      <c r="BB507" s="65" t="n"/>
      <c r="BC507" s="65" t="n"/>
      <c r="BD507" s="65" t="n"/>
      <c r="BE507" s="65" t="n"/>
      <c r="BF507" s="65" t="n"/>
      <c r="BG507" s="65" t="n"/>
    </row>
    <row r="508">
      <c r="F508" s="68" t="n"/>
      <c r="G508" s="68">
        <f>IF(B508="","",F508-I508 )</f>
        <v/>
      </c>
      <c r="H508" s="5">
        <f>IF(G508="","",G508/F508)</f>
        <v/>
      </c>
      <c r="I508" s="62">
        <f>SUM(テーブル9[[#This Row],[五大]:[工場材]])</f>
        <v/>
      </c>
      <c r="J508" s="65" t="n"/>
      <c r="K508" s="65" t="n"/>
      <c r="L508" s="65" t="n"/>
      <c r="M508" s="65" t="n"/>
      <c r="N508" s="65" t="n"/>
      <c r="O508" s="69" t="n"/>
      <c r="P508" s="65" t="n"/>
      <c r="Q508" s="65" t="n"/>
      <c r="R508" s="65" t="n"/>
      <c r="S508" s="65" t="n"/>
      <c r="T508" s="65" t="n"/>
      <c r="U508" s="65" t="n"/>
      <c r="V508" s="65" t="n"/>
      <c r="W508" s="65" t="n"/>
      <c r="X508" s="66" t="n"/>
      <c r="Y508" s="65" t="n"/>
      <c r="Z508" s="65" t="n"/>
      <c r="AA508" s="65" t="n"/>
      <c r="AB508" s="65" t="n"/>
      <c r="AC508" s="65" t="n"/>
      <c r="AD508" s="65" t="n"/>
      <c r="AE508" s="65" t="n"/>
      <c r="AF508" s="65" t="n"/>
      <c r="AG508" s="65" t="n"/>
      <c r="AH508" s="65" t="n"/>
      <c r="AI508" s="65" t="n"/>
      <c r="AJ508" s="65" t="n"/>
      <c r="AK508" s="65" t="n"/>
      <c r="AL508" s="65" t="n"/>
      <c r="AM508" s="65" t="n"/>
      <c r="AN508" s="65" t="n"/>
      <c r="AO508" s="65" t="n"/>
      <c r="AP508" s="65" t="n"/>
      <c r="AQ508" s="65" t="n"/>
      <c r="AR508" s="65" t="n"/>
      <c r="AS508" s="65" t="n"/>
      <c r="AT508" s="65" t="n"/>
      <c r="AU508" s="65" t="n"/>
      <c r="AV508" s="65" t="n"/>
      <c r="AW508" s="65" t="n"/>
      <c r="AX508" s="65" t="n"/>
      <c r="AY508" s="65" t="n"/>
      <c r="AZ508" s="65" t="n"/>
      <c r="BA508" s="65" t="n"/>
      <c r="BB508" s="65" t="n"/>
      <c r="BC508" s="65" t="n"/>
      <c r="BD508" s="65" t="n"/>
      <c r="BE508" s="65" t="n"/>
      <c r="BF508" s="65" t="n"/>
      <c r="BG508" s="65" t="n"/>
    </row>
    <row r="509">
      <c r="B509" s="1" t="inlineStr">
        <is>
          <t>角田商店</t>
        </is>
      </c>
      <c r="C509" s="1" t="inlineStr">
        <is>
          <t>LIXIL</t>
        </is>
      </c>
      <c r="D509" s="1" t="inlineStr">
        <is>
          <t>浴室改修工事</t>
        </is>
      </c>
      <c r="E509" s="2" t="inlineStr">
        <is>
          <t>10月</t>
        </is>
      </c>
      <c r="F509" s="68">
        <f>88000-47300+50000+30000+25000+45000+6500+8000+10000+80000+40000+30000+8000+10000+10800+12500+16000+6500+32000+36000+70000+12000+60000+60000+20000+8000+60000+20000+78000+35000+45000+5000</f>
        <v/>
      </c>
      <c r="G509" s="68">
        <f>IF(B509="","",F509-I509 )</f>
        <v/>
      </c>
      <c r="H509" s="5">
        <f>IF(G509="","",G509/F509)</f>
        <v/>
      </c>
      <c r="I509" s="62">
        <f>SUM(テーブル9[[#This Row],[五大]:[工場材]])</f>
        <v/>
      </c>
      <c r="J509" s="65" t="n"/>
      <c r="K509" s="65" t="n"/>
      <c r="L509" s="65" t="n"/>
      <c r="M509" s="65" t="n"/>
      <c r="N509" s="65" t="n"/>
      <c r="O509" s="69" t="n">
        <v>100000</v>
      </c>
      <c r="P509" s="65" t="n"/>
      <c r="Q509" s="65" t="n"/>
      <c r="R509" s="65" t="n"/>
      <c r="S509" s="65" t="n"/>
      <c r="T509" s="65" t="n"/>
      <c r="U509" s="65" t="n"/>
      <c r="V509" s="65" t="n"/>
      <c r="W509" s="69" t="n">
        <v>350000</v>
      </c>
      <c r="X509" s="66" t="n">
        <v>75035</v>
      </c>
      <c r="Y509" s="65" t="n"/>
      <c r="Z509" s="65" t="n"/>
      <c r="AA509" s="69" t="n">
        <v>55000</v>
      </c>
      <c r="AB509" s="69" t="n">
        <v>110000</v>
      </c>
      <c r="AC509" s="65" t="n"/>
      <c r="AD509" s="65" t="n"/>
      <c r="AE509" s="65" t="n"/>
      <c r="AF509" s="65" t="n"/>
      <c r="AG509" s="65" t="n"/>
      <c r="AH509" s="69" t="n">
        <v>30000</v>
      </c>
      <c r="AI509" s="65" t="n"/>
      <c r="AJ509" s="65" t="n"/>
      <c r="AK509" s="65" t="n"/>
      <c r="AL509" s="65" t="n"/>
      <c r="AM509" s="65" t="n"/>
      <c r="AN509" s="65" t="n"/>
      <c r="AO509" s="69">
        <f>6350+11640</f>
        <v/>
      </c>
      <c r="AP509" s="65" t="n"/>
      <c r="AQ509" s="65" t="n"/>
      <c r="AR509" s="65" t="n"/>
      <c r="AS509" s="65" t="n"/>
      <c r="AT509" s="65" t="n"/>
      <c r="AU509" s="65" t="n"/>
      <c r="AV509" s="65" t="n"/>
      <c r="AW509" s="65" t="n"/>
      <c r="AX509" s="65" t="n"/>
      <c r="AY509" s="65" t="n"/>
      <c r="AZ509" s="65" t="n"/>
      <c r="BA509" s="65" t="n"/>
      <c r="BB509" s="65" t="n"/>
      <c r="BC509" s="65" t="n"/>
      <c r="BD509" s="65" t="n"/>
      <c r="BE509" s="65" t="n"/>
      <c r="BF509" s="65" t="n"/>
      <c r="BG509" s="65" t="n"/>
    </row>
    <row r="510">
      <c r="B510" s="1" t="inlineStr">
        <is>
          <t>シャーメゾンステージ広瀬通1104</t>
        </is>
      </c>
      <c r="C510" s="1" t="inlineStr">
        <is>
          <t>積水不動産</t>
        </is>
      </c>
      <c r="D510" s="1" t="inlineStr">
        <is>
          <t>フローリング工事貼替</t>
        </is>
      </c>
      <c r="E510" s="2" t="inlineStr">
        <is>
          <t>10月</t>
        </is>
      </c>
      <c r="F510" s="68">
        <f>62000+31000+8000+216000+26400+92000+186000+3000</f>
        <v/>
      </c>
      <c r="G510" s="68">
        <f>IF(B510="","",F510-I510 )</f>
        <v/>
      </c>
      <c r="H510" s="5">
        <f>IF(G510="","",G510/F510)</f>
        <v/>
      </c>
      <c r="I510" s="62">
        <f>SUM(テーブル9[[#This Row],[五大]:[工場材]])</f>
        <v/>
      </c>
      <c r="J510" s="65" t="n"/>
      <c r="K510" s="65" t="n"/>
      <c r="L510" s="65" t="n"/>
      <c r="M510" s="65" t="n"/>
      <c r="N510" s="65" t="n"/>
      <c r="O510" s="69" t="n"/>
      <c r="P510" s="65" t="n"/>
      <c r="Q510" s="65" t="n"/>
      <c r="R510" s="65" t="n"/>
      <c r="S510" s="65" t="n"/>
      <c r="T510" s="65" t="n"/>
      <c r="U510" s="65" t="n"/>
      <c r="V510" s="65" t="n"/>
      <c r="W510" s="69" t="n">
        <v>200000</v>
      </c>
      <c r="X510" s="66" t="n">
        <v>6164</v>
      </c>
      <c r="Y510" s="65" t="n"/>
      <c r="Z510" s="65" t="n"/>
      <c r="AA510" s="65" t="n"/>
      <c r="AB510" s="65" t="n"/>
      <c r="AC510" s="65" t="n"/>
      <c r="AD510" s="65" t="n"/>
      <c r="AE510" s="65" t="n"/>
      <c r="AF510" s="65" t="n"/>
      <c r="AG510" s="65" t="n"/>
      <c r="AH510" s="65" t="n"/>
      <c r="AI510" s="65" t="n"/>
      <c r="AJ510" s="65" t="n"/>
      <c r="AK510" s="65" t="n"/>
      <c r="AL510" s="65" t="n"/>
      <c r="AM510" s="65" t="n"/>
      <c r="AN510" s="65" t="n"/>
      <c r="AO510" s="65" t="n"/>
      <c r="AP510" s="69">
        <f>126000+9800+1200+6350+11640</f>
        <v/>
      </c>
      <c r="AQ510" s="69" t="n"/>
      <c r="AR510" s="65" t="n"/>
      <c r="AS510" s="65" t="n"/>
      <c r="AT510" s="65" t="n"/>
      <c r="AU510" s="65" t="n"/>
      <c r="AV510" s="65" t="n"/>
      <c r="AW510" s="65" t="n"/>
      <c r="AX510" s="65" t="n"/>
      <c r="AY510" s="65" t="n"/>
      <c r="AZ510" s="65" t="n"/>
      <c r="BA510" s="65" t="n"/>
      <c r="BB510" s="65" t="n"/>
      <c r="BC510" s="65" t="n"/>
      <c r="BD510" s="65" t="n"/>
      <c r="BE510" s="65" t="n"/>
      <c r="BF510" s="65" t="n"/>
      <c r="BG510" s="65" t="n"/>
    </row>
    <row r="511">
      <c r="B511" s="1" t="inlineStr">
        <is>
          <t>緑ヶ丘　千葉様</t>
        </is>
      </c>
      <c r="C511" s="1" t="inlineStr">
        <is>
          <t>光和工業</t>
        </is>
      </c>
      <c r="D511" s="1" t="inlineStr">
        <is>
          <t>リフォーム工事</t>
        </is>
      </c>
      <c r="E511" s="2" t="inlineStr">
        <is>
          <t>１１月</t>
        </is>
      </c>
      <c r="F511" s="68" t="n">
        <v>3930000</v>
      </c>
      <c r="G511" s="68">
        <f>IF(B511="","",F511-I511 )</f>
        <v/>
      </c>
      <c r="H511" s="5">
        <f>IF(G511="","",G511/F511)</f>
        <v/>
      </c>
      <c r="I511" s="62">
        <f>SUM(テーブル9[[#This Row],[五大]:[工場材]])</f>
        <v/>
      </c>
      <c r="J511" s="69" t="n">
        <v>90000</v>
      </c>
      <c r="K511" s="65" t="n"/>
      <c r="L511" s="65" t="n"/>
      <c r="M511" s="65" t="n"/>
      <c r="N511" s="65" t="n"/>
      <c r="O511" s="69" t="n">
        <v>500000</v>
      </c>
      <c r="P511" s="65" t="n"/>
      <c r="Q511" s="65" t="n"/>
      <c r="R511" s="65" t="n"/>
      <c r="S511" s="65" t="n"/>
      <c r="T511" s="65" t="n"/>
      <c r="U511" s="69" t="n">
        <v>102600</v>
      </c>
      <c r="V511" s="65" t="n"/>
      <c r="W511" s="65" t="n">
        <v>650000</v>
      </c>
      <c r="X511" s="66" t="n">
        <v>195659</v>
      </c>
      <c r="Y511" s="65" t="n"/>
      <c r="Z511" s="65" t="n"/>
      <c r="AA511" s="69">
        <f>250000+25000</f>
        <v/>
      </c>
      <c r="AB511" s="69" t="n">
        <v>34000</v>
      </c>
      <c r="AC511" s="65" t="n"/>
      <c r="AD511" s="65" t="n"/>
      <c r="AE511" s="69" t="n">
        <v>784040</v>
      </c>
      <c r="AF511" s="65" t="n"/>
      <c r="AG511" s="65" t="n"/>
      <c r="AH511" s="69">
        <f>330500+10000</f>
        <v/>
      </c>
      <c r="AI511" s="65" t="n"/>
      <c r="AJ511" s="69" t="n">
        <v>65000</v>
      </c>
      <c r="AK511" s="65" t="n"/>
      <c r="AL511" s="65" t="n"/>
      <c r="AM511" s="65" t="n"/>
      <c r="AN511" s="65" t="n"/>
      <c r="AO511" s="65" t="n"/>
      <c r="AP511" s="69">
        <f>284338+101524</f>
        <v/>
      </c>
      <c r="AQ511" s="69" t="n"/>
      <c r="AR511" s="65" t="n"/>
      <c r="AS511" s="65" t="n"/>
      <c r="AT511" s="65" t="n"/>
      <c r="AU511" s="65" t="n"/>
      <c r="AV511" s="65" t="n"/>
      <c r="AW511" s="69" t="n">
        <v>85000</v>
      </c>
      <c r="AX511" s="65" t="n"/>
      <c r="AY511" s="65" t="n"/>
      <c r="AZ511" s="65" t="n"/>
      <c r="BA511" s="65" t="n"/>
      <c r="BB511" s="65" t="n"/>
      <c r="BC511" s="65" t="n"/>
      <c r="BD511" s="65" t="n"/>
      <c r="BE511" s="65" t="n"/>
      <c r="BF511" s="65" t="n"/>
      <c r="BG511" s="65" t="n"/>
    </row>
    <row r="512">
      <c r="B512" s="1" t="inlineStr">
        <is>
          <t>大友邸（佐々友人）</t>
        </is>
      </c>
      <c r="C512" s="1" t="inlineStr">
        <is>
          <t>光和工業</t>
        </is>
      </c>
      <c r="D512" s="1" t="inlineStr">
        <is>
          <t>トイレ改修</t>
        </is>
      </c>
      <c r="E512" s="2" t="inlineStr">
        <is>
          <t>10月</t>
        </is>
      </c>
      <c r="F512" s="68" t="n">
        <v>260000</v>
      </c>
      <c r="G512" s="68">
        <f>IF(B512="","",F512-I512 )</f>
        <v/>
      </c>
      <c r="H512" s="5">
        <f>IF(G512="","",G512/F512)</f>
        <v/>
      </c>
      <c r="I512" s="62">
        <f>SUM(テーブル9[[#This Row],[五大]:[工場材]])</f>
        <v/>
      </c>
      <c r="J512" s="65" t="n"/>
      <c r="K512" s="65" t="n"/>
      <c r="L512" s="65" t="n"/>
      <c r="M512" s="65" t="n"/>
      <c r="N512" s="65" t="n"/>
      <c r="O512" s="69" t="n"/>
      <c r="P512" s="65" t="n"/>
      <c r="Q512" s="65" t="n"/>
      <c r="R512" s="65" t="n"/>
      <c r="S512" s="65" t="n"/>
      <c r="T512" s="65" t="n"/>
      <c r="U512" s="65" t="n"/>
      <c r="V512" s="65" t="n"/>
      <c r="W512" s="69" t="n">
        <v>20000</v>
      </c>
      <c r="X512" s="66" t="n"/>
      <c r="Y512" s="65" t="n"/>
      <c r="Z512" s="65" t="n"/>
      <c r="AA512" s="69" t="n">
        <v>15000</v>
      </c>
      <c r="AB512" s="69" t="n">
        <v>23000</v>
      </c>
      <c r="AC512" s="65" t="n"/>
      <c r="AD512" s="65" t="n"/>
      <c r="AE512" s="65" t="n"/>
      <c r="AF512" s="65" t="n"/>
      <c r="AG512" s="65" t="n"/>
      <c r="AH512" s="69" t="n">
        <v>25000</v>
      </c>
      <c r="AI512" s="65" t="n"/>
      <c r="AJ512" s="65" t="n"/>
      <c r="AK512" s="65" t="n"/>
      <c r="AL512" s="65" t="n"/>
      <c r="AM512" s="65" t="n"/>
      <c r="AN512" s="65" t="n"/>
      <c r="AO512" s="65" t="n"/>
      <c r="AP512" s="69">
        <f>19236+18114+34980+6956+4258+840</f>
        <v/>
      </c>
      <c r="AQ512" s="69" t="n"/>
      <c r="AR512" s="65" t="n"/>
      <c r="AS512" s="65" t="n"/>
      <c r="AT512" s="65" t="n"/>
      <c r="AU512" s="65" t="n"/>
      <c r="AV512" s="65" t="n"/>
      <c r="AW512" s="65" t="n"/>
      <c r="AX512" s="65" t="n"/>
      <c r="AY512" s="65" t="n"/>
      <c r="AZ512" s="65" t="n"/>
      <c r="BA512" s="65" t="n"/>
      <c r="BB512" s="65" t="n"/>
      <c r="BC512" s="65" t="n"/>
      <c r="BD512" s="65" t="n"/>
      <c r="BE512" s="65" t="n"/>
      <c r="BF512" s="65" t="n"/>
      <c r="BG512" s="65" t="n"/>
    </row>
    <row r="513">
      <c r="B513" s="1" t="inlineStr">
        <is>
          <t>那智が丘　鈴木邸</t>
        </is>
      </c>
      <c r="C513" s="1" t="inlineStr">
        <is>
          <t>LIXIL</t>
        </is>
      </c>
      <c r="D513" s="1" t="inlineStr">
        <is>
          <t>便器交換+パネル貼り</t>
        </is>
      </c>
      <c r="E513" s="2" t="inlineStr">
        <is>
          <t>10月</t>
        </is>
      </c>
      <c r="F513" s="68" t="n">
        <v>170000</v>
      </c>
      <c r="G513" s="68">
        <f>IF(B513="","",F513-I513 )</f>
        <v/>
      </c>
      <c r="H513" s="5">
        <f>IF(G513="","",G513/F513)</f>
        <v/>
      </c>
      <c r="I513" s="62">
        <f>SUM(テーブル9[[#This Row],[五大]:[工場材]])</f>
        <v/>
      </c>
      <c r="J513" s="65" t="n"/>
      <c r="K513" s="65" t="n"/>
      <c r="L513" s="65" t="n"/>
      <c r="M513" s="65" t="n"/>
      <c r="N513" s="65" t="n"/>
      <c r="O513" s="69" t="n"/>
      <c r="P513" s="65" t="n"/>
      <c r="Q513" s="65" t="n"/>
      <c r="R513" s="65" t="n"/>
      <c r="S513" s="65" t="n"/>
      <c r="T513" s="65" t="n"/>
      <c r="U513" s="65" t="n"/>
      <c r="V513" s="65" t="n"/>
      <c r="W513" s="69" t="n">
        <v>60000</v>
      </c>
      <c r="X513" s="66" t="n">
        <v>12000</v>
      </c>
      <c r="Y513" s="65" t="n"/>
      <c r="Z513" s="65" t="n"/>
      <c r="AA513" s="65" t="n"/>
      <c r="AB513" s="69" t="n">
        <v>46000</v>
      </c>
      <c r="AC513" s="65" t="n"/>
      <c r="AD513" s="65" t="n"/>
      <c r="AE513" s="65" t="n"/>
      <c r="AF513" s="65" t="n"/>
      <c r="AG513" s="65" t="n"/>
      <c r="AH513" s="65" t="n"/>
      <c r="AI513" s="65" t="n"/>
      <c r="AJ513" s="65" t="n"/>
      <c r="AK513" s="65" t="n"/>
      <c r="AL513" s="65" t="n"/>
      <c r="AM513" s="65" t="n"/>
      <c r="AN513" s="65" t="n"/>
      <c r="AO513" s="65" t="n"/>
      <c r="AP513" s="65" t="n"/>
      <c r="AQ513" s="65" t="n"/>
      <c r="AR513" s="65" t="n"/>
      <c r="AS513" s="65" t="n"/>
      <c r="AT513" s="65" t="n"/>
      <c r="AU513" s="65" t="n"/>
      <c r="AV513" s="65" t="n"/>
      <c r="AW513" s="65" t="n"/>
      <c r="AX513" s="65" t="n"/>
      <c r="AY513" s="65" t="n"/>
      <c r="AZ513" s="65" t="n"/>
      <c r="BA513" s="65" t="n"/>
      <c r="BB513" s="65" t="n"/>
      <c r="BC513" s="65" t="n"/>
      <c r="BD513" s="65" t="n"/>
      <c r="BE513" s="65" t="n"/>
      <c r="BF513" s="65" t="n"/>
      <c r="BG513" s="65" t="n"/>
    </row>
    <row r="514">
      <c r="B514" s="1" t="inlineStr">
        <is>
          <t>朝日プラザ柏木703号室</t>
        </is>
      </c>
      <c r="C514" s="1" t="inlineStr">
        <is>
          <t>マルマン</t>
        </is>
      </c>
      <c r="D514" s="1" t="inlineStr">
        <is>
          <t>トイレタンク漏水修理</t>
        </is>
      </c>
      <c r="E514" s="2" t="inlineStr">
        <is>
          <t>10月</t>
        </is>
      </c>
      <c r="F514" s="68" t="n">
        <v>25000</v>
      </c>
      <c r="G514" s="68">
        <f>IF(B514="","",F514-I514 )</f>
        <v/>
      </c>
      <c r="H514" s="5">
        <f>IF(G514="","",G514/F514)</f>
        <v/>
      </c>
      <c r="I514" s="62">
        <f>SUM(テーブル9[[#This Row],[五大]:[工場材]])</f>
        <v/>
      </c>
      <c r="J514" s="65" t="n"/>
      <c r="K514" s="65" t="n"/>
      <c r="L514" s="65" t="n"/>
      <c r="M514" s="65" t="n"/>
      <c r="N514" s="65" t="n"/>
      <c r="O514" s="69" t="n"/>
      <c r="P514" s="65" t="n"/>
      <c r="Q514" s="65" t="n"/>
      <c r="R514" s="65" t="n"/>
      <c r="S514" s="65" t="n"/>
      <c r="T514" s="65" t="n"/>
      <c r="U514" s="65" t="n"/>
      <c r="V514" s="65" t="n"/>
      <c r="W514" s="65" t="n"/>
      <c r="X514" s="66" t="n"/>
      <c r="Y514" s="65" t="n"/>
      <c r="Z514" s="65" t="n"/>
      <c r="AA514" s="65" t="n"/>
      <c r="AB514" s="65" t="n">
        <v>16000</v>
      </c>
      <c r="AC514" s="65" t="n"/>
      <c r="AD514" s="65" t="n"/>
      <c r="AE514" s="65" t="n"/>
      <c r="AF514" s="65" t="n"/>
      <c r="AG514" s="65" t="n"/>
      <c r="AH514" s="65" t="n"/>
      <c r="AI514" s="65" t="n"/>
      <c r="AJ514" s="65" t="n"/>
      <c r="AK514" s="65" t="n"/>
      <c r="AL514" s="65" t="n"/>
      <c r="AM514" s="65" t="n"/>
      <c r="AN514" s="65" t="n"/>
      <c r="AO514" s="65" t="n"/>
      <c r="AP514" s="65" t="n"/>
      <c r="AQ514" s="65" t="n"/>
      <c r="AR514" s="65" t="n"/>
      <c r="AS514" s="65" t="n"/>
      <c r="AT514" s="65" t="n"/>
      <c r="AU514" s="65" t="n"/>
      <c r="AV514" s="65" t="n"/>
      <c r="AW514" s="65" t="n"/>
      <c r="AX514" s="65" t="n"/>
      <c r="AY514" s="65" t="n"/>
      <c r="AZ514" s="65" t="n"/>
      <c r="BA514" s="65" t="n"/>
      <c r="BB514" s="65" t="n"/>
      <c r="BC514" s="65" t="n"/>
      <c r="BD514" s="65" t="n"/>
      <c r="BE514" s="65" t="n"/>
      <c r="BF514" s="65" t="n"/>
      <c r="BG514" s="65" t="n"/>
    </row>
    <row r="515">
      <c r="B515" s="1" t="inlineStr">
        <is>
          <t>パークハウス米ケ袋305</t>
        </is>
      </c>
      <c r="C515" s="1" t="inlineStr">
        <is>
          <t>LIXIL</t>
        </is>
      </c>
      <c r="D515" s="1" t="inlineStr">
        <is>
          <t>キッチン　UB　トイレ　エコカラット</t>
        </is>
      </c>
      <c r="E515" s="2" t="inlineStr">
        <is>
          <t>11月</t>
        </is>
      </c>
      <c r="F515" s="68">
        <f>2177267+14732+2694+16574</f>
        <v/>
      </c>
      <c r="G515" s="68">
        <f>IF(B515="","",F515-I515 )</f>
        <v/>
      </c>
      <c r="H515" s="5">
        <f>IF(G515="","",G515/F515)</f>
        <v/>
      </c>
      <c r="I515" s="62">
        <f>SUM(テーブル9[[#This Row],[五大]:[工場材]])</f>
        <v/>
      </c>
      <c r="J515" s="65" t="n"/>
      <c r="K515" s="65" t="n"/>
      <c r="L515" s="65" t="n"/>
      <c r="M515" s="65" t="n"/>
      <c r="N515" s="65" t="n"/>
      <c r="O515" s="69" t="n"/>
      <c r="P515" s="65" t="n"/>
      <c r="Q515" s="65" t="n"/>
      <c r="R515" s="65" t="n"/>
      <c r="S515" s="65" t="n"/>
      <c r="T515" s="65" t="n"/>
      <c r="U515" s="65" t="n"/>
      <c r="V515" s="65" t="n"/>
      <c r="W515" s="69" t="n">
        <v>400000</v>
      </c>
      <c r="X515" s="66" t="n">
        <v>48983</v>
      </c>
      <c r="Y515" s="65" t="n"/>
      <c r="Z515" s="65" t="n"/>
      <c r="AA515" s="69" t="n">
        <v>200000</v>
      </c>
      <c r="AB515" s="69" t="n">
        <v>221000</v>
      </c>
      <c r="AC515" s="65" t="n"/>
      <c r="AD515" s="65" t="n"/>
      <c r="AE515" s="65" t="n"/>
      <c r="AF515" s="65" t="n"/>
      <c r="AG515" s="65" t="n"/>
      <c r="AH515" s="69">
        <f>375000+30000</f>
        <v/>
      </c>
      <c r="AI515" s="65" t="n"/>
      <c r="AJ515" s="65" t="n">
        <v>30000</v>
      </c>
      <c r="AK515" s="64" t="n">
        <v>120000</v>
      </c>
      <c r="AL515" s="65" t="n"/>
      <c r="AM515" s="65" t="n"/>
      <c r="AN515" s="65" t="n"/>
      <c r="AO515" s="65" t="n"/>
      <c r="AP515" s="65" t="n"/>
      <c r="AQ515" s="65" t="n"/>
      <c r="AR515" s="65" t="n"/>
      <c r="AS515" s="65" t="n"/>
      <c r="AT515" s="65" t="n"/>
      <c r="AU515" s="65" t="n"/>
      <c r="AV515" s="65" t="n"/>
      <c r="AW515" s="65" t="n"/>
      <c r="AX515" s="65" t="n"/>
      <c r="AY515" s="65" t="n"/>
      <c r="AZ515" s="65" t="n"/>
      <c r="BA515" s="65" t="n"/>
      <c r="BB515" s="65" t="n"/>
      <c r="BC515" s="65" t="n"/>
      <c r="BD515" s="65" t="n"/>
      <c r="BE515" s="65" t="n"/>
      <c r="BF515" s="65" t="n"/>
      <c r="BG515" s="65" t="n"/>
    </row>
    <row r="516">
      <c r="F516" s="68" t="n"/>
      <c r="G516" s="68">
        <f>IF(B516="","",F516-I516 )</f>
        <v/>
      </c>
      <c r="H516" s="5">
        <f>IF(G516="","",G516/F516)</f>
        <v/>
      </c>
      <c r="I516" s="62">
        <f>SUM(テーブル9[[#This Row],[五大]:[工場材]])</f>
        <v/>
      </c>
      <c r="J516" s="65" t="n"/>
      <c r="K516" s="65" t="n"/>
      <c r="L516" s="65" t="n"/>
      <c r="M516" s="65" t="n"/>
      <c r="N516" s="65" t="n"/>
      <c r="O516" s="69" t="n"/>
      <c r="P516" s="65" t="n"/>
      <c r="Q516" s="65" t="n"/>
      <c r="R516" s="65" t="n"/>
      <c r="S516" s="65" t="n"/>
      <c r="T516" s="65" t="n"/>
      <c r="U516" s="65" t="n"/>
      <c r="V516" s="65" t="n"/>
      <c r="W516" s="65" t="n"/>
      <c r="X516" s="66" t="n"/>
      <c r="Y516" s="65" t="n"/>
      <c r="Z516" s="65" t="n"/>
      <c r="AA516" s="65" t="n"/>
      <c r="AB516" s="65" t="n"/>
      <c r="AC516" s="65" t="n"/>
      <c r="AD516" s="65" t="n"/>
      <c r="AE516" s="65" t="n"/>
      <c r="AF516" s="65" t="n"/>
      <c r="AG516" s="65" t="n"/>
      <c r="AH516" s="65" t="n"/>
      <c r="AI516" s="65" t="n"/>
      <c r="AJ516" s="65" t="n"/>
      <c r="AK516" s="65" t="n"/>
      <c r="AL516" s="65" t="n"/>
      <c r="AM516" s="65" t="n"/>
      <c r="AN516" s="65" t="n"/>
      <c r="AO516" s="65" t="n"/>
      <c r="AP516" s="65" t="n"/>
      <c r="AQ516" s="65" t="n"/>
      <c r="AR516" s="65" t="n"/>
      <c r="AS516" s="65" t="n"/>
      <c r="AT516" s="65" t="n"/>
      <c r="AU516" s="65" t="n"/>
      <c r="AV516" s="65" t="n"/>
      <c r="AW516" s="65" t="n"/>
      <c r="AX516" s="65" t="n"/>
      <c r="AY516" s="65" t="n"/>
      <c r="AZ516" s="65" t="n"/>
      <c r="BA516" s="65" t="n"/>
      <c r="BB516" s="65" t="n"/>
      <c r="BC516" s="65" t="n"/>
      <c r="BD516" s="65" t="n"/>
      <c r="BE516" s="65" t="n"/>
      <c r="BF516" s="65" t="n"/>
      <c r="BG516" s="65" t="n"/>
    </row>
    <row r="517">
      <c r="B517" s="1" t="inlineStr">
        <is>
          <t>西中田　井上邸　グランコート南仙台第一605</t>
        </is>
      </c>
      <c r="C517" s="1" t="inlineStr">
        <is>
          <t>LIXIL</t>
        </is>
      </c>
      <c r="D517" s="1" t="inlineStr">
        <is>
          <t>UB入替</t>
        </is>
      </c>
      <c r="E517" s="2" t="inlineStr">
        <is>
          <t>11月</t>
        </is>
      </c>
      <c r="F517" s="68" t="n">
        <v>494100</v>
      </c>
      <c r="G517" s="68">
        <f>IF(B517="","",F517-I517 )</f>
        <v/>
      </c>
      <c r="H517" s="5">
        <f>IF(G517="","",G517/F517)</f>
        <v/>
      </c>
      <c r="I517" s="62">
        <f>SUM(テーブル9[[#This Row],[五大]:[工場材]])</f>
        <v/>
      </c>
      <c r="J517" s="65" t="n"/>
      <c r="K517" s="65" t="n"/>
      <c r="L517" s="65" t="n"/>
      <c r="M517" s="65" t="n"/>
      <c r="N517" s="65" t="n"/>
      <c r="O517" s="65" t="n"/>
      <c r="P517" s="65" t="n"/>
      <c r="Q517" s="65" t="n"/>
      <c r="R517" s="65" t="n"/>
      <c r="S517" s="65" t="n"/>
      <c r="T517" s="65" t="n"/>
      <c r="U517" s="65" t="n"/>
      <c r="V517" s="65" t="n"/>
      <c r="W517" s="69" t="n">
        <v>80000</v>
      </c>
      <c r="X517" s="66" t="n">
        <v>8178</v>
      </c>
      <c r="Y517" s="65" t="n"/>
      <c r="Z517" s="65" t="n"/>
      <c r="AA517" s="69" t="n">
        <v>55000</v>
      </c>
      <c r="AB517" s="69" t="n">
        <v>133000</v>
      </c>
      <c r="AC517" s="65" t="n"/>
      <c r="AD517" s="65" t="n"/>
      <c r="AE517" s="65" t="n"/>
      <c r="AF517" s="65" t="n"/>
      <c r="AG517" s="65" t="n"/>
      <c r="AH517" s="69" t="n">
        <v>30000</v>
      </c>
      <c r="AI517" s="65" t="n"/>
      <c r="AJ517" s="65" t="n"/>
      <c r="AK517" s="65" t="n"/>
      <c r="AL517" s="65" t="n"/>
      <c r="AM517" s="65" t="n"/>
      <c r="AN517" s="65" t="n"/>
      <c r="AO517" s="65" t="n"/>
      <c r="AP517" s="65" t="n"/>
      <c r="AQ517" s="65" t="n"/>
      <c r="AR517" s="65" t="n"/>
      <c r="AS517" s="65" t="n"/>
      <c r="AT517" s="65" t="n"/>
      <c r="AU517" s="65" t="n"/>
      <c r="AV517" s="65" t="n"/>
      <c r="AW517" s="65" t="n"/>
      <c r="AX517" s="65" t="n"/>
      <c r="AY517" s="65" t="n"/>
      <c r="AZ517" s="65" t="n"/>
      <c r="BA517" s="65" t="n"/>
      <c r="BB517" s="65" t="n"/>
      <c r="BC517" s="65" t="n"/>
      <c r="BD517" s="65" t="n"/>
      <c r="BE517" s="65" t="n"/>
      <c r="BF517" s="65" t="n"/>
      <c r="BG517" s="65" t="n"/>
    </row>
    <row r="518">
      <c r="B518" s="1" t="inlineStr">
        <is>
          <t>国見　茂木邸</t>
        </is>
      </c>
      <c r="C518" s="1" t="inlineStr">
        <is>
          <t>LIXIL</t>
        </is>
      </c>
      <c r="D518" s="1" t="inlineStr">
        <is>
          <t>キッチン　収納電気、内装</t>
        </is>
      </c>
      <c r="E518" s="2" t="inlineStr">
        <is>
          <t>11月</t>
        </is>
      </c>
      <c r="F518" s="68" t="n">
        <v>65710</v>
      </c>
      <c r="G518" s="68">
        <f>IF(B518="","",F518-I518 )</f>
        <v/>
      </c>
      <c r="H518" s="5">
        <f>IF(G518="","",G518/F518)</f>
        <v/>
      </c>
      <c r="I518" s="62">
        <f>SUM(テーブル9[[#This Row],[五大]:[工場材]])</f>
        <v/>
      </c>
      <c r="J518" s="65" t="n"/>
      <c r="K518" s="65" t="n"/>
      <c r="L518" s="65" t="n"/>
      <c r="M518" s="65" t="n"/>
      <c r="N518" s="65" t="n"/>
      <c r="O518" s="69" t="n"/>
      <c r="P518" s="65" t="n"/>
      <c r="Q518" s="65" t="n"/>
      <c r="R518" s="65" t="n"/>
      <c r="S518" s="65" t="n"/>
      <c r="T518" s="65" t="n"/>
      <c r="U518" s="65" t="n"/>
      <c r="V518" s="65" t="n"/>
      <c r="W518" s="65" t="n"/>
      <c r="X518" s="66" t="n"/>
      <c r="Y518" s="65" t="n"/>
      <c r="Z518" s="65" t="n"/>
      <c r="AA518" s="65" t="n"/>
      <c r="AB518" s="65" t="n"/>
      <c r="AC518" s="65" t="n"/>
      <c r="AD518" s="65" t="n"/>
      <c r="AE518" s="65" t="n"/>
      <c r="AF518" s="65" t="n"/>
      <c r="AG518" s="65" t="n"/>
      <c r="AH518" s="65" t="n"/>
      <c r="AI518" s="65" t="n"/>
      <c r="AJ518" s="65" t="n"/>
      <c r="AK518" s="65" t="n"/>
      <c r="AL518" s="65" t="n"/>
      <c r="AM518" s="65" t="n"/>
      <c r="AN518" s="65" t="n"/>
      <c r="AO518" s="65" t="n"/>
      <c r="AP518" s="65" t="n"/>
      <c r="AQ518" s="65" t="n"/>
      <c r="AR518" s="65" t="n"/>
      <c r="AS518" s="65" t="n"/>
      <c r="AT518" s="65" t="n"/>
      <c r="AU518" s="65" t="n"/>
      <c r="AV518" s="65" t="n"/>
      <c r="AW518" s="65" t="n"/>
      <c r="AX518" s="65" t="n"/>
      <c r="AY518" s="65" t="n"/>
      <c r="AZ518" s="65" t="n"/>
      <c r="BA518" s="65" t="n"/>
      <c r="BB518" s="65" t="n"/>
      <c r="BC518" s="65" t="n"/>
      <c r="BD518" s="65" t="n"/>
      <c r="BE518" s="65" t="n"/>
      <c r="BF518" s="65" t="n"/>
      <c r="BG518" s="65" t="n"/>
    </row>
    <row r="519">
      <c r="B519" s="1" t="inlineStr">
        <is>
          <t>柴田　青野邸</t>
        </is>
      </c>
      <c r="C519" s="1" t="inlineStr">
        <is>
          <t>LIXIL</t>
        </is>
      </c>
      <c r="D519" s="1" t="inlineStr">
        <is>
          <t>便器交換+内装</t>
        </is>
      </c>
      <c r="E519" s="2" t="inlineStr">
        <is>
          <t>11月</t>
        </is>
      </c>
      <c r="F519" s="68">
        <f>3000+8000+5200+18000+23000+2800</f>
        <v/>
      </c>
      <c r="G519" s="68">
        <f>IF(B519="","",F519-I519 )</f>
        <v/>
      </c>
      <c r="H519" s="5">
        <f>IF(G519="","",G519/F519)</f>
        <v/>
      </c>
      <c r="I519" s="62">
        <f>SUM(テーブル9[[#This Row],[五大]:[工場材]])</f>
        <v/>
      </c>
      <c r="J519" s="65" t="n"/>
      <c r="K519" s="65" t="n"/>
      <c r="L519" s="65" t="n"/>
      <c r="M519" s="65" t="n"/>
      <c r="N519" s="65" t="n"/>
      <c r="O519" s="69" t="n"/>
      <c r="P519" s="65" t="n"/>
      <c r="Q519" s="65" t="n"/>
      <c r="R519" s="65" t="n"/>
      <c r="S519" s="65" t="n"/>
      <c r="T519" s="65" t="n"/>
      <c r="U519" s="65" t="n"/>
      <c r="V519" s="65" t="n"/>
      <c r="W519" s="65" t="n"/>
      <c r="X519" s="66" t="n"/>
      <c r="Y519" s="65" t="n"/>
      <c r="Z519" s="65" t="n"/>
      <c r="AA519" s="65" t="n"/>
      <c r="AB519" s="69" t="n">
        <v>23000</v>
      </c>
      <c r="AC519" s="65" t="n"/>
      <c r="AD519" s="65" t="n"/>
      <c r="AE519" s="65" t="n"/>
      <c r="AF519" s="65" t="n"/>
      <c r="AG519" s="65" t="n"/>
      <c r="AH519" s="69" t="n">
        <v>15000</v>
      </c>
      <c r="AI519" s="65" t="n"/>
      <c r="AJ519" s="65" t="n"/>
      <c r="AK519" s="65" t="n"/>
      <c r="AL519" s="65" t="n"/>
      <c r="AM519" s="65" t="n"/>
      <c r="AN519" s="65" t="n"/>
      <c r="AO519" s="65" t="n"/>
      <c r="AP519" s="65" t="n"/>
      <c r="AQ519" s="65" t="n"/>
      <c r="AR519" s="65" t="n"/>
      <c r="AS519" s="65" t="n"/>
      <c r="AT519" s="65" t="n"/>
      <c r="AU519" s="65" t="n"/>
      <c r="AV519" s="65" t="n"/>
      <c r="AW519" s="65" t="n"/>
      <c r="AX519" s="65" t="n"/>
      <c r="AY519" s="65" t="n"/>
      <c r="AZ519" s="65" t="n"/>
      <c r="BA519" s="65" t="n"/>
      <c r="BB519" s="65" t="n"/>
      <c r="BC519" s="65" t="n"/>
      <c r="BD519" s="65" t="n"/>
      <c r="BE519" s="65" t="n"/>
      <c r="BF519" s="65" t="n"/>
      <c r="BG519" s="65" t="n"/>
    </row>
    <row r="520">
      <c r="B520" s="1" t="inlineStr">
        <is>
          <t>長命ヶ丘　室橋邸</t>
        </is>
      </c>
      <c r="C520" s="1" t="inlineStr">
        <is>
          <t>LIXIL</t>
        </is>
      </c>
      <c r="D520" s="1" t="inlineStr">
        <is>
          <t>便器交換</t>
        </is>
      </c>
      <c r="E520" s="2" t="inlineStr">
        <is>
          <t>11月</t>
        </is>
      </c>
      <c r="F520" s="68">
        <f>23000+35000+1000+3000+5500+2500+5000</f>
        <v/>
      </c>
      <c r="G520" s="68">
        <f>IF(B520="","",F520-I520 )</f>
        <v/>
      </c>
      <c r="H520" s="5">
        <f>IF(G520="","",G520/F520)</f>
        <v/>
      </c>
      <c r="I520" s="62">
        <f>SUM(テーブル9[[#This Row],[五大]:[工場材]])</f>
        <v/>
      </c>
      <c r="J520" s="65" t="n"/>
      <c r="K520" s="65" t="n"/>
      <c r="L520" s="65" t="n"/>
      <c r="M520" s="65" t="n"/>
      <c r="N520" s="65" t="n"/>
      <c r="O520" s="69" t="n"/>
      <c r="P520" s="65" t="n"/>
      <c r="Q520" s="65" t="n"/>
      <c r="R520" s="65" t="n"/>
      <c r="S520" s="65" t="n"/>
      <c r="T520" s="65" t="n"/>
      <c r="U520" s="65" t="n"/>
      <c r="V520" s="65" t="n"/>
      <c r="W520" s="65" t="n"/>
      <c r="X520" s="66" t="n"/>
      <c r="Y520" s="65" t="n"/>
      <c r="Z520" s="65" t="n"/>
      <c r="AA520" s="65" t="n"/>
      <c r="AB520" s="69" t="n">
        <v>63000</v>
      </c>
      <c r="AC520" s="65" t="n"/>
      <c r="AD520" s="65" t="n"/>
      <c r="AE520" s="65" t="n"/>
      <c r="AF520" s="65" t="n"/>
      <c r="AG520" s="65" t="n"/>
      <c r="AH520" s="65" t="n"/>
      <c r="AI520" s="65" t="n"/>
      <c r="AJ520" s="65" t="n"/>
      <c r="AK520" s="65" t="n"/>
      <c r="AL520" s="65" t="n"/>
      <c r="AM520" s="65" t="n"/>
      <c r="AN520" s="65" t="n"/>
      <c r="AO520" s="65" t="n"/>
      <c r="AP520" s="65" t="n"/>
      <c r="AQ520" s="65" t="n"/>
      <c r="AR520" s="65" t="n"/>
      <c r="AS520" s="65" t="n"/>
      <c r="AT520" s="65" t="n"/>
      <c r="AU520" s="65" t="n"/>
      <c r="AV520" s="65" t="n"/>
      <c r="AW520" s="65" t="n"/>
      <c r="AX520" s="65" t="n"/>
      <c r="AY520" s="65" t="n"/>
      <c r="AZ520" s="65" t="n"/>
      <c r="BA520" s="65" t="n"/>
      <c r="BB520" s="65" t="n"/>
      <c r="BC520" s="65" t="n"/>
      <c r="BD520" s="65" t="n"/>
      <c r="BE520" s="65" t="n"/>
      <c r="BF520" s="65" t="n"/>
      <c r="BG520" s="65" t="n"/>
    </row>
    <row r="521">
      <c r="B521" s="1" t="inlineStr">
        <is>
          <t>上杉マンション　三浦邸</t>
        </is>
      </c>
      <c r="C521" s="1" t="inlineStr">
        <is>
          <t>LIXIL</t>
        </is>
      </c>
      <c r="D521" s="1" t="inlineStr">
        <is>
          <t>フォグラスシート+ホスクリーン2箇所</t>
        </is>
      </c>
      <c r="E521" s="2" t="inlineStr">
        <is>
          <t>11月</t>
        </is>
      </c>
      <c r="F521" s="68">
        <f>11840+6000+4070+37000+660+20000</f>
        <v/>
      </c>
      <c r="G521" s="68">
        <f>IF(B521="","",F521-I521 )</f>
        <v/>
      </c>
      <c r="H521" s="5">
        <f>IF(G521="","",G521/F521)</f>
        <v/>
      </c>
      <c r="I521" s="62">
        <f>SUM(テーブル9[[#This Row],[五大]:[工場材]])</f>
        <v/>
      </c>
      <c r="J521" s="65" t="n"/>
      <c r="K521" s="65" t="n"/>
      <c r="L521" s="65" t="n"/>
      <c r="M521" s="65" t="n"/>
      <c r="N521" s="65" t="n"/>
      <c r="O521" s="69" t="n"/>
      <c r="P521" s="65" t="n"/>
      <c r="Q521" s="65" t="n"/>
      <c r="R521" s="65" t="n"/>
      <c r="S521" s="65" t="n"/>
      <c r="T521" s="65" t="n"/>
      <c r="U521" s="65" t="n"/>
      <c r="V521" s="65" t="n"/>
      <c r="W521" s="65" t="n"/>
      <c r="X521" s="66" t="n"/>
      <c r="Y521" s="65" t="n"/>
      <c r="Z521" s="65" t="n"/>
      <c r="AA521" s="65" t="n"/>
      <c r="AB521" s="65" t="n"/>
      <c r="AC521" s="65" t="n"/>
      <c r="AD521" s="65" t="n"/>
      <c r="AE521" s="65" t="n"/>
      <c r="AF521" s="65" t="n"/>
      <c r="AG521" s="65" t="n"/>
      <c r="AH521" s="65" t="n"/>
      <c r="AI521" s="65" t="n"/>
      <c r="AJ521" s="65" t="n"/>
      <c r="AK521" s="65" t="n"/>
      <c r="AL521" s="65" t="n"/>
      <c r="AM521" s="65" t="n"/>
      <c r="AN521" s="69" t="n">
        <v>15000</v>
      </c>
      <c r="AO521" s="65" t="n"/>
      <c r="AP521" s="65" t="n"/>
      <c r="AQ521" s="65" t="n"/>
      <c r="AR521" s="65" t="n"/>
      <c r="AS521" s="65" t="n"/>
      <c r="AT521" s="65" t="n"/>
      <c r="AU521" s="65" t="n"/>
      <c r="AV521" s="65" t="n"/>
      <c r="AW521" s="65" t="n"/>
      <c r="AX521" s="65" t="n"/>
      <c r="AY521" s="65" t="n"/>
      <c r="AZ521" s="65" t="n"/>
      <c r="BA521" s="65" t="n"/>
      <c r="BB521" s="65" t="n"/>
      <c r="BC521" s="65" t="n"/>
      <c r="BD521" s="65" t="n"/>
      <c r="BE521" s="65" t="n"/>
      <c r="BF521" s="65" t="n"/>
      <c r="BG521" s="65" t="n"/>
    </row>
    <row r="522">
      <c r="B522" s="1" t="inlineStr">
        <is>
          <t>あたご住宅</t>
        </is>
      </c>
      <c r="C522" s="1" t="inlineStr">
        <is>
          <t>積水不動産</t>
        </is>
      </c>
      <c r="D522" s="1" t="inlineStr">
        <is>
          <t>樋交換・雪止め設置</t>
        </is>
      </c>
      <c r="E522" s="2" t="inlineStr">
        <is>
          <t>11月</t>
        </is>
      </c>
      <c r="F522" s="68">
        <f>366000+88000+357000</f>
        <v/>
      </c>
      <c r="G522" s="68">
        <f>IF(B522="","",F522-I522 )</f>
        <v/>
      </c>
      <c r="H522" s="5">
        <f>IF(G522="","",G522/F522)</f>
        <v/>
      </c>
      <c r="I522" s="62">
        <f>SUM(テーブル9[[#This Row],[五大]:[工場材]])</f>
        <v/>
      </c>
      <c r="J522" s="65" t="n">
        <v>110000</v>
      </c>
      <c r="K522" s="65" t="n"/>
      <c r="L522" s="65" t="n"/>
      <c r="M522" s="65" t="n"/>
      <c r="N522" s="65" t="n"/>
      <c r="O522" s="65" t="n">
        <v>40000</v>
      </c>
      <c r="P522" s="65" t="n"/>
      <c r="Q522" s="65" t="n"/>
      <c r="R522" s="65" t="n"/>
      <c r="S522" s="65" t="n"/>
      <c r="T522" s="65" t="n"/>
      <c r="U522" s="65" t="n"/>
      <c r="V522" s="65" t="n"/>
      <c r="W522" s="69" t="n">
        <v>120000</v>
      </c>
      <c r="X522" s="66" t="n">
        <v>3982</v>
      </c>
      <c r="Y522" s="65" t="n"/>
      <c r="Z522" s="65" t="n"/>
      <c r="AA522" s="65" t="n"/>
      <c r="AB522" s="65" t="n"/>
      <c r="AC522" s="65" t="n"/>
      <c r="AD522" s="65" t="n"/>
      <c r="AE522" s="65" t="n"/>
      <c r="AF522" s="65" t="n"/>
      <c r="AG522" s="65" t="n"/>
      <c r="AH522" s="65" t="n"/>
      <c r="AI522" s="65" t="n"/>
      <c r="AJ522" s="65" t="n"/>
      <c r="AK522" s="65" t="n"/>
      <c r="AL522" s="65" t="n"/>
      <c r="AM522" s="65" t="n"/>
      <c r="AN522" s="65" t="n"/>
      <c r="AO522" s="65" t="n"/>
      <c r="AP522" s="65" t="n"/>
      <c r="AQ522" s="65" t="n"/>
      <c r="AR522" s="65" t="n"/>
      <c r="AS522" s="65" t="n"/>
      <c r="AT522" s="65" t="n"/>
      <c r="AU522" s="65" t="n"/>
      <c r="AV522" s="65" t="n"/>
      <c r="AW522" s="65" t="n"/>
      <c r="AX522" s="65" t="n"/>
      <c r="AY522" s="65" t="n"/>
      <c r="AZ522" s="65" t="n"/>
      <c r="BA522" s="65" t="n"/>
      <c r="BB522" s="65" t="n"/>
      <c r="BC522" s="65" t="n"/>
      <c r="BD522" s="65" t="n"/>
      <c r="BE522" s="65" t="n"/>
      <c r="BF522" s="65" t="n"/>
      <c r="BG522" s="65" t="n"/>
    </row>
    <row r="523">
      <c r="B523" s="1" t="inlineStr">
        <is>
          <t>鶴ケ谷 高橋邸</t>
        </is>
      </c>
      <c r="C523" s="1" t="inlineStr">
        <is>
          <t>LIXIL</t>
        </is>
      </c>
      <c r="D523" s="1" t="inlineStr">
        <is>
          <t>UB入替　化粧台脱着</t>
        </is>
      </c>
      <c r="E523" s="2" t="inlineStr">
        <is>
          <t>11月</t>
        </is>
      </c>
      <c r="F523" s="68">
        <f>59500+35000+45500+41940+30560+85000+52500+140000</f>
        <v/>
      </c>
      <c r="G523" s="68">
        <f>IF(B523="","",F523-I523 )</f>
        <v/>
      </c>
      <c r="H523" s="5">
        <f>IF(G523="","",G523/F523)</f>
        <v/>
      </c>
      <c r="I523" s="62">
        <f>SUM(テーブル9[[#This Row],[五大]:[工場材]])</f>
        <v/>
      </c>
      <c r="J523" s="65" t="n"/>
      <c r="K523" s="65" t="n"/>
      <c r="L523" s="65" t="n"/>
      <c r="M523" s="65" t="n"/>
      <c r="N523" s="65" t="n"/>
      <c r="O523" s="65" t="n"/>
      <c r="P523" s="65" t="n"/>
      <c r="Q523" s="65" t="n"/>
      <c r="R523" s="65" t="n"/>
      <c r="S523" s="65" t="n"/>
      <c r="T523" s="65" t="n"/>
      <c r="U523" s="65" t="n"/>
      <c r="V523" s="65" t="n"/>
      <c r="W523" s="69" t="n">
        <v>85000</v>
      </c>
      <c r="X523" s="66" t="n">
        <v>18804</v>
      </c>
      <c r="Y523" s="65" t="n"/>
      <c r="Z523" s="65" t="n"/>
      <c r="AA523" s="69" t="n">
        <v>68000</v>
      </c>
      <c r="AB523" s="69" t="n">
        <v>180000</v>
      </c>
      <c r="AC523" s="65" t="n"/>
      <c r="AD523" s="65" t="n"/>
      <c r="AE523" s="65" t="n"/>
      <c r="AF523" s="65" t="n"/>
      <c r="AG523" s="65" t="n"/>
      <c r="AH523" s="69" t="n">
        <v>45000</v>
      </c>
      <c r="AI523" s="65" t="n"/>
      <c r="AJ523" s="65" t="n"/>
      <c r="AK523" s="65" t="n"/>
      <c r="AL523" s="65" t="n"/>
      <c r="AM523" s="65" t="n"/>
      <c r="AN523" s="65" t="n"/>
      <c r="AO523" s="65" t="n"/>
      <c r="AP523" s="65" t="n"/>
      <c r="AQ523" s="65" t="n"/>
      <c r="AR523" s="65" t="n"/>
      <c r="AS523" s="65" t="n"/>
      <c r="AT523" s="65" t="n"/>
      <c r="AU523" s="65" t="n"/>
      <c r="AV523" s="65" t="n"/>
      <c r="AW523" s="65" t="n"/>
      <c r="AX523" s="65" t="n"/>
      <c r="AY523" s="65" t="n"/>
      <c r="AZ523" s="65" t="n"/>
      <c r="BA523" s="65" t="n"/>
      <c r="BB523" s="65" t="n"/>
      <c r="BC523" s="65" t="n"/>
      <c r="BD523" s="65" t="n"/>
      <c r="BE523" s="65" t="n"/>
      <c r="BF523" s="65" t="n"/>
      <c r="BG523" s="65" t="n"/>
    </row>
    <row r="524">
      <c r="B524" s="1" t="inlineStr">
        <is>
          <t>松陵　石黒邸</t>
        </is>
      </c>
      <c r="C524" s="1" t="inlineStr">
        <is>
          <t>LIXIL</t>
        </is>
      </c>
      <c r="D524" s="1" t="inlineStr">
        <is>
          <t>UB入替</t>
        </is>
      </c>
      <c r="E524" s="2" t="inlineStr">
        <is>
          <t>11月</t>
        </is>
      </c>
      <c r="F524" s="68">
        <f>38000+30000+65000+20400+55600+46000+31000+3000+53625</f>
        <v/>
      </c>
      <c r="G524" s="68">
        <f>IF(B524="","",F524-I524 )</f>
        <v/>
      </c>
      <c r="H524" s="5">
        <f>IF(G524="","",G524/F524)</f>
        <v/>
      </c>
      <c r="I524" s="62">
        <f>SUM(テーブル9[[#This Row],[五大]:[工場材]])</f>
        <v/>
      </c>
      <c r="J524" s="65" t="n"/>
      <c r="K524" s="65" t="n"/>
      <c r="L524" s="65" t="n"/>
      <c r="M524" s="65" t="n"/>
      <c r="N524" s="65" t="n"/>
      <c r="O524" s="65" t="n"/>
      <c r="P524" s="65" t="n"/>
      <c r="Q524" s="65" t="n"/>
      <c r="R524" s="65" t="n"/>
      <c r="S524" s="65" t="n"/>
      <c r="T524" s="65" t="n"/>
      <c r="U524" s="65" t="n"/>
      <c r="V524" s="65" t="n"/>
      <c r="W524" s="69" t="n">
        <v>100000</v>
      </c>
      <c r="X524" s="66" t="n">
        <v>31697</v>
      </c>
      <c r="Y524" s="65" t="n"/>
      <c r="Z524" s="65" t="n"/>
      <c r="AA524" s="69" t="n">
        <v>45000</v>
      </c>
      <c r="AB524" s="69" t="n">
        <v>85000</v>
      </c>
      <c r="AC524" s="65" t="n"/>
      <c r="AD524" s="65" t="n"/>
      <c r="AE524" s="65" t="n"/>
      <c r="AF524" s="65" t="n"/>
      <c r="AG524" s="65" t="n"/>
      <c r="AH524" s="65" t="n"/>
      <c r="AI524" s="65" t="n"/>
      <c r="AJ524" s="65" t="n"/>
      <c r="AK524" s="65" t="n"/>
      <c r="AL524" s="65" t="n"/>
      <c r="AM524" s="65" t="n"/>
      <c r="AN524" s="65" t="n"/>
      <c r="AO524" s="65" t="n"/>
      <c r="AP524" s="65" t="n"/>
      <c r="AQ524" s="65" t="n"/>
      <c r="AR524" s="65" t="n"/>
      <c r="AS524" s="65" t="n"/>
      <c r="AT524" s="65" t="n"/>
      <c r="AU524" s="65" t="n"/>
      <c r="AV524" s="65" t="n"/>
      <c r="AW524" s="65" t="n"/>
      <c r="AX524" s="65" t="n"/>
      <c r="AY524" s="65" t="n"/>
      <c r="AZ524" s="65" t="n"/>
      <c r="BA524" s="65" t="n"/>
      <c r="BB524" s="65" t="n"/>
      <c r="BC524" s="65" t="n"/>
      <c r="BD524" s="65" t="n"/>
      <c r="BE524" s="65" t="n"/>
      <c r="BF524" s="65" t="n"/>
      <c r="BG524" s="65" t="n"/>
    </row>
    <row r="525">
      <c r="B525" s="1" t="inlineStr">
        <is>
          <t>美里町　神寺不動尊松景院</t>
        </is>
      </c>
      <c r="C525" s="1" t="inlineStr">
        <is>
          <t>サステム</t>
        </is>
      </c>
      <c r="D525" s="1" t="inlineStr">
        <is>
          <t>UB入替解体のみ</t>
        </is>
      </c>
      <c r="E525" s="2" t="inlineStr">
        <is>
          <t>11月</t>
        </is>
      </c>
      <c r="F525" s="68" t="n">
        <v>78000</v>
      </c>
      <c r="G525" s="68">
        <f>IF(B525="","",F525-I525 )</f>
        <v/>
      </c>
      <c r="H525" s="5">
        <f>IF(G525="","",G525/F525)</f>
        <v/>
      </c>
      <c r="I525" s="62">
        <f>SUM(テーブル9[[#This Row],[五大]:[工場材]])</f>
        <v/>
      </c>
      <c r="J525" s="65" t="n"/>
      <c r="K525" s="65" t="n"/>
      <c r="L525" s="65" t="n"/>
      <c r="M525" s="65" t="n"/>
      <c r="N525" s="65" t="n"/>
      <c r="O525" s="65" t="n"/>
      <c r="P525" s="65" t="n"/>
      <c r="Q525" s="65" t="n"/>
      <c r="R525" s="65" t="n"/>
      <c r="S525" s="65" t="n"/>
      <c r="T525" s="65" t="n"/>
      <c r="U525" s="65" t="n"/>
      <c r="V525" s="65" t="n"/>
      <c r="W525" s="69" t="n">
        <v>35000</v>
      </c>
      <c r="X525" s="66" t="n"/>
      <c r="Y525" s="65" t="n"/>
      <c r="Z525" s="65" t="n"/>
      <c r="AA525" s="69" t="n">
        <v>18000</v>
      </c>
      <c r="AB525" s="69" t="n">
        <v>25000</v>
      </c>
      <c r="AC525" s="65" t="n"/>
      <c r="AD525" s="65" t="n"/>
      <c r="AE525" s="65" t="n"/>
      <c r="AF525" s="65" t="n"/>
      <c r="AG525" s="65" t="n"/>
      <c r="AH525" s="65" t="n"/>
      <c r="AI525" s="65" t="n"/>
      <c r="AJ525" s="65" t="n"/>
      <c r="AK525" s="65" t="n"/>
      <c r="AL525" s="65" t="n"/>
      <c r="AM525" s="65" t="n"/>
      <c r="AN525" s="65" t="n"/>
      <c r="AO525" s="65" t="n"/>
      <c r="AP525" s="65" t="n"/>
      <c r="AQ525" s="65" t="n"/>
      <c r="AR525" s="65" t="n"/>
      <c r="AS525" s="65" t="n"/>
      <c r="AT525" s="65" t="n"/>
      <c r="AU525" s="65" t="n"/>
      <c r="AV525" s="65" t="n"/>
      <c r="AW525" s="65" t="n"/>
      <c r="AX525" s="65" t="n"/>
      <c r="AY525" s="65" t="n"/>
      <c r="AZ525" s="65" t="n"/>
      <c r="BA525" s="65" t="n"/>
      <c r="BB525" s="65" t="n"/>
      <c r="BC525" s="65" t="n"/>
      <c r="BD525" s="65" t="n"/>
      <c r="BE525" s="65" t="n"/>
      <c r="BF525" s="65" t="n"/>
      <c r="BG525" s="65" t="n"/>
    </row>
    <row r="526">
      <c r="B526" s="1" t="inlineStr">
        <is>
          <t>大郷　糟川襌寺</t>
        </is>
      </c>
      <c r="C526" s="1" t="inlineStr">
        <is>
          <t>サステム</t>
        </is>
      </c>
      <c r="D526" s="1" t="inlineStr">
        <is>
          <t>キッチン取付け</t>
        </is>
      </c>
      <c r="E526" s="2" t="inlineStr">
        <is>
          <t>12月</t>
        </is>
      </c>
      <c r="F526" s="68" t="n">
        <v>60000</v>
      </c>
      <c r="G526" s="68">
        <f>IF(B526="","",F526-I526 )</f>
        <v/>
      </c>
      <c r="H526" s="5">
        <f>IF(G526="","",G526/F526)</f>
        <v/>
      </c>
      <c r="I526" s="62">
        <f>SUM(テーブル9[[#This Row],[五大]:[工場材]])</f>
        <v/>
      </c>
      <c r="J526" s="65" t="n"/>
      <c r="K526" s="65" t="n"/>
      <c r="L526" s="65" t="n"/>
      <c r="M526" s="65" t="n"/>
      <c r="N526" s="65" t="n"/>
      <c r="O526" s="65" t="n"/>
      <c r="P526" s="65" t="n"/>
      <c r="Q526" s="65" t="n"/>
      <c r="R526" s="65" t="n"/>
      <c r="S526" s="65" t="n"/>
      <c r="T526" s="65" t="n"/>
      <c r="U526" s="65" t="n"/>
      <c r="V526" s="65" t="n"/>
      <c r="W526" s="65" t="n"/>
      <c r="X526" s="66" t="n"/>
      <c r="Y526" s="65" t="n"/>
      <c r="Z526" s="65" t="n"/>
      <c r="AA526" s="65" t="n"/>
      <c r="AB526" s="65" t="n"/>
      <c r="AC526" s="65" t="n"/>
      <c r="AD526" s="65" t="n"/>
      <c r="AE526" s="65" t="n"/>
      <c r="AF526" s="65" t="n"/>
      <c r="AG526" s="65" t="n"/>
      <c r="AH526" s="65" t="n"/>
      <c r="AI526" s="65" t="n"/>
      <c r="AJ526" s="65" t="n"/>
      <c r="AK526" s="65" t="n"/>
      <c r="AL526" s="65" t="n"/>
      <c r="AM526" s="65" t="n"/>
      <c r="AN526" s="65" t="n"/>
      <c r="AO526" s="65" t="n"/>
      <c r="AP526" s="65" t="n"/>
      <c r="AQ526" s="65" t="n"/>
      <c r="AR526" s="65" t="n"/>
      <c r="AS526" s="65" t="n"/>
      <c r="AT526" s="65" t="n"/>
      <c r="AU526" s="65" t="n"/>
      <c r="AV526" s="65" t="n"/>
      <c r="AW526" s="65" t="n"/>
      <c r="AX526" s="65" t="n"/>
      <c r="AY526" s="65" t="n"/>
      <c r="AZ526" s="65" t="n"/>
      <c r="BA526" s="65" t="n"/>
      <c r="BB526" s="65" t="n"/>
      <c r="BC526" s="65" t="n"/>
      <c r="BD526" s="65" t="n"/>
      <c r="BE526" s="65" t="n"/>
      <c r="BF526" s="65" t="n"/>
      <c r="BG526" s="65" t="n"/>
    </row>
    <row r="527">
      <c r="B527" s="1" t="inlineStr">
        <is>
          <t>小松島 レックスハイツ東照宮201</t>
        </is>
      </c>
      <c r="C527" s="1" t="inlineStr">
        <is>
          <t>LIXIL</t>
        </is>
      </c>
      <c r="D527" s="1" t="inlineStr">
        <is>
          <t>洗濯ﾊﾟﾝ・洗濯機脱着</t>
        </is>
      </c>
      <c r="E527" s="2" t="inlineStr">
        <is>
          <t>11月</t>
        </is>
      </c>
      <c r="F527" s="68" t="n"/>
      <c r="G527" s="68">
        <f>IF(B527="","",F527-I527 )</f>
        <v/>
      </c>
      <c r="H527" s="5">
        <f>IF(OR(G527="",F527=0),"",G527/F527)</f>
        <v/>
      </c>
      <c r="I527" s="62">
        <f>SUM(テーブル9[[#This Row],[五大]:[工場材]])</f>
        <v/>
      </c>
      <c r="J527" s="65" t="n"/>
      <c r="K527" s="65" t="n"/>
      <c r="L527" s="65" t="n"/>
      <c r="M527" s="65" t="n"/>
      <c r="N527" s="65" t="n"/>
      <c r="O527" s="65" t="n"/>
      <c r="P527" s="65" t="n"/>
      <c r="Q527" s="65" t="n"/>
      <c r="R527" s="65" t="n"/>
      <c r="S527" s="65" t="n"/>
      <c r="T527" s="65" t="n"/>
      <c r="U527" s="65" t="n"/>
      <c r="V527" s="65" t="n"/>
      <c r="W527" s="65" t="n"/>
      <c r="X527" s="66" t="n"/>
      <c r="Y527" s="65" t="n"/>
      <c r="Z527" s="65" t="n"/>
      <c r="AA527" s="65" t="n"/>
      <c r="AB527" s="69" t="n">
        <v>15000</v>
      </c>
      <c r="AC527" s="65" t="n"/>
      <c r="AD527" s="65" t="n"/>
      <c r="AE527" s="65" t="n"/>
      <c r="AF527" s="65" t="n"/>
      <c r="AG527" s="65" t="n"/>
      <c r="AH527" s="65" t="n"/>
      <c r="AI527" s="65" t="n"/>
      <c r="AJ527" s="65" t="n"/>
      <c r="AK527" s="65" t="n"/>
      <c r="AL527" s="65" t="n"/>
      <c r="AM527" s="65" t="n"/>
      <c r="AN527" s="65" t="n"/>
      <c r="AO527" s="65" t="n"/>
      <c r="AP527" s="65" t="n"/>
      <c r="AQ527" s="65" t="n"/>
      <c r="AR527" s="65" t="n"/>
      <c r="AS527" s="65" t="n"/>
      <c r="AT527" s="65" t="n"/>
      <c r="AU527" s="65" t="n"/>
      <c r="AV527" s="65" t="n"/>
      <c r="AW527" s="65" t="n"/>
      <c r="AX527" s="65" t="n"/>
      <c r="AY527" s="65" t="n"/>
      <c r="AZ527" s="65" t="n"/>
      <c r="BA527" s="65" t="n"/>
      <c r="BB527" s="65" t="n"/>
      <c r="BC527" s="65" t="n"/>
      <c r="BD527" s="65" t="n"/>
      <c r="BE527" s="65" t="n"/>
      <c r="BF527" s="65" t="n"/>
      <c r="BG527" s="65" t="n"/>
    </row>
    <row r="528">
      <c r="B528" s="1" t="inlineStr">
        <is>
          <t>アポロシティ高砂壱番館305</t>
        </is>
      </c>
      <c r="C528" s="1" t="inlineStr">
        <is>
          <t>LIXIL</t>
        </is>
      </c>
      <c r="D528" s="1" t="inlineStr">
        <is>
          <t>インプラス枠工事</t>
        </is>
      </c>
      <c r="E528" s="2" t="inlineStr">
        <is>
          <t>11月</t>
        </is>
      </c>
      <c r="F528" s="68" t="n">
        <v>94000</v>
      </c>
      <c r="G528" s="68">
        <f>IF(B528="","",F528-I528 )</f>
        <v/>
      </c>
      <c r="H528" s="5">
        <f>IF(G528="","",G528/F528)</f>
        <v/>
      </c>
      <c r="I528" s="62">
        <f>SUM(テーブル9[[#This Row],[五大]:[工場材]])</f>
        <v/>
      </c>
      <c r="J528" s="65" t="n"/>
      <c r="K528" s="65" t="n"/>
      <c r="L528" s="65" t="n"/>
      <c r="M528" s="65" t="n"/>
      <c r="N528" s="65" t="n"/>
      <c r="O528" s="65" t="n"/>
      <c r="P528" s="65" t="n"/>
      <c r="Q528" s="65" t="n"/>
      <c r="R528" s="65" t="n"/>
      <c r="S528" s="65" t="n"/>
      <c r="T528" s="65" t="n"/>
      <c r="U528" s="65" t="n"/>
      <c r="V528" s="65" t="n"/>
      <c r="W528" s="69" t="n">
        <v>30000</v>
      </c>
      <c r="X528" s="66" t="n">
        <v>12523</v>
      </c>
      <c r="Y528" s="65" t="n"/>
      <c r="Z528" s="65" t="n"/>
      <c r="AA528" s="65" t="n"/>
      <c r="AB528" s="65" t="n"/>
      <c r="AC528" s="65" t="n"/>
      <c r="AD528" s="65" t="n"/>
      <c r="AE528" s="65" t="n"/>
      <c r="AF528" s="65" t="n"/>
      <c r="AG528" s="65" t="n"/>
      <c r="AH528" s="65" t="n"/>
      <c r="AI528" s="65" t="n"/>
      <c r="AJ528" s="65" t="n"/>
      <c r="AK528" s="65" t="n"/>
      <c r="AL528" s="65" t="n"/>
      <c r="AM528" s="65" t="n"/>
      <c r="AN528" s="65" t="n"/>
      <c r="AO528" s="65" t="n"/>
      <c r="AP528" s="65" t="n"/>
      <c r="AQ528" s="65" t="n"/>
      <c r="AR528" s="65" t="n"/>
      <c r="AS528" s="65" t="n"/>
      <c r="AT528" s="65" t="n"/>
      <c r="AU528" s="65" t="n"/>
      <c r="AV528" s="65" t="n"/>
      <c r="AW528" s="65" t="n"/>
      <c r="AX528" s="65" t="n"/>
      <c r="AY528" s="65" t="n"/>
      <c r="AZ528" s="65" t="n"/>
      <c r="BA528" s="65" t="n"/>
      <c r="BB528" s="65" t="n"/>
      <c r="BC528" s="65" t="n"/>
      <c r="BD528" s="65" t="n"/>
      <c r="BE528" s="65" t="n"/>
      <c r="BF528" s="65" t="n"/>
      <c r="BG528" s="65" t="n"/>
    </row>
    <row r="529">
      <c r="B529" s="1" t="inlineStr">
        <is>
          <t>石巻　佐藤邸</t>
        </is>
      </c>
      <c r="C529" s="1" t="inlineStr">
        <is>
          <t>LIXIL</t>
        </is>
      </c>
      <c r="D529" s="1" t="inlineStr">
        <is>
          <t>屋根補修　シール　板金</t>
        </is>
      </c>
      <c r="E529" s="2" t="inlineStr">
        <is>
          <t>11月</t>
        </is>
      </c>
      <c r="F529" s="68">
        <f>91040+10960</f>
        <v/>
      </c>
      <c r="G529" s="68">
        <f>IF(B529="","",F529-I529 )</f>
        <v/>
      </c>
      <c r="H529" s="5">
        <f>IF(G529="","",G529/F529)</f>
        <v/>
      </c>
      <c r="I529" s="62">
        <f>SUM(テーブル9[[#This Row],[五大]:[工場材]])</f>
        <v/>
      </c>
      <c r="J529" s="65" t="n"/>
      <c r="K529" s="65" t="n"/>
      <c r="L529" s="65" t="n"/>
      <c r="M529" s="65" t="n"/>
      <c r="N529" s="65" t="n"/>
      <c r="O529" s="65" t="n"/>
      <c r="P529" s="65" t="n"/>
      <c r="Q529" s="65" t="n"/>
      <c r="R529" s="65" t="n"/>
      <c r="S529" s="65" t="n"/>
      <c r="T529" s="65" t="n"/>
      <c r="U529" s="65" t="n"/>
      <c r="V529" s="65" t="n"/>
      <c r="W529" s="69" t="n">
        <v>50000</v>
      </c>
      <c r="X529" s="66" t="n">
        <v>11172</v>
      </c>
      <c r="Y529" s="65" t="n"/>
      <c r="Z529" s="65" t="n"/>
      <c r="AA529" s="65" t="n"/>
      <c r="AB529" s="65" t="n"/>
      <c r="AC529" s="65" t="n"/>
      <c r="AD529" s="65" t="n"/>
      <c r="AE529" s="65" t="n"/>
      <c r="AF529" s="65" t="n"/>
      <c r="AG529" s="65" t="n"/>
      <c r="AH529" s="65" t="n"/>
      <c r="AI529" s="65" t="n"/>
      <c r="AJ529" s="65" t="n"/>
      <c r="AK529" s="65" t="n"/>
      <c r="AL529" s="65" t="n"/>
      <c r="AM529" s="65" t="n"/>
      <c r="AN529" s="65" t="n"/>
      <c r="AO529" s="65" t="n"/>
      <c r="AP529" s="65" t="n"/>
      <c r="AQ529" s="65" t="n"/>
      <c r="AR529" s="65" t="n"/>
      <c r="AS529" s="65" t="n"/>
      <c r="AT529" s="65" t="n"/>
      <c r="AU529" s="65" t="n"/>
      <c r="AV529" s="65" t="n"/>
      <c r="AW529" s="65" t="n"/>
      <c r="AX529" s="65" t="n"/>
      <c r="AY529" s="65" t="n"/>
      <c r="AZ529" s="65" t="n"/>
      <c r="BA529" s="65" t="n"/>
      <c r="BB529" s="65" t="n"/>
      <c r="BC529" s="65" t="n"/>
      <c r="BD529" s="65" t="n"/>
      <c r="BE529" s="65" t="n"/>
      <c r="BF529" s="65" t="n"/>
      <c r="BG529" s="65" t="n"/>
    </row>
    <row r="530">
      <c r="F530" s="68" t="n"/>
      <c r="G530" s="68">
        <f>IF(B530="","",F530-I530 )</f>
        <v/>
      </c>
      <c r="H530" s="5">
        <f>IF(G530="","",G530/F530)</f>
        <v/>
      </c>
      <c r="I530" s="62">
        <f>SUM(テーブル9[[#This Row],[五大]:[工場材]])</f>
        <v/>
      </c>
      <c r="J530" s="65" t="n"/>
      <c r="K530" s="65" t="n"/>
      <c r="L530" s="65" t="n"/>
      <c r="M530" s="65" t="n"/>
      <c r="N530" s="65" t="n"/>
      <c r="O530" s="65" t="n"/>
      <c r="P530" s="65" t="n"/>
      <c r="Q530" s="65" t="n"/>
      <c r="R530" s="65" t="n"/>
      <c r="S530" s="65" t="n"/>
      <c r="T530" s="65" t="n"/>
      <c r="U530" s="65" t="n"/>
      <c r="V530" s="65" t="n"/>
      <c r="W530" s="65" t="n"/>
      <c r="X530" s="66" t="n"/>
      <c r="Y530" s="65" t="n"/>
      <c r="Z530" s="65" t="n"/>
      <c r="AA530" s="65" t="n"/>
      <c r="AB530" s="65" t="n"/>
      <c r="AC530" s="65" t="n"/>
      <c r="AD530" s="65" t="n"/>
      <c r="AE530" s="65" t="n"/>
      <c r="AF530" s="65" t="n"/>
      <c r="AG530" s="65" t="n"/>
      <c r="AH530" s="65" t="n"/>
      <c r="AI530" s="65" t="n"/>
      <c r="AJ530" s="65" t="n"/>
      <c r="AK530" s="65" t="n"/>
      <c r="AL530" s="65" t="n"/>
      <c r="AM530" s="65" t="n"/>
      <c r="AN530" s="65" t="n"/>
      <c r="AO530" s="65" t="n"/>
      <c r="AP530" s="65" t="n"/>
      <c r="AQ530" s="65" t="n"/>
      <c r="AR530" s="65" t="n"/>
      <c r="AS530" s="65" t="n"/>
      <c r="AT530" s="65" t="n"/>
      <c r="AU530" s="65" t="n"/>
      <c r="AV530" s="65" t="n"/>
      <c r="AW530" s="65" t="n"/>
      <c r="AX530" s="65" t="n"/>
      <c r="AY530" s="65" t="n"/>
      <c r="AZ530" s="65" t="n"/>
      <c r="BA530" s="65" t="n"/>
      <c r="BB530" s="65" t="n"/>
      <c r="BC530" s="65" t="n"/>
      <c r="BD530" s="65" t="n"/>
      <c r="BE530" s="65" t="n"/>
      <c r="BF530" s="65" t="n"/>
      <c r="BG530" s="65" t="n"/>
    </row>
    <row r="531">
      <c r="B531" s="1" t="inlineStr">
        <is>
          <t>佐藤 広顕邸</t>
        </is>
      </c>
      <c r="D531" s="1" t="inlineStr">
        <is>
          <t>リビング改修</t>
        </is>
      </c>
      <c r="E531" s="2" t="inlineStr">
        <is>
          <t>12月</t>
        </is>
      </c>
      <c r="F531" s="68" t="n"/>
      <c r="G531" s="68">
        <f>IF(B531="","",F531-I531 )</f>
        <v/>
      </c>
      <c r="H531" s="5">
        <f>IF(OR(G531="",F531=0),"",G531/F531)</f>
        <v/>
      </c>
      <c r="I531" s="62">
        <f>SUM(テーブル9[[#This Row],[五大]:[工場材]])</f>
        <v/>
      </c>
      <c r="J531" s="65" t="n"/>
      <c r="K531" s="65" t="n"/>
      <c r="L531" s="65" t="n"/>
      <c r="M531" s="65" t="n"/>
      <c r="N531" s="65" t="n"/>
      <c r="O531" s="65" t="n"/>
      <c r="P531" s="65" t="n"/>
      <c r="Q531" s="65" t="n"/>
      <c r="R531" s="65" t="n"/>
      <c r="S531" s="65" t="n"/>
      <c r="T531" s="65" t="n"/>
      <c r="U531" s="65" t="n"/>
      <c r="V531" s="65" t="n"/>
      <c r="W531" s="69" t="n">
        <v>500000</v>
      </c>
      <c r="X531" s="66" t="n">
        <v>155632</v>
      </c>
      <c r="Y531" s="65" t="n"/>
      <c r="Z531" s="65" t="n"/>
      <c r="AA531" s="65" t="n"/>
      <c r="AB531" s="65" t="n"/>
      <c r="AC531" s="65" t="n"/>
      <c r="AD531" s="65" t="n"/>
      <c r="AE531" s="65" t="n"/>
      <c r="AF531" s="65" t="n"/>
      <c r="AG531" s="65" t="n"/>
      <c r="AH531" s="65" t="n"/>
      <c r="AI531" s="65" t="n"/>
      <c r="AJ531" s="65" t="n"/>
      <c r="AK531" s="65" t="n"/>
      <c r="AL531" s="65" t="n"/>
      <c r="AM531" s="65" t="n"/>
      <c r="AN531" s="65" t="n"/>
      <c r="AO531" s="65" t="n"/>
      <c r="AP531" s="65">
        <f>3807327+773116</f>
        <v/>
      </c>
      <c r="AQ531" s="65" t="n"/>
      <c r="AR531" s="65" t="n"/>
      <c r="AS531" s="65" t="n"/>
      <c r="AT531" s="65" t="n"/>
      <c r="AU531" s="65" t="n"/>
      <c r="AV531" s="65" t="n"/>
      <c r="AW531" s="65" t="n"/>
      <c r="AX531" s="65" t="n"/>
      <c r="AY531" s="65" t="n"/>
      <c r="AZ531" s="65" t="n"/>
      <c r="BA531" s="65" t="n"/>
      <c r="BB531" s="65" t="n"/>
      <c r="BC531" s="65" t="n"/>
      <c r="BD531" s="65" t="n"/>
      <c r="BE531" s="65" t="n"/>
      <c r="BF531" s="65" t="n"/>
      <c r="BG531" s="65" t="n"/>
    </row>
    <row r="532">
      <c r="F532" s="68" t="n"/>
      <c r="G532" s="68">
        <f>IF(B532="","",F532-I532 )</f>
        <v/>
      </c>
      <c r="H532" s="5">
        <f>IF(G532="","",G532/F532)</f>
        <v/>
      </c>
      <c r="I532" s="62">
        <f>SUM(テーブル9[[#This Row],[五大]:[工場材]])</f>
        <v/>
      </c>
      <c r="J532" s="65" t="n"/>
      <c r="K532" s="65" t="n"/>
      <c r="L532" s="65" t="n"/>
      <c r="M532" s="65" t="n"/>
      <c r="N532" s="65" t="n"/>
      <c r="O532" s="65" t="n"/>
      <c r="P532" s="65" t="n"/>
      <c r="Q532" s="65" t="n"/>
      <c r="R532" s="65" t="n"/>
      <c r="S532" s="65" t="n"/>
      <c r="T532" s="65" t="n"/>
      <c r="U532" s="65" t="n"/>
      <c r="V532" s="65" t="n"/>
      <c r="W532" s="65" t="n"/>
      <c r="X532" s="66" t="n"/>
      <c r="Y532" s="65" t="n"/>
      <c r="Z532" s="65" t="n"/>
      <c r="AA532" s="65" t="n"/>
      <c r="AB532" s="65" t="n"/>
      <c r="AC532" s="65" t="n"/>
      <c r="AD532" s="65" t="n"/>
      <c r="AE532" s="65" t="n"/>
      <c r="AF532" s="65" t="n"/>
      <c r="AG532" s="65" t="n"/>
      <c r="AH532" s="65" t="n"/>
      <c r="AI532" s="65" t="n"/>
      <c r="AJ532" s="65" t="n"/>
      <c r="AK532" s="65" t="n"/>
      <c r="AL532" s="65" t="n"/>
      <c r="AM532" s="65" t="n"/>
      <c r="AN532" s="65" t="n"/>
      <c r="AO532" s="65" t="n"/>
      <c r="AP532" s="65" t="n"/>
      <c r="AQ532" s="65" t="n"/>
      <c r="AR532" s="65" t="n"/>
      <c r="AS532" s="65" t="n"/>
      <c r="AT532" s="65" t="n"/>
      <c r="AU532" s="65" t="n"/>
      <c r="AV532" s="65" t="n"/>
      <c r="AW532" s="65" t="n"/>
      <c r="AX532" s="65" t="n"/>
      <c r="AY532" s="65" t="n"/>
      <c r="AZ532" s="65" t="n"/>
      <c r="BA532" s="65" t="n"/>
      <c r="BB532" s="65" t="n"/>
      <c r="BC532" s="65" t="n"/>
      <c r="BD532" s="65" t="n"/>
      <c r="BE532" s="65" t="n"/>
      <c r="BF532" s="65" t="n"/>
      <c r="BG532" s="65" t="n"/>
    </row>
    <row r="533">
      <c r="B533" s="1" t="inlineStr">
        <is>
          <t>シャーメゾンリジェ201</t>
        </is>
      </c>
      <c r="C533" s="1" t="inlineStr">
        <is>
          <t>積水ハウス建設</t>
        </is>
      </c>
      <c r="D533" s="1" t="inlineStr">
        <is>
          <t>バルコニー交換</t>
        </is>
      </c>
      <c r="E533" s="2" t="inlineStr">
        <is>
          <t>2月</t>
        </is>
      </c>
      <c r="F533" s="78" t="n">
        <v>797000</v>
      </c>
      <c r="G533" s="68">
        <f>IF(B533="","",F533-I533 )</f>
        <v/>
      </c>
      <c r="H533" s="5">
        <f>IF(G533="","",G533/F533)</f>
        <v/>
      </c>
      <c r="I533" s="62">
        <f>SUM(テーブル9[[#This Row],[五大]:[工場材]])</f>
        <v/>
      </c>
      <c r="J533" s="69" t="n">
        <v>140000</v>
      </c>
      <c r="K533" s="65" t="n"/>
      <c r="L533" s="65" t="n"/>
      <c r="M533" s="65" t="n"/>
      <c r="N533" s="65" t="n"/>
      <c r="O533" s="65" t="n"/>
      <c r="P533" s="65" t="n"/>
      <c r="Q533" s="65" t="n"/>
      <c r="R533" s="69" t="n">
        <v>10000</v>
      </c>
      <c r="S533" s="65" t="n"/>
      <c r="T533" s="65" t="n"/>
      <c r="U533" s="65" t="n"/>
      <c r="V533" s="65" t="n"/>
      <c r="W533" s="69" t="n">
        <v>35000</v>
      </c>
      <c r="X533" s="66" t="n">
        <v>3772</v>
      </c>
      <c r="Y533" s="65" t="n"/>
      <c r="Z533" s="69" t="n">
        <v>291000</v>
      </c>
      <c r="AA533" s="69" t="n">
        <v>38000</v>
      </c>
      <c r="AB533" s="65" t="n"/>
      <c r="AC533" s="65" t="n"/>
      <c r="AD533" s="65" t="n"/>
      <c r="AE533" s="65" t="n"/>
      <c r="AF533" s="65" t="n"/>
      <c r="AG533" s="65" t="n"/>
      <c r="AH533" s="69" t="n">
        <v>10000</v>
      </c>
      <c r="AI533" s="65" t="n"/>
      <c r="AJ533" s="65" t="n"/>
      <c r="AK533" s="65" t="n"/>
      <c r="AL533" s="65" t="n"/>
      <c r="AM533" s="65" t="n"/>
      <c r="AN533" s="65" t="n"/>
      <c r="AO533" s="65" t="n"/>
      <c r="AP533" s="65" t="n"/>
      <c r="AQ533" s="65" t="n"/>
      <c r="AR533" s="69" t="n"/>
      <c r="AS533" s="65" t="n"/>
      <c r="AT533" s="65" t="n"/>
      <c r="AU533" s="65" t="n"/>
      <c r="AV533" s="65" t="n"/>
      <c r="AW533" s="65" t="n"/>
      <c r="AX533" s="65" t="n"/>
      <c r="AY533" s="65" t="n"/>
      <c r="AZ533" s="65" t="n"/>
      <c r="BA533" s="65" t="n"/>
      <c r="BB533" s="65" t="n"/>
      <c r="BC533" s="65" t="n"/>
      <c r="BD533" s="65" t="n"/>
      <c r="BE533" s="65" t="n"/>
      <c r="BF533" s="65" t="n"/>
      <c r="BG533" s="65" t="n"/>
    </row>
    <row r="534">
      <c r="B534" s="1" t="inlineStr">
        <is>
          <t>グランコート若林　401</t>
        </is>
      </c>
      <c r="C534" s="1" t="inlineStr">
        <is>
          <t>サステム</t>
        </is>
      </c>
      <c r="D534" s="1" t="inlineStr">
        <is>
          <t>リノベ―ション工事</t>
        </is>
      </c>
      <c r="E534" s="2" t="inlineStr">
        <is>
          <t>2月</t>
        </is>
      </c>
      <c r="F534" s="78" t="n">
        <v>4348000</v>
      </c>
      <c r="G534" s="68">
        <f>IF(B534="","",F534-I534 )</f>
        <v/>
      </c>
      <c r="H534" s="5">
        <f>IF(G534="","",G534/F534)</f>
        <v/>
      </c>
      <c r="I534" s="62">
        <f>SUM(テーブル9[[#This Row],[五大]:[工場材]])</f>
        <v/>
      </c>
      <c r="J534" s="65" t="n"/>
      <c r="K534" s="65" t="n"/>
      <c r="L534" s="65" t="n"/>
      <c r="M534" s="65" t="n"/>
      <c r="N534" s="65" t="n"/>
      <c r="O534" s="65" t="n"/>
      <c r="P534" s="65" t="n"/>
      <c r="Q534" s="65" t="n"/>
      <c r="R534" s="65" t="n"/>
      <c r="S534" s="65" t="n"/>
      <c r="T534" s="65" t="n"/>
      <c r="U534" s="65" t="n"/>
      <c r="V534" s="65" t="n"/>
      <c r="W534" s="69">
        <f>1000000+15000+120000</f>
        <v/>
      </c>
      <c r="X534" s="66">
        <f>297313+7678+5412</f>
        <v/>
      </c>
      <c r="Y534" s="65" t="n"/>
      <c r="Z534" s="65" t="n"/>
      <c r="AA534" s="69" t="n">
        <v>260000</v>
      </c>
      <c r="AB534" s="69">
        <f>261000</f>
        <v/>
      </c>
      <c r="AC534" s="65" t="n"/>
      <c r="AD534" s="65" t="n"/>
      <c r="AE534" s="65" t="n"/>
      <c r="AF534" s="65" t="n"/>
      <c r="AG534" s="65" t="n"/>
      <c r="AH534" s="64">
        <f>253600</f>
        <v/>
      </c>
      <c r="AI534" s="65" t="n"/>
      <c r="AJ534" s="65" t="n">
        <v>50000</v>
      </c>
      <c r="AK534" s="65" t="n"/>
      <c r="AL534" s="65" t="n"/>
      <c r="AM534" s="65" t="n"/>
      <c r="AN534" s="65" t="n"/>
      <c r="AO534" s="65" t="n"/>
      <c r="AP534" s="65" t="n"/>
      <c r="AQ534" s="65" t="n"/>
      <c r="AR534" s="69" t="n">
        <v>8000</v>
      </c>
      <c r="AS534" s="65" t="n"/>
      <c r="AT534" s="65" t="n"/>
      <c r="AU534" s="65" t="n"/>
      <c r="AV534" s="65" t="n"/>
      <c r="AW534" s="69">
        <f>250000+60000+80000</f>
        <v/>
      </c>
      <c r="AX534" s="65" t="n"/>
      <c r="AY534" s="65" t="n"/>
      <c r="AZ534" s="65">
        <f>18000*4</f>
        <v/>
      </c>
      <c r="BA534" s="65" t="n"/>
      <c r="BB534" s="65" t="n"/>
      <c r="BC534" s="65" t="n"/>
      <c r="BD534" s="65" t="n"/>
      <c r="BE534" s="65" t="n"/>
      <c r="BF534" s="65" t="n"/>
      <c r="BG534" s="65">
        <f>20031+17827+22615+24360+24260+12038</f>
        <v/>
      </c>
    </row>
    <row r="535">
      <c r="B535" s="1" t="inlineStr">
        <is>
          <t>グランコート若林　401</t>
        </is>
      </c>
      <c r="C535" s="1" t="inlineStr">
        <is>
          <t>サステム</t>
        </is>
      </c>
      <c r="D535" s="1" t="inlineStr">
        <is>
          <t>漏水復旧工事</t>
        </is>
      </c>
      <c r="E535" s="2" t="inlineStr">
        <is>
          <t>2月</t>
        </is>
      </c>
      <c r="F535" s="78" t="n">
        <v>274000</v>
      </c>
      <c r="G535" s="68">
        <f>IF(B535="","",F535-I535 )</f>
        <v/>
      </c>
      <c r="H535" s="5">
        <f>IF(G535="","",G535/F535)</f>
        <v/>
      </c>
      <c r="I535" s="62">
        <f>SUM(テーブル9[[#This Row],[五大]:[工場材]])</f>
        <v/>
      </c>
      <c r="J535" s="65" t="n"/>
      <c r="K535" s="65" t="n"/>
      <c r="L535" s="65" t="n"/>
      <c r="M535" s="65" t="n"/>
      <c r="N535" s="65" t="n"/>
      <c r="O535" s="65" t="n"/>
      <c r="P535" s="65" t="n"/>
      <c r="Q535" s="65" t="n"/>
      <c r="R535" s="65" t="n"/>
      <c r="S535" s="65" t="n"/>
      <c r="T535" s="65" t="n"/>
      <c r="U535" s="65" t="n"/>
      <c r="V535" s="65" t="n"/>
      <c r="W535" s="69" t="n">
        <v>60000</v>
      </c>
      <c r="X535" s="66" t="n"/>
      <c r="Y535" s="65" t="n"/>
      <c r="Z535" s="65" t="n"/>
      <c r="AA535" s="65" t="n"/>
      <c r="AB535" s="69" t="n">
        <v>36000</v>
      </c>
      <c r="AC535" s="65" t="n"/>
      <c r="AD535" s="65" t="n"/>
      <c r="AE535" s="65" t="n"/>
      <c r="AF535" s="65" t="n"/>
      <c r="AG535" s="65" t="n"/>
      <c r="AH535" s="69" t="n">
        <v>8000</v>
      </c>
      <c r="AI535" s="65" t="n"/>
      <c r="AJ535" s="65" t="n"/>
      <c r="AK535" s="65" t="n"/>
      <c r="AL535" s="65" t="n"/>
      <c r="AM535" s="65" t="n"/>
      <c r="AN535" s="65" t="n"/>
      <c r="AO535" s="65" t="n"/>
      <c r="AP535" s="65" t="n"/>
      <c r="AQ535" s="65" t="n"/>
      <c r="AR535" s="65" t="n"/>
      <c r="AS535" s="65" t="n"/>
      <c r="AT535" s="65" t="n"/>
      <c r="AU535" s="65" t="n"/>
      <c r="AV535" s="65" t="n"/>
      <c r="AW535" s="65" t="n"/>
      <c r="AX535" s="65" t="n"/>
      <c r="AY535" s="65" t="n"/>
      <c r="AZ535" s="65" t="n"/>
      <c r="BA535" s="65" t="n"/>
      <c r="BB535" s="65" t="n"/>
      <c r="BC535" s="65" t="n"/>
      <c r="BD535" s="65" t="n"/>
      <c r="BE535" s="65" t="n"/>
      <c r="BF535" s="65" t="n"/>
      <c r="BG535" s="65" t="n"/>
    </row>
    <row r="536">
      <c r="B536" s="1" t="inlineStr">
        <is>
          <t>吉成　アパート（平様）</t>
        </is>
      </c>
      <c r="C536" s="1" t="inlineStr">
        <is>
          <t>積水ハウス建設</t>
        </is>
      </c>
      <c r="D536" s="1" t="inlineStr">
        <is>
          <t>退去工事</t>
        </is>
      </c>
      <c r="E536" s="2" t="inlineStr">
        <is>
          <t>2月</t>
        </is>
      </c>
      <c r="F536" s="78" t="n">
        <v>167000</v>
      </c>
      <c r="G536" s="68">
        <f>IF(B536="","",F536-I536 )</f>
        <v/>
      </c>
      <c r="H536" s="5">
        <f>IF(G536="","",G536/F536)</f>
        <v/>
      </c>
      <c r="I536" s="62">
        <f>SUM(テーブル9[[#This Row],[五大]:[工場材]])</f>
        <v/>
      </c>
      <c r="J536" s="65" t="n"/>
      <c r="K536" s="65" t="n"/>
      <c r="L536" s="65" t="n"/>
      <c r="M536" s="65" t="n"/>
      <c r="N536" s="65" t="n"/>
      <c r="O536" s="65" t="n"/>
      <c r="P536" s="65" t="n"/>
      <c r="Q536" s="65" t="n"/>
      <c r="R536" s="65" t="n"/>
      <c r="S536" s="65">
        <f>23500+6000</f>
        <v/>
      </c>
      <c r="T536" s="65" t="n"/>
      <c r="U536" s="65" t="n"/>
      <c r="V536" s="65" t="n"/>
      <c r="W536" s="65" t="n"/>
      <c r="X536" s="66" t="n"/>
      <c r="Y536" s="65" t="n"/>
      <c r="Z536" s="65" t="n"/>
      <c r="AA536" s="65" t="n"/>
      <c r="AB536" s="65" t="n"/>
      <c r="AC536" s="65" t="n"/>
      <c r="AD536" s="65" t="n"/>
      <c r="AE536" s="65" t="n"/>
      <c r="AF536" s="65" t="n"/>
      <c r="AG536" s="65" t="n"/>
      <c r="AH536" s="65" t="n"/>
      <c r="AI536" s="65" t="n"/>
      <c r="AJ536" s="65" t="n"/>
      <c r="AK536" s="65" t="n"/>
      <c r="AL536" s="65" t="n"/>
      <c r="AM536" s="65" t="n"/>
      <c r="AN536" s="65" t="n"/>
      <c r="AO536" s="65" t="n"/>
      <c r="AP536" s="65" t="n"/>
      <c r="AQ536" s="65" t="n"/>
      <c r="AR536" s="65" t="n"/>
      <c r="AS536" s="65" t="n"/>
      <c r="AT536" s="65" t="n"/>
      <c r="AU536" s="65" t="n"/>
      <c r="AV536" s="65" t="n"/>
      <c r="AW536" s="65" t="n"/>
      <c r="AX536" s="65" t="n"/>
      <c r="AY536" s="65" t="n"/>
      <c r="AZ536" s="65" t="n"/>
      <c r="BA536" s="65" t="n"/>
      <c r="BB536" s="65" t="n"/>
      <c r="BC536" s="65" t="n"/>
      <c r="BD536" s="65" t="n"/>
      <c r="BE536" s="65" t="n"/>
      <c r="BF536" s="65" t="n"/>
      <c r="BG536" s="64" t="n">
        <v>12000</v>
      </c>
    </row>
    <row r="537">
      <c r="F537" s="68" t="n"/>
      <c r="G537" s="68">
        <f>IF(B537="","",F537-I537 )</f>
        <v/>
      </c>
      <c r="H537" s="5">
        <f>IF(G537="","",G537/F537)</f>
        <v/>
      </c>
      <c r="I537" s="62">
        <f>SUM(テーブル9[[#This Row],[五大]:[工場材]])</f>
        <v/>
      </c>
      <c r="J537" s="65" t="n"/>
      <c r="K537" s="65" t="n"/>
      <c r="L537" s="65" t="n"/>
      <c r="M537" s="65" t="n"/>
      <c r="N537" s="65" t="n"/>
      <c r="O537" s="65" t="n"/>
      <c r="P537" s="65" t="n"/>
      <c r="Q537" s="65" t="n"/>
      <c r="R537" s="65" t="n"/>
      <c r="S537" s="65" t="n"/>
      <c r="T537" s="65" t="n"/>
      <c r="U537" s="65" t="n"/>
      <c r="V537" s="65" t="n"/>
      <c r="W537" s="65" t="n"/>
      <c r="X537" s="66" t="n"/>
      <c r="Y537" s="65" t="n"/>
      <c r="Z537" s="65" t="n"/>
      <c r="AA537" s="65" t="n"/>
      <c r="AB537" s="65" t="n"/>
      <c r="AC537" s="65" t="n"/>
      <c r="AD537" s="65" t="n"/>
      <c r="AE537" s="65" t="n"/>
      <c r="AF537" s="65" t="n"/>
      <c r="AG537" s="65" t="n"/>
      <c r="AH537" s="65" t="n"/>
      <c r="AI537" s="65" t="n"/>
      <c r="AJ537" s="65" t="n"/>
      <c r="AK537" s="65" t="n"/>
      <c r="AL537" s="65" t="n"/>
      <c r="AM537" s="65" t="n"/>
      <c r="AN537" s="65" t="n"/>
      <c r="AO537" s="65" t="n"/>
      <c r="AP537" s="65" t="n"/>
      <c r="AQ537" s="65" t="n"/>
      <c r="AR537" s="65" t="n"/>
      <c r="AS537" s="65" t="n"/>
      <c r="AT537" s="65" t="n"/>
      <c r="AU537" s="65" t="n"/>
      <c r="AV537" s="65" t="n"/>
      <c r="AW537" s="65" t="n"/>
      <c r="AX537" s="65" t="n"/>
      <c r="AY537" s="65" t="n"/>
      <c r="AZ537" s="65" t="n"/>
      <c r="BA537" s="65" t="n"/>
      <c r="BB537" s="65" t="n"/>
      <c r="BC537" s="65" t="n"/>
      <c r="BD537" s="65" t="n"/>
      <c r="BE537" s="65" t="n"/>
      <c r="BF537" s="65" t="n"/>
      <c r="BG537" s="65" t="n"/>
    </row>
    <row r="538">
      <c r="B538" s="1" t="inlineStr">
        <is>
          <t>しゃぼん柳生</t>
        </is>
      </c>
      <c r="C538" s="1" t="inlineStr">
        <is>
          <t>光和工業</t>
        </is>
      </c>
      <c r="D538" s="1" t="inlineStr">
        <is>
          <t>コインランドリー新築</t>
        </is>
      </c>
      <c r="E538" s="2" t="inlineStr">
        <is>
          <t>2月</t>
        </is>
      </c>
      <c r="F538" s="68" t="n"/>
      <c r="G538" s="68">
        <f>IF(B538="","",F538-I538 )</f>
        <v/>
      </c>
      <c r="H538" s="5">
        <f>IF(OR(G538="",F538=0),"",G538/F538)</f>
        <v/>
      </c>
      <c r="I538" s="62">
        <f>SUM(テーブル9[[#This Row],[五大]:[工場材]])</f>
        <v/>
      </c>
      <c r="J538" s="65" t="n"/>
      <c r="K538" s="65" t="n"/>
      <c r="L538" s="65" t="n"/>
      <c r="M538" s="65" t="n"/>
      <c r="N538" s="65" t="n"/>
      <c r="O538" s="65" t="n"/>
      <c r="P538" s="65" t="n"/>
      <c r="Q538" s="65" t="n"/>
      <c r="R538" s="65" t="n"/>
      <c r="S538" s="65" t="n"/>
      <c r="T538" s="65" t="n"/>
      <c r="U538" s="65" t="n"/>
      <c r="V538" s="65" t="n"/>
      <c r="W538" s="65" t="n"/>
      <c r="X538" s="66" t="n">
        <v>82544</v>
      </c>
      <c r="Y538" s="65" t="n"/>
      <c r="Z538" s="65" t="n"/>
      <c r="AA538" s="69">
        <f>155500+298000+887000</f>
        <v/>
      </c>
      <c r="AB538" s="69" t="n">
        <v>1036000</v>
      </c>
      <c r="AC538" s="65" t="n"/>
      <c r="AD538" s="65" t="n"/>
      <c r="AE538" s="69">
        <f>1627700+14800+35000</f>
        <v/>
      </c>
      <c r="AF538" s="65" t="n"/>
      <c r="AG538" s="65" t="n"/>
      <c r="AH538" s="69" t="n">
        <v>368250</v>
      </c>
      <c r="AI538" s="65" t="n"/>
      <c r="AJ538" s="65" t="n"/>
      <c r="AK538" s="65" t="n"/>
      <c r="AL538" s="65" t="n"/>
      <c r="AM538" s="65" t="n"/>
      <c r="AN538" s="65" t="n"/>
      <c r="AO538" s="65" t="n"/>
      <c r="AP538" s="65" t="n"/>
      <c r="AQ538" s="65" t="n"/>
      <c r="AR538" s="65" t="n"/>
      <c r="AS538" s="65" t="n"/>
      <c r="AT538" s="65" t="n"/>
      <c r="AU538" s="65" t="n"/>
      <c r="AV538" s="65" t="n"/>
      <c r="AW538" s="65" t="n"/>
      <c r="AX538" s="65" t="n"/>
      <c r="AY538" s="65" t="n"/>
      <c r="AZ538" s="65" t="n"/>
      <c r="BA538" s="65" t="n"/>
      <c r="BB538" s="65" t="n"/>
      <c r="BC538" s="65" t="n"/>
      <c r="BD538" s="65" t="n"/>
      <c r="BE538" s="64" t="n">
        <v>200000</v>
      </c>
      <c r="BF538" s="65" t="n"/>
      <c r="BG538" s="64" t="n">
        <v>1900000</v>
      </c>
    </row>
    <row r="539">
      <c r="B539" s="1" t="inlineStr">
        <is>
          <t>八木山 大津邸</t>
        </is>
      </c>
      <c r="C539" s="1" t="inlineStr">
        <is>
          <t>仙台CC</t>
        </is>
      </c>
      <c r="D539" s="1" t="inlineStr">
        <is>
          <t>玄関タイル補修</t>
        </is>
      </c>
      <c r="E539" s="2" t="inlineStr">
        <is>
          <t>2月</t>
        </is>
      </c>
      <c r="F539" s="78" t="n">
        <v>64000</v>
      </c>
      <c r="G539" s="68">
        <f>IF(B539="","",F539-I539 )</f>
        <v/>
      </c>
      <c r="H539" s="5">
        <f>IF(G539="","",G539/F539)</f>
        <v/>
      </c>
      <c r="I539" s="62">
        <f>SUM(テーブル9[[#This Row],[五大]:[工場材]])</f>
        <v/>
      </c>
      <c r="J539" s="65" t="n"/>
      <c r="K539" s="65" t="n"/>
      <c r="L539" s="65" t="n"/>
      <c r="M539" s="65" t="n"/>
      <c r="N539" s="65" t="n"/>
      <c r="O539" s="65" t="n"/>
      <c r="P539" s="65" t="n"/>
      <c r="Q539" s="65" t="n"/>
      <c r="R539" s="65" t="n"/>
      <c r="S539" s="65" t="n"/>
      <c r="T539" s="65" t="n"/>
      <c r="U539" s="65" t="n"/>
      <c r="V539" s="65" t="n"/>
      <c r="W539" s="65" t="n"/>
      <c r="X539" s="66" t="n"/>
      <c r="Y539" s="65" t="n"/>
      <c r="Z539" s="65" t="n"/>
      <c r="AA539" s="65" t="n"/>
      <c r="AB539" s="65" t="n"/>
      <c r="AC539" s="65" t="n"/>
      <c r="AD539" s="65" t="n"/>
      <c r="AE539" s="65" t="n">
        <v>50000</v>
      </c>
      <c r="AF539" s="65" t="n"/>
      <c r="AG539" s="65" t="n"/>
      <c r="AH539" s="65" t="n"/>
      <c r="AI539" s="65" t="n"/>
      <c r="AJ539" s="65" t="n"/>
      <c r="AK539" s="65" t="n"/>
      <c r="AL539" s="65" t="n"/>
      <c r="AM539" s="65" t="n"/>
      <c r="AN539" s="65" t="n"/>
      <c r="AO539" s="65" t="n"/>
      <c r="AP539" s="65" t="n"/>
      <c r="AQ539" s="65" t="n"/>
      <c r="AR539" s="65" t="n"/>
      <c r="AS539" s="65" t="n"/>
      <c r="AT539" s="65" t="n"/>
      <c r="AU539" s="65" t="n"/>
      <c r="AV539" s="65" t="n"/>
      <c r="AW539" s="65" t="n"/>
      <c r="AX539" s="65" t="n"/>
      <c r="AY539" s="65" t="n"/>
      <c r="AZ539" s="65" t="n"/>
      <c r="BA539" s="65" t="n"/>
      <c r="BB539" s="65" t="n"/>
      <c r="BC539" s="65" t="n"/>
      <c r="BD539" s="65" t="n"/>
      <c r="BE539" s="65" t="n"/>
      <c r="BF539" s="65" t="n"/>
      <c r="BG539" s="65" t="n"/>
    </row>
    <row r="540">
      <c r="B540" s="1" t="inlineStr">
        <is>
          <t>菊池邸（グランドメゾン）</t>
        </is>
      </c>
      <c r="C540" s="1" t="inlineStr">
        <is>
          <t>積水ハウス建設</t>
        </is>
      </c>
      <c r="D540" s="1" t="inlineStr">
        <is>
          <t>可動棚設置</t>
        </is>
      </c>
      <c r="E540" s="2" t="inlineStr">
        <is>
          <t>2月</t>
        </is>
      </c>
      <c r="F540" s="79" t="n">
        <v>88000</v>
      </c>
      <c r="G540" s="68">
        <f>IF(B540="","",F540-I540 )</f>
        <v/>
      </c>
      <c r="H540" s="5">
        <f>IF(G540="","",G540/F540)</f>
        <v/>
      </c>
      <c r="I540" s="62">
        <f>SUM(テーブル9[[#This Row],[五大]:[工場材]])</f>
        <v/>
      </c>
      <c r="J540" s="65" t="n"/>
      <c r="K540" s="65" t="n"/>
      <c r="L540" s="65" t="n"/>
      <c r="M540" s="65" t="n"/>
      <c r="N540" s="65" t="n"/>
      <c r="O540" s="65" t="n"/>
      <c r="P540" s="65" t="n"/>
      <c r="Q540" s="65" t="n"/>
      <c r="R540" s="65" t="n"/>
      <c r="S540" s="65" t="n"/>
      <c r="T540" s="65" t="n"/>
      <c r="U540" s="65" t="n"/>
      <c r="V540" s="65" t="n"/>
      <c r="W540" s="65" t="n"/>
      <c r="X540" s="66" t="n"/>
      <c r="Y540" s="65" t="n"/>
      <c r="Z540" s="65" t="n"/>
      <c r="AA540" s="65" t="n"/>
      <c r="AB540" s="65" t="n"/>
      <c r="AC540" s="65" t="n"/>
      <c r="AD540" s="65" t="n"/>
      <c r="AE540" s="65" t="n"/>
      <c r="AF540" s="65" t="n"/>
      <c r="AG540" s="65" t="n"/>
      <c r="AH540" s="65" t="n"/>
      <c r="AI540" s="65" t="n"/>
      <c r="AJ540" s="65" t="n"/>
      <c r="AK540" s="65" t="n"/>
      <c r="AL540" s="65" t="n"/>
      <c r="AM540" s="65" t="n"/>
      <c r="AN540" s="65" t="n"/>
      <c r="AO540" s="65" t="n"/>
      <c r="AP540" s="65" t="n"/>
      <c r="AQ540" s="65" t="n"/>
      <c r="AR540" s="65" t="n"/>
      <c r="AS540" s="65" t="n"/>
      <c r="AT540" s="65" t="n"/>
      <c r="AU540" s="65" t="n"/>
      <c r="AV540" s="65" t="n"/>
      <c r="AW540" s="65" t="n"/>
      <c r="AX540" s="65" t="n"/>
      <c r="AY540" s="65" t="n"/>
      <c r="AZ540" s="65" t="n"/>
      <c r="BA540" s="65" t="n"/>
      <c r="BB540" s="65" t="n"/>
      <c r="BC540" s="65" t="n"/>
      <c r="BD540" s="65" t="n"/>
      <c r="BE540" s="65" t="n"/>
      <c r="BF540" s="65" t="n"/>
      <c r="BG540" s="65" t="n"/>
    </row>
    <row r="541">
      <c r="B541" s="1" t="inlineStr">
        <is>
          <t>ハイツAB3部屋</t>
        </is>
      </c>
      <c r="C541" s="1" t="inlineStr">
        <is>
          <t>光和工業</t>
        </is>
      </c>
      <c r="D541" s="1" t="inlineStr">
        <is>
          <t>B108.110.111　基本</t>
        </is>
      </c>
      <c r="E541" s="2" t="inlineStr">
        <is>
          <t>3月</t>
        </is>
      </c>
      <c r="F541" s="68">
        <f>650000*3</f>
        <v/>
      </c>
      <c r="G541" s="68">
        <f>IF(B541="","",F541-I541 )</f>
        <v/>
      </c>
      <c r="H541" s="5">
        <f>IF(G541="","",G541/F541)</f>
        <v/>
      </c>
      <c r="I541" s="62">
        <f>SUM(テーブル9[[#This Row],[五大]:[工場材]])</f>
        <v/>
      </c>
      <c r="J541" s="65" t="n"/>
      <c r="K541" s="65" t="n"/>
      <c r="L541" s="65" t="n"/>
      <c r="M541" s="65" t="n"/>
      <c r="N541" s="65" t="n"/>
      <c r="O541" s="65" t="n"/>
      <c r="P541" s="65" t="n"/>
      <c r="Q541" s="65" t="n"/>
      <c r="R541" s="65" t="n"/>
      <c r="S541" s="65" t="n"/>
      <c r="T541" s="65" t="n"/>
      <c r="U541" s="65" t="n"/>
      <c r="V541" s="65" t="n"/>
      <c r="W541" s="65" t="n"/>
      <c r="X541" s="66" t="n"/>
      <c r="Y541" s="65" t="n"/>
      <c r="Z541" s="65" t="n"/>
      <c r="AA541" s="65" t="n"/>
      <c r="AB541" s="69" t="n">
        <v>7000</v>
      </c>
      <c r="AC541" s="65" t="n"/>
      <c r="AD541" s="65" t="n"/>
      <c r="AE541" s="69" t="n">
        <v>283680</v>
      </c>
      <c r="AF541" s="65" t="n"/>
      <c r="AG541" s="65" t="n"/>
      <c r="AH541" s="69" t="n">
        <v>425990</v>
      </c>
      <c r="AI541" s="65" t="n"/>
      <c r="AJ541" s="65" t="n"/>
      <c r="AK541" s="65" t="n"/>
      <c r="AL541" s="65" t="n"/>
      <c r="AM541" s="65" t="n"/>
      <c r="AN541" s="65" t="n"/>
      <c r="AO541" s="65" t="n"/>
      <c r="AP541" s="65">
        <f>345649-126000+9800</f>
        <v/>
      </c>
      <c r="AQ541" s="65" t="n"/>
      <c r="AR541" s="65" t="n"/>
      <c r="AS541" s="65" t="n"/>
      <c r="AT541" s="65" t="n"/>
      <c r="AU541" s="65" t="n"/>
      <c r="AV541" s="65" t="n"/>
      <c r="AW541" s="65" t="n"/>
      <c r="AX541" s="65" t="n"/>
      <c r="AY541" s="65" t="n"/>
      <c r="AZ541" s="65" t="n"/>
      <c r="BA541" s="65" t="n"/>
      <c r="BB541" s="65" t="n"/>
      <c r="BC541" s="65" t="n"/>
      <c r="BD541" s="65" t="n"/>
      <c r="BE541" s="65" t="n"/>
      <c r="BF541" s="65" t="n"/>
      <c r="BG541" s="65" t="n"/>
    </row>
    <row r="542">
      <c r="B542" s="1" t="inlineStr">
        <is>
          <t>ハイツAB3部屋</t>
        </is>
      </c>
      <c r="C542" s="1" t="inlineStr">
        <is>
          <t>光和工業</t>
        </is>
      </c>
      <c r="D542" s="1" t="inlineStr">
        <is>
          <t>B108.110.111　改修</t>
        </is>
      </c>
      <c r="E542" s="2" t="inlineStr">
        <is>
          <t>3月</t>
        </is>
      </c>
      <c r="F542" s="68" t="n">
        <v>125000</v>
      </c>
      <c r="G542" s="68">
        <f>IF(B542="","",F542-I542 )</f>
        <v/>
      </c>
      <c r="H542" s="5">
        <f>IF(G542="","",G542/F542)</f>
        <v/>
      </c>
      <c r="I542" s="62">
        <f>SUM(テーブル9[[#This Row],[五大]:[工場材]])</f>
        <v/>
      </c>
      <c r="J542" s="65" t="n"/>
      <c r="K542" s="65" t="n"/>
      <c r="L542" s="65" t="n"/>
      <c r="M542" s="65" t="n"/>
      <c r="N542" s="65" t="n"/>
      <c r="O542" s="65" t="n"/>
      <c r="P542" s="65" t="n"/>
      <c r="Q542" s="65" t="n"/>
      <c r="R542" s="65" t="n"/>
      <c r="S542" s="65" t="n"/>
      <c r="T542" s="65" t="n"/>
      <c r="U542" s="65" t="n"/>
      <c r="V542" s="65" t="n"/>
      <c r="W542" s="65" t="n"/>
      <c r="X542" s="66" t="n"/>
      <c r="Y542" s="65" t="n"/>
      <c r="Z542" s="65" t="n"/>
      <c r="AA542" s="65" t="n"/>
      <c r="AB542" s="65" t="n"/>
      <c r="AC542" s="65" t="n"/>
      <c r="AD542" s="65" t="n"/>
      <c r="AE542" s="69">
        <f>15000+8000</f>
        <v/>
      </c>
      <c r="AF542" s="65" t="n"/>
      <c r="AG542" s="65" t="n"/>
      <c r="AH542" s="65" t="n"/>
      <c r="AI542" s="65" t="n"/>
      <c r="AJ542" s="65" t="n"/>
      <c r="AK542" s="65" t="n"/>
      <c r="AL542" s="65" t="n"/>
      <c r="AM542" s="65" t="n"/>
      <c r="AN542" s="65" t="n"/>
      <c r="AO542" s="65" t="n"/>
      <c r="AP542" s="65" t="n"/>
      <c r="AQ542" s="65" t="n"/>
      <c r="AR542" s="65" t="n"/>
      <c r="AS542" s="65" t="n"/>
      <c r="AT542" s="65" t="n"/>
      <c r="AU542" s="65" t="n"/>
      <c r="AV542" s="65" t="n"/>
      <c r="AW542" s="65" t="n"/>
      <c r="AX542" s="65" t="n"/>
      <c r="AY542" s="65" t="n"/>
      <c r="AZ542" s="65" t="n"/>
      <c r="BA542" s="65" t="n"/>
      <c r="BB542" s="65" t="n"/>
      <c r="BC542" s="65" t="n"/>
      <c r="BD542" s="65" t="n"/>
      <c r="BE542" s="65" t="n"/>
      <c r="BF542" s="65" t="n"/>
      <c r="BG542" s="65" t="n"/>
    </row>
    <row r="543">
      <c r="B543" s="1" t="inlineStr">
        <is>
          <t>ハイツAB　14部屋　退去</t>
        </is>
      </c>
      <c r="C543" s="1" t="inlineStr">
        <is>
          <t>光和工業</t>
        </is>
      </c>
      <c r="E543" s="2" t="inlineStr">
        <is>
          <t>3月</t>
        </is>
      </c>
      <c r="F543" s="68">
        <f>580000+15000</f>
        <v/>
      </c>
      <c r="G543" s="68">
        <f>IF(B543="","",F543-I543 )</f>
        <v/>
      </c>
      <c r="H543" s="5">
        <f>IF(G543="","",G543/F543)</f>
        <v/>
      </c>
      <c r="I543" s="62">
        <f>SUM(テーブル9[[#This Row],[五大]:[工場材]])</f>
        <v/>
      </c>
      <c r="J543" s="65" t="n"/>
      <c r="K543" s="65" t="n"/>
      <c r="L543" s="65" t="n"/>
      <c r="M543" s="65" t="n"/>
      <c r="N543" s="65" t="n"/>
      <c r="O543" s="65" t="n"/>
      <c r="P543" s="65" t="n"/>
      <c r="Q543" s="65" t="n"/>
      <c r="R543" s="65" t="n"/>
      <c r="S543" s="65" t="n"/>
      <c r="T543" s="65" t="n"/>
      <c r="U543" s="65" t="n"/>
      <c r="V543" s="65" t="n"/>
      <c r="W543" s="69" t="n">
        <v>20000</v>
      </c>
      <c r="X543" s="66" t="n"/>
      <c r="Y543" s="65" t="n"/>
      <c r="Z543" s="65" t="n"/>
      <c r="AA543" s="65" t="n"/>
      <c r="AB543" s="69" t="n">
        <v>85000</v>
      </c>
      <c r="AC543" s="65" t="n"/>
      <c r="AD543" s="65" t="n"/>
      <c r="AE543" s="65" t="n"/>
      <c r="AF543" s="65" t="n"/>
      <c r="AG543" s="65" t="n"/>
      <c r="AH543" s="65" t="n"/>
      <c r="AI543" s="65" t="n"/>
      <c r="AJ543" s="65" t="n"/>
      <c r="AK543" s="65" t="n"/>
      <c r="AL543" s="65" t="n"/>
      <c r="AM543" s="65" t="n"/>
      <c r="AN543" s="65" t="n"/>
      <c r="AO543" s="65" t="n"/>
      <c r="AP543" s="65" t="n"/>
      <c r="AQ543" s="65" t="n"/>
      <c r="AR543" s="65" t="n"/>
      <c r="AS543" s="65" t="n"/>
      <c r="AT543" s="65" t="n"/>
      <c r="AU543" s="65" t="n"/>
      <c r="AV543" s="65" t="n"/>
      <c r="AW543" s="65" t="n"/>
      <c r="AX543" s="65" t="n"/>
      <c r="AY543" s="65" t="n"/>
      <c r="AZ543" s="65" t="n"/>
      <c r="BA543" s="65" t="n"/>
      <c r="BB543" s="65" t="n"/>
      <c r="BC543" s="65" t="n"/>
      <c r="BD543" s="65" t="n"/>
      <c r="BE543" s="65" t="n"/>
      <c r="BF543" s="65" t="n"/>
      <c r="BG543" s="65" t="n"/>
    </row>
    <row r="544">
      <c r="B544" s="1" t="inlineStr">
        <is>
          <t>サン工房</t>
        </is>
      </c>
      <c r="C544" s="1" t="inlineStr">
        <is>
          <t>光和工業</t>
        </is>
      </c>
      <c r="D544" s="1" t="inlineStr">
        <is>
          <t>工場解体</t>
        </is>
      </c>
      <c r="E544" s="2" t="inlineStr">
        <is>
          <t>3月</t>
        </is>
      </c>
      <c r="F544" s="68" t="n"/>
      <c r="G544" s="68">
        <f>IF(B544="","",F544-I544 )</f>
        <v/>
      </c>
      <c r="H544" s="5">
        <f>IF(OR(G544="",F544=0),"",G544/F544)</f>
        <v/>
      </c>
      <c r="I544" s="62">
        <f>SUM(テーブル9[[#This Row],[五大]:[工場材]])</f>
        <v/>
      </c>
      <c r="J544" s="65" t="n"/>
      <c r="K544" s="65" t="n"/>
      <c r="L544" s="65" t="n"/>
      <c r="M544" s="65" t="n"/>
      <c r="N544" s="65" t="n"/>
      <c r="O544" s="65" t="n"/>
      <c r="P544" s="65" t="n"/>
      <c r="Q544" s="65" t="n"/>
      <c r="R544" s="65" t="n"/>
      <c r="S544" s="65" t="n"/>
      <c r="T544" s="65" t="n"/>
      <c r="U544" s="65" t="n"/>
      <c r="V544" s="65" t="n"/>
      <c r="W544" s="65" t="n"/>
      <c r="X544" s="66" t="n"/>
      <c r="Y544" s="65" t="n"/>
      <c r="Z544" s="65" t="n"/>
      <c r="AA544" s="65" t="n"/>
      <c r="AB544" s="65" t="n"/>
      <c r="AC544" s="65" t="n"/>
      <c r="AD544" s="65" t="n"/>
      <c r="AE544" s="65" t="n"/>
      <c r="AF544" s="65" t="n"/>
      <c r="AG544" s="65" t="n"/>
      <c r="AH544" s="65" t="n"/>
      <c r="AI544" s="65" t="n"/>
      <c r="AJ544" s="65" t="n"/>
      <c r="AK544" s="65" t="n"/>
      <c r="AL544" s="65" t="n"/>
      <c r="AM544" s="65" t="n"/>
      <c r="AN544" s="65" t="n"/>
      <c r="AO544" s="65" t="n"/>
      <c r="AP544" s="65" t="n"/>
      <c r="AQ544" s="65" t="n"/>
      <c r="AR544" s="65" t="n"/>
      <c r="AS544" s="65" t="n"/>
      <c r="AT544" s="65" t="n"/>
      <c r="AU544" s="65" t="n"/>
      <c r="AV544" s="65" t="n"/>
      <c r="AW544" s="65" t="n"/>
      <c r="AX544" s="65" t="n"/>
      <c r="AY544" s="65" t="n"/>
      <c r="AZ544" s="65">
        <f>22000+6000</f>
        <v/>
      </c>
      <c r="BA544" s="65" t="n"/>
      <c r="BB544" s="65" t="n"/>
      <c r="BC544" s="65" t="n"/>
      <c r="BD544" s="65" t="n"/>
      <c r="BE544" s="65" t="n"/>
      <c r="BF544" s="65" t="n"/>
      <c r="BG544" s="65" t="n"/>
    </row>
    <row r="545">
      <c r="B545" s="1" t="inlineStr">
        <is>
          <t>ふれあい事務所</t>
        </is>
      </c>
      <c r="C545" s="1" t="inlineStr">
        <is>
          <t>光和工業</t>
        </is>
      </c>
      <c r="D545" s="1" t="inlineStr">
        <is>
          <t>床張り工事</t>
        </is>
      </c>
      <c r="E545" s="2" t="inlineStr">
        <is>
          <t>2月</t>
        </is>
      </c>
      <c r="F545" s="68" t="n">
        <v>218000</v>
      </c>
      <c r="G545" s="68">
        <f>IF(B545="","",F545-I545 )</f>
        <v/>
      </c>
      <c r="H545" s="5">
        <f>IF(G545="","",G545/F545)</f>
        <v/>
      </c>
      <c r="I545" s="62">
        <f>SUM(テーブル9[[#This Row],[五大]:[工場材]])</f>
        <v/>
      </c>
      <c r="J545" s="65" t="n"/>
      <c r="K545" s="65" t="n"/>
      <c r="L545" s="65" t="n"/>
      <c r="M545" s="65" t="n"/>
      <c r="N545" s="65" t="n"/>
      <c r="O545" s="65" t="n"/>
      <c r="P545" s="65" t="n"/>
      <c r="Q545" s="65" t="n"/>
      <c r="R545" s="65" t="n"/>
      <c r="S545" s="65" t="n"/>
      <c r="T545" s="65" t="n"/>
      <c r="U545" s="65" t="n"/>
      <c r="V545" s="65" t="n"/>
      <c r="W545" s="65" t="n"/>
      <c r="X545" s="66" t="n"/>
      <c r="Y545" s="65" t="n"/>
      <c r="Z545" s="65" t="n"/>
      <c r="AA545" s="65" t="n"/>
      <c r="AB545" s="65" t="n"/>
      <c r="AC545" s="65" t="n"/>
      <c r="AD545" s="65" t="n"/>
      <c r="AE545" s="65" t="n"/>
      <c r="AF545" s="65" t="n"/>
      <c r="AG545" s="65" t="n"/>
      <c r="AH545" s="69">
        <f>157000</f>
        <v/>
      </c>
      <c r="AI545" s="65" t="n"/>
      <c r="AJ545" s="65" t="n"/>
      <c r="AK545" s="65" t="n"/>
      <c r="AL545" s="65" t="n"/>
      <c r="AM545" s="65" t="n"/>
      <c r="AN545" s="65" t="n"/>
      <c r="AO545" s="65" t="n"/>
      <c r="AP545" s="65" t="n"/>
      <c r="AQ545" s="65" t="n"/>
      <c r="AR545" s="65" t="n"/>
      <c r="AS545" s="65" t="n"/>
      <c r="AT545" s="65" t="n"/>
      <c r="AU545" s="65" t="n"/>
      <c r="AV545" s="65" t="n"/>
      <c r="AW545" s="65" t="n"/>
      <c r="AX545" s="65" t="n"/>
      <c r="AY545" s="65" t="n"/>
      <c r="AZ545" s="65" t="n"/>
      <c r="BA545" s="65" t="n"/>
      <c r="BB545" s="65" t="n"/>
      <c r="BC545" s="65" t="n"/>
      <c r="BD545" s="65" t="n"/>
      <c r="BE545" s="65" t="n"/>
      <c r="BF545" s="65" t="n"/>
      <c r="BG545" s="65" t="n"/>
    </row>
    <row r="546">
      <c r="B546" s="1" t="inlineStr">
        <is>
          <t>成田邸　障子作成</t>
        </is>
      </c>
      <c r="C546" s="1" t="inlineStr">
        <is>
          <t>光和工業</t>
        </is>
      </c>
      <c r="E546" s="2" t="inlineStr">
        <is>
          <t>2月</t>
        </is>
      </c>
      <c r="F546" s="68" t="n">
        <v>112000</v>
      </c>
      <c r="G546" s="68">
        <f>IF(B546="","",F546-I546 )</f>
        <v/>
      </c>
      <c r="H546" s="5">
        <f>IF(G546="","",G546/F546)</f>
        <v/>
      </c>
      <c r="I546" s="62">
        <f>SUM(テーブル9[[#This Row],[五大]:[工場材]])</f>
        <v/>
      </c>
      <c r="J546" s="65" t="n"/>
      <c r="K546" s="65" t="n"/>
      <c r="L546" s="65" t="n"/>
      <c r="M546" s="65" t="n"/>
      <c r="N546" s="65" t="n"/>
      <c r="O546" s="65" t="n"/>
      <c r="P546" s="65" t="n"/>
      <c r="Q546" s="65" t="n"/>
      <c r="R546" s="65" t="n"/>
      <c r="S546" s="65" t="n"/>
      <c r="T546" s="65" t="n"/>
      <c r="U546" s="65" t="n"/>
      <c r="V546" s="65" t="n"/>
      <c r="W546" s="65" t="n"/>
      <c r="X546" s="66" t="n"/>
      <c r="Y546" s="69" t="n">
        <v>87000</v>
      </c>
      <c r="Z546" s="65" t="n"/>
      <c r="AA546" s="65" t="n"/>
      <c r="AB546" s="65" t="n"/>
      <c r="AC546" s="65" t="n"/>
      <c r="AD546" s="65" t="n"/>
      <c r="AE546" s="65" t="n"/>
      <c r="AF546" s="65" t="n"/>
      <c r="AG546" s="65" t="n"/>
      <c r="AH546" s="65" t="n"/>
      <c r="AI546" s="65" t="n"/>
      <c r="AJ546" s="65" t="n"/>
      <c r="AK546" s="65" t="n"/>
      <c r="AL546" s="65" t="n"/>
      <c r="AM546" s="65" t="n"/>
      <c r="AN546" s="65" t="n"/>
      <c r="AO546" s="65" t="n"/>
      <c r="AP546" s="65" t="n"/>
      <c r="AQ546" s="65" t="n"/>
      <c r="AR546" s="65" t="n"/>
      <c r="AS546" s="65" t="n"/>
      <c r="AT546" s="65" t="n"/>
      <c r="AU546" s="65" t="n"/>
      <c r="AV546" s="65" t="n"/>
      <c r="AW546" s="65" t="n"/>
      <c r="AX546" s="65" t="n"/>
      <c r="AY546" s="65" t="n"/>
      <c r="AZ546" s="65" t="n"/>
      <c r="BA546" s="65" t="n"/>
      <c r="BB546" s="65" t="n"/>
      <c r="BC546" s="65" t="n"/>
      <c r="BD546" s="65" t="n"/>
      <c r="BE546" s="65" t="n"/>
      <c r="BF546" s="65" t="n"/>
      <c r="BG546" s="65" t="n"/>
    </row>
    <row r="547">
      <c r="B547" s="1" t="inlineStr">
        <is>
          <t>六丁の目　小野邸　新築マンション</t>
        </is>
      </c>
      <c r="C547" s="1" t="inlineStr">
        <is>
          <t>LIXIL</t>
        </is>
      </c>
      <c r="D547" s="1" t="inlineStr">
        <is>
          <t>エコカラット・アクセントクロス</t>
        </is>
      </c>
      <c r="E547" s="2" t="inlineStr">
        <is>
          <t>2月</t>
        </is>
      </c>
      <c r="F547" s="68">
        <f>6000+62000+15400+56000+16000</f>
        <v/>
      </c>
      <c r="G547" s="68">
        <f>IF(B547="","",F547-I547 )</f>
        <v/>
      </c>
      <c r="H547" s="5">
        <f>IF(G547="","",G547/F547)</f>
        <v/>
      </c>
      <c r="I547" s="62">
        <f>SUM(テーブル9[[#This Row],[五大]:[工場材]])</f>
        <v/>
      </c>
      <c r="J547" s="65" t="n"/>
      <c r="K547" s="65" t="n"/>
      <c r="L547" s="65" t="n"/>
      <c r="M547" s="65" t="n"/>
      <c r="N547" s="65" t="n"/>
      <c r="O547" s="65" t="n"/>
      <c r="P547" s="65" t="n"/>
      <c r="Q547" s="65" t="n"/>
      <c r="R547" s="65" t="n"/>
      <c r="S547" s="65" t="n"/>
      <c r="T547" s="65" t="n"/>
      <c r="U547" s="65" t="n"/>
      <c r="V547" s="65" t="n"/>
      <c r="W547" s="69" t="n">
        <v>80000</v>
      </c>
      <c r="X547" s="66" t="n"/>
      <c r="Y547" s="65" t="n"/>
      <c r="Z547" s="65" t="n"/>
      <c r="AA547" s="65" t="n"/>
      <c r="AB547" s="65" t="n"/>
      <c r="AC547" s="65" t="n"/>
      <c r="AD547" s="65" t="n"/>
      <c r="AE547" s="65" t="n"/>
      <c r="AF547" s="65" t="n"/>
      <c r="AG547" s="65" t="n"/>
      <c r="AH547" s="65" t="n"/>
      <c r="AI547" s="65" t="n"/>
      <c r="AJ547" s="65" t="n"/>
      <c r="AK547" s="65" t="n"/>
      <c r="AL547" s="65" t="n"/>
      <c r="AM547" s="65" t="n"/>
      <c r="AN547" s="65" t="n"/>
      <c r="AO547" s="65" t="n"/>
      <c r="AP547" s="65" t="n"/>
      <c r="AQ547" s="65" t="n"/>
      <c r="AR547" s="65" t="n"/>
      <c r="AS547" s="65" t="n"/>
      <c r="AT547" s="65" t="n"/>
      <c r="AU547" s="65" t="n"/>
      <c r="AV547" s="65" t="n"/>
      <c r="AW547" s="65" t="n"/>
      <c r="AX547" s="65" t="n"/>
      <c r="AY547" s="65" t="n"/>
      <c r="AZ547" s="65" t="n"/>
      <c r="BA547" s="65" t="n"/>
      <c r="BB547" s="65" t="n"/>
      <c r="BC547" s="65" t="n"/>
      <c r="BD547" s="65" t="n"/>
      <c r="BE547" s="65" t="n"/>
      <c r="BF547" s="65" t="n"/>
      <c r="BG547" s="65" t="n"/>
    </row>
    <row r="548">
      <c r="B548" s="1" t="inlineStr">
        <is>
          <t>沖野 相原邸</t>
        </is>
      </c>
      <c r="C548" s="1" t="inlineStr">
        <is>
          <t>LIXIL</t>
        </is>
      </c>
      <c r="D548" s="1" t="inlineStr">
        <is>
          <t>化粧台取付け工事</t>
        </is>
      </c>
      <c r="E548" s="2" t="inlineStr">
        <is>
          <t>2月</t>
        </is>
      </c>
      <c r="F548" s="68">
        <f>8000+8000+8000+2000+5170+3000+23000</f>
        <v/>
      </c>
      <c r="G548" s="68">
        <f>IF(B548="","",F548-I548 )</f>
        <v/>
      </c>
      <c r="H548" s="5">
        <f>IF(G548="","",G548/F548)</f>
        <v/>
      </c>
      <c r="I548" s="62">
        <f>SUM(テーブル9[[#This Row],[五大]:[工場材]])</f>
        <v/>
      </c>
      <c r="J548" s="65" t="n"/>
      <c r="K548" s="65" t="n"/>
      <c r="L548" s="65" t="n"/>
      <c r="M548" s="65" t="n"/>
      <c r="N548" s="65" t="n"/>
      <c r="O548" s="65" t="n"/>
      <c r="P548" s="65" t="n"/>
      <c r="Q548" s="65" t="n"/>
      <c r="R548" s="65" t="n"/>
      <c r="S548" s="65" t="n"/>
      <c r="T548" s="65" t="n"/>
      <c r="U548" s="65" t="n"/>
      <c r="V548" s="65" t="n"/>
      <c r="W548" s="69" t="n">
        <v>12000</v>
      </c>
      <c r="X548" s="66" t="n"/>
      <c r="Y548" s="65" t="n"/>
      <c r="Z548" s="65" t="n"/>
      <c r="AA548" s="65" t="n"/>
      <c r="AB548" s="69" t="n">
        <v>40000</v>
      </c>
      <c r="AC548" s="65" t="n"/>
      <c r="AD548" s="65" t="n"/>
      <c r="AE548" s="65" t="n"/>
      <c r="AF548" s="65" t="n"/>
      <c r="AG548" s="65" t="n"/>
      <c r="AH548" s="65" t="n"/>
      <c r="AI548" s="65" t="n"/>
      <c r="AJ548" s="65" t="n"/>
      <c r="AK548" s="65" t="n"/>
      <c r="AL548" s="65" t="n"/>
      <c r="AM548" s="65" t="n"/>
      <c r="AN548" s="65" t="n"/>
      <c r="AO548" s="65" t="n"/>
      <c r="AP548" s="65" t="n"/>
      <c r="AQ548" s="65" t="n"/>
      <c r="AR548" s="65" t="n"/>
      <c r="AS548" s="65" t="n"/>
      <c r="AT548" s="65" t="n"/>
      <c r="AU548" s="65" t="n"/>
      <c r="AV548" s="65" t="n"/>
      <c r="AW548" s="65" t="n"/>
      <c r="AX548" s="65" t="n"/>
      <c r="AY548" s="65" t="n"/>
      <c r="AZ548" s="65" t="n"/>
      <c r="BA548" s="65" t="n"/>
      <c r="BB548" s="65" t="n"/>
      <c r="BC548" s="65" t="n"/>
      <c r="BD548" s="65" t="n"/>
      <c r="BE548" s="65" t="n"/>
      <c r="BF548" s="65" t="n"/>
      <c r="BG548" s="65" t="n"/>
    </row>
    <row r="549">
      <c r="B549" s="1" t="inlineStr">
        <is>
          <t>シティハウス長町南ステーションコート301</t>
        </is>
      </c>
      <c r="C549" s="1" t="inlineStr">
        <is>
          <t>LIXIL</t>
        </is>
      </c>
      <c r="D549" s="1" t="inlineStr">
        <is>
          <t>UB　化粧台　トイレ</t>
        </is>
      </c>
      <c r="E549" s="2" t="inlineStr">
        <is>
          <t>3月</t>
        </is>
      </c>
      <c r="F549" s="68" t="n">
        <v>630000</v>
      </c>
      <c r="G549" s="68">
        <f>IF(B549="","",F549-I549 )</f>
        <v/>
      </c>
      <c r="H549" s="5">
        <f>IF(G549="","",G549/F549)</f>
        <v/>
      </c>
      <c r="I549" s="62">
        <f>SUM(テーブル9[[#This Row],[五大]:[工場材]])</f>
        <v/>
      </c>
      <c r="J549" s="65" t="n"/>
      <c r="K549" s="65" t="n"/>
      <c r="L549" s="65" t="n"/>
      <c r="M549" s="65" t="n"/>
      <c r="N549" s="65" t="n"/>
      <c r="O549" s="65" t="n"/>
      <c r="P549" s="65" t="n"/>
      <c r="Q549" s="65" t="n"/>
      <c r="R549" s="65" t="n"/>
      <c r="S549" s="65" t="n"/>
      <c r="T549" s="65" t="n"/>
      <c r="U549" s="65" t="n"/>
      <c r="V549" s="65" t="n"/>
      <c r="W549" s="69" t="n">
        <v>130000</v>
      </c>
      <c r="X549" s="66" t="n">
        <v>13792</v>
      </c>
      <c r="Y549" s="65" t="n"/>
      <c r="Z549" s="65" t="n"/>
      <c r="AA549" s="69" t="n">
        <v>70000</v>
      </c>
      <c r="AB549" s="69" t="n">
        <v>255000</v>
      </c>
      <c r="AC549" s="65" t="n"/>
      <c r="AD549" s="65" t="n"/>
      <c r="AE549" s="65" t="n"/>
      <c r="AF549" s="65" t="n"/>
      <c r="AG549" s="65" t="n"/>
      <c r="AH549" s="69" t="n">
        <v>52500</v>
      </c>
      <c r="AI549" s="65" t="n"/>
      <c r="AJ549" s="65" t="n"/>
      <c r="AK549" s="65" t="n"/>
      <c r="AL549" s="65" t="n"/>
      <c r="AM549" s="65" t="n"/>
      <c r="AN549" s="65" t="n"/>
      <c r="AO549" s="65" t="n"/>
      <c r="AP549" s="65" t="n"/>
      <c r="AQ549" s="65" t="n"/>
      <c r="AR549" s="65" t="n"/>
      <c r="AS549" s="65" t="n"/>
      <c r="AT549" s="65" t="n"/>
      <c r="AU549" s="65" t="n"/>
      <c r="AV549" s="65" t="n"/>
      <c r="AW549" s="65" t="n"/>
      <c r="AX549" s="65" t="n"/>
      <c r="AY549" s="65" t="n"/>
      <c r="AZ549" s="65" t="n"/>
      <c r="BA549" s="65" t="n"/>
      <c r="BB549" s="65" t="n"/>
      <c r="BC549" s="65" t="n"/>
      <c r="BD549" s="65" t="n"/>
      <c r="BE549" s="65" t="n"/>
      <c r="BF549" s="65" t="n"/>
      <c r="BG549" s="65" t="n"/>
    </row>
    <row r="550">
      <c r="F550" s="68" t="n"/>
      <c r="G550" s="68">
        <f>IF(B550="","",F550-I550 )</f>
        <v/>
      </c>
      <c r="H550" s="5">
        <f>IF(G550="","",G550/F550)</f>
        <v/>
      </c>
      <c r="I550" s="62">
        <f>SUM(テーブル9[[#This Row],[五大]:[工場材]])</f>
        <v/>
      </c>
      <c r="J550" s="65" t="n"/>
      <c r="K550" s="65" t="n"/>
      <c r="L550" s="65" t="n"/>
      <c r="M550" s="65" t="n"/>
      <c r="N550" s="65" t="n"/>
      <c r="O550" s="65" t="n"/>
      <c r="P550" s="65" t="n"/>
      <c r="Q550" s="65" t="n"/>
      <c r="R550" s="65" t="n"/>
      <c r="S550" s="65" t="n"/>
      <c r="T550" s="65" t="n"/>
      <c r="U550" s="65" t="n"/>
      <c r="V550" s="65" t="n"/>
      <c r="W550" s="65" t="n"/>
      <c r="X550" s="66" t="n"/>
      <c r="Y550" s="65" t="n"/>
      <c r="Z550" s="65" t="n"/>
      <c r="AA550" s="65" t="n"/>
      <c r="AB550" s="65" t="n"/>
      <c r="AC550" s="65" t="n"/>
      <c r="AD550" s="65" t="n"/>
      <c r="AE550" s="65" t="n"/>
      <c r="AF550" s="65" t="n"/>
      <c r="AG550" s="65" t="n"/>
      <c r="AH550" s="65" t="n"/>
      <c r="AI550" s="65" t="n"/>
      <c r="AJ550" s="65" t="n"/>
      <c r="AK550" s="65" t="n"/>
      <c r="AL550" s="65" t="n"/>
      <c r="AM550" s="65" t="n"/>
      <c r="AN550" s="65" t="n"/>
      <c r="AO550" s="65" t="n"/>
      <c r="AP550" s="65" t="n"/>
      <c r="AQ550" s="65" t="n"/>
      <c r="AR550" s="65" t="n"/>
      <c r="AS550" s="65" t="n"/>
      <c r="AT550" s="65" t="n"/>
      <c r="AU550" s="65" t="n"/>
      <c r="AV550" s="65" t="n"/>
      <c r="AW550" s="65" t="n"/>
      <c r="AX550" s="65" t="n"/>
      <c r="AY550" s="65" t="n"/>
      <c r="AZ550" s="65" t="n"/>
      <c r="BA550" s="65" t="n"/>
      <c r="BB550" s="65" t="n"/>
      <c r="BC550" s="65" t="n"/>
      <c r="BD550" s="65" t="n"/>
      <c r="BE550" s="65" t="n"/>
      <c r="BF550" s="65" t="n"/>
      <c r="BG550" s="65" t="n"/>
    </row>
    <row r="551">
      <c r="B551" s="1" t="inlineStr">
        <is>
          <t>黒松 藤原邸</t>
        </is>
      </c>
      <c r="C551" s="1" t="inlineStr">
        <is>
          <t>光和工業</t>
        </is>
      </c>
      <c r="D551" s="1" t="inlineStr">
        <is>
          <t>屋根工事　外壁塗装</t>
        </is>
      </c>
      <c r="E551" s="2" t="inlineStr">
        <is>
          <t>4月</t>
        </is>
      </c>
      <c r="F551" s="68" t="n">
        <v>2466000</v>
      </c>
      <c r="G551" s="68">
        <f>IF(B551="","",F551-I551 )</f>
        <v/>
      </c>
      <c r="H551" s="5">
        <f>IF(G551="","",G551/F551)</f>
        <v/>
      </c>
      <c r="I551" s="62">
        <f>SUM(テーブル9[[#This Row],[五大]:[工場材]])</f>
        <v/>
      </c>
      <c r="J551" s="69" t="n">
        <v>160000</v>
      </c>
      <c r="K551" s="65" t="n"/>
      <c r="L551" s="65" t="n"/>
      <c r="M551" s="65" t="n"/>
      <c r="N551" s="65" t="n"/>
      <c r="O551" s="69" t="n">
        <v>50000</v>
      </c>
      <c r="P551" s="65" t="n"/>
      <c r="Q551" s="65" t="n"/>
      <c r="R551" s="69" t="n">
        <v>40000</v>
      </c>
      <c r="S551" s="65" t="n"/>
      <c r="T551" s="65" t="n"/>
      <c r="U551" s="69">
        <f>9800+11500+38400+8400+38600</f>
        <v/>
      </c>
      <c r="V551" s="65" t="n"/>
      <c r="W551" s="69">
        <f>704160+105000</f>
        <v/>
      </c>
      <c r="X551" s="66" t="n"/>
      <c r="Y551" s="65" t="n"/>
      <c r="Z551" s="65" t="n"/>
      <c r="AA551" s="65" t="n"/>
      <c r="AB551" s="65" t="n"/>
      <c r="AC551" s="65" t="n"/>
      <c r="AD551" s="65" t="n"/>
      <c r="AE551" s="65" t="n"/>
      <c r="AF551" s="65" t="n"/>
      <c r="AG551" s="65" t="n"/>
      <c r="AH551" s="65" t="n"/>
      <c r="AI551" s="65" t="n"/>
      <c r="AJ551" s="65" t="n">
        <v>25000</v>
      </c>
      <c r="AK551" s="65" t="n"/>
      <c r="AL551" s="65" t="n"/>
      <c r="AM551" s="65" t="n"/>
      <c r="AN551" s="65" t="n"/>
      <c r="AO551" s="65" t="n"/>
      <c r="AP551" s="65" t="n"/>
      <c r="AQ551" s="65" t="n"/>
      <c r="AR551" s="65" t="n"/>
      <c r="AS551" s="65" t="n"/>
      <c r="AT551" s="65" t="n"/>
      <c r="AU551" s="65" t="n"/>
      <c r="AV551" s="65" t="n"/>
      <c r="AW551" s="65" t="n"/>
      <c r="AX551" s="65" t="n"/>
      <c r="AY551" s="65" t="n"/>
      <c r="AZ551" s="65" t="n"/>
      <c r="BA551" s="65" t="n"/>
      <c r="BB551" s="65" t="n"/>
      <c r="BC551" s="65" t="n"/>
      <c r="BD551" s="65" t="n"/>
      <c r="BE551" s="65" t="n"/>
      <c r="BF551" s="65" t="n"/>
      <c r="BG551" s="65" t="n"/>
    </row>
    <row r="552">
      <c r="B552" s="1" t="inlineStr">
        <is>
          <t>明石台 大友邸</t>
        </is>
      </c>
      <c r="C552" s="1" t="inlineStr">
        <is>
          <t>光和工業</t>
        </is>
      </c>
      <c r="D552" s="1" t="inlineStr">
        <is>
          <t>屋根、外壁塗装</t>
        </is>
      </c>
      <c r="E552" s="2" t="inlineStr">
        <is>
          <t>4月</t>
        </is>
      </c>
      <c r="F552" s="68" t="n">
        <v>1650000</v>
      </c>
      <c r="G552" s="68">
        <f>IF(B552="","",F552-I552 )</f>
        <v/>
      </c>
      <c r="H552" s="5">
        <f>IF(G552="","",G552/F552)</f>
        <v/>
      </c>
      <c r="I552" s="62">
        <f>SUM(テーブル9[[#This Row],[五大]:[工場材]])</f>
        <v/>
      </c>
      <c r="J552" s="69" t="n">
        <v>125000</v>
      </c>
      <c r="K552" s="65" t="n"/>
      <c r="L552" s="65" t="n"/>
      <c r="M552" s="65" t="n"/>
      <c r="N552" s="65" t="n"/>
      <c r="O552" s="69" t="n">
        <v>500000</v>
      </c>
      <c r="P552" s="65" t="n"/>
      <c r="Q552" s="65" t="n"/>
      <c r="R552" s="65" t="n"/>
      <c r="S552" s="65" t="n"/>
      <c r="T552" s="65" t="n"/>
      <c r="U552" s="69">
        <f>29000+43500+8400+25600+35800+151330+94600</f>
        <v/>
      </c>
      <c r="V552" s="65" t="n"/>
      <c r="W552" s="69" t="n">
        <v>25000</v>
      </c>
      <c r="X552" s="66" t="n"/>
      <c r="Y552" s="65" t="n"/>
      <c r="Z552" s="65" t="n"/>
      <c r="AA552" s="65" t="n"/>
      <c r="AB552" s="65" t="n"/>
      <c r="AC552" s="65" t="n"/>
      <c r="AD552" s="65" t="n"/>
      <c r="AE552" s="65" t="n"/>
      <c r="AF552" s="65" t="n"/>
      <c r="AG552" s="65" t="n"/>
      <c r="AH552" s="65" t="n"/>
      <c r="AI552" s="65" t="n"/>
      <c r="AJ552" s="65" t="n">
        <v>25000</v>
      </c>
      <c r="AK552" s="65" t="n"/>
      <c r="AL552" s="65" t="n"/>
      <c r="AM552" s="65" t="n"/>
      <c r="AN552" s="65" t="n"/>
      <c r="AO552" s="65" t="n"/>
      <c r="AP552" s="69" t="n">
        <v>13410</v>
      </c>
      <c r="AQ552" s="69" t="n"/>
      <c r="AR552" s="65" t="n"/>
      <c r="AS552" s="65" t="n"/>
      <c r="AT552" s="65" t="n"/>
      <c r="AU552" s="65" t="n"/>
      <c r="AV552" s="65" t="n"/>
      <c r="AW552" s="65" t="n"/>
      <c r="AX552" s="65" t="n"/>
      <c r="AY552" s="65" t="n"/>
      <c r="AZ552" s="65" t="n"/>
      <c r="BA552" s="65" t="n"/>
      <c r="BB552" s="65" t="n"/>
      <c r="BC552" s="65" t="n"/>
      <c r="BD552" s="65" t="n"/>
      <c r="BE552" s="65" t="n"/>
      <c r="BF552" s="65" t="n"/>
      <c r="BG552" s="65" t="n"/>
    </row>
    <row r="553">
      <c r="B553" s="1" t="inlineStr">
        <is>
          <t>日吉台　伊藤邸</t>
        </is>
      </c>
      <c r="C553" s="1" t="inlineStr">
        <is>
          <t>光和工業</t>
        </is>
      </c>
      <c r="D553" s="1" t="inlineStr">
        <is>
          <t>屋根、外壁塗装</t>
        </is>
      </c>
      <c r="E553" s="2" t="inlineStr">
        <is>
          <t>4月</t>
        </is>
      </c>
      <c r="F553" s="68" t="n">
        <v>2503000</v>
      </c>
      <c r="G553" s="68">
        <f>IF(B553="","",F553-I553 )</f>
        <v/>
      </c>
      <c r="H553" s="5">
        <f>IF(G553="","",G553/F553)</f>
        <v/>
      </c>
      <c r="I553" s="62">
        <f>SUM(テーブル9[[#This Row],[五大]:[工場材]])</f>
        <v/>
      </c>
      <c r="J553" s="69" t="n">
        <v>135000</v>
      </c>
      <c r="K553" s="65" t="n"/>
      <c r="L553" s="65" t="n"/>
      <c r="M553" s="65" t="n"/>
      <c r="N553" s="65" t="n"/>
      <c r="O553" s="69" t="n">
        <v>500000</v>
      </c>
      <c r="P553" s="65" t="n"/>
      <c r="Q553" s="65" t="n"/>
      <c r="R553" s="65" t="n"/>
      <c r="S553" s="65" t="n"/>
      <c r="T553" s="65" t="n"/>
      <c r="U553" s="69">
        <f>413300-151300</f>
        <v/>
      </c>
      <c r="V553" s="65" t="n"/>
      <c r="W553" s="69" t="n">
        <v>30000</v>
      </c>
      <c r="X553" s="66" t="n">
        <v>3926</v>
      </c>
      <c r="Y553" s="65" t="n"/>
      <c r="Z553" s="65" t="n"/>
      <c r="AA553" s="65" t="n"/>
      <c r="AB553" s="65" t="n"/>
      <c r="AC553" s="65" t="n"/>
      <c r="AD553" s="65" t="n"/>
      <c r="AE553" s="69" t="n">
        <v>292500</v>
      </c>
      <c r="AF553" s="65" t="n"/>
      <c r="AG553" s="65" t="n"/>
      <c r="AH553" s="65" t="n"/>
      <c r="AI553" s="65" t="n"/>
      <c r="AJ553" s="65" t="n">
        <v>25000</v>
      </c>
      <c r="AK553" s="65" t="n"/>
      <c r="AL553" s="65" t="n"/>
      <c r="AM553" s="65" t="n"/>
      <c r="AN553" s="65" t="n"/>
      <c r="AO553" s="65" t="n"/>
      <c r="AP553" s="65" t="n"/>
      <c r="AQ553" s="65" t="n"/>
      <c r="AR553" s="65" t="n"/>
      <c r="AS553" s="65" t="n"/>
      <c r="AT553" s="65" t="n"/>
      <c r="AU553" s="65" t="n"/>
      <c r="AV553" s="65" t="n"/>
      <c r="AW553" s="65" t="n"/>
      <c r="AX553" s="65" t="n"/>
      <c r="AY553" s="65" t="n"/>
      <c r="AZ553" s="65" t="n"/>
      <c r="BA553" s="65" t="n"/>
      <c r="BB553" s="65" t="n"/>
      <c r="BC553" s="65" t="n"/>
      <c r="BD553" s="65" t="n"/>
      <c r="BE553" s="65" t="n"/>
      <c r="BF553" s="65" t="n"/>
      <c r="BG553" s="65" t="n"/>
    </row>
    <row r="554">
      <c r="B554" s="1" t="inlineStr">
        <is>
          <t>パールグレイス</t>
        </is>
      </c>
      <c r="C554" s="1" t="inlineStr">
        <is>
          <t>積水ハウス不動産</t>
        </is>
      </c>
      <c r="D554" s="1" t="inlineStr">
        <is>
          <t>屋根修理</t>
        </is>
      </c>
      <c r="E554" s="2" t="inlineStr">
        <is>
          <t>4月</t>
        </is>
      </c>
      <c r="F554" s="68" t="n">
        <v>135000</v>
      </c>
      <c r="G554" s="68">
        <f>IF(B554="","",F554-I554 )</f>
        <v/>
      </c>
      <c r="H554" s="5">
        <f>IF(G554="","",G554/F554)</f>
        <v/>
      </c>
      <c r="I554" s="62">
        <f>SUM(テーブル9[[#This Row],[五大]:[工場材]])</f>
        <v/>
      </c>
      <c r="J554" s="69" t="n">
        <v>70000</v>
      </c>
      <c r="K554" s="65" t="n"/>
      <c r="L554" s="65" t="n"/>
      <c r="M554" s="65" t="n"/>
      <c r="N554" s="65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6" t="n"/>
      <c r="Y554" s="65" t="n"/>
      <c r="Z554" s="65" t="n"/>
      <c r="AA554" s="65" t="n"/>
      <c r="AB554" s="65" t="n"/>
      <c r="AC554" s="65" t="n"/>
      <c r="AD554" s="65" t="n"/>
      <c r="AE554" s="69" t="n"/>
      <c r="AF554" s="65" t="n"/>
      <c r="AG554" s="65" t="n"/>
      <c r="AH554" s="65" t="n"/>
      <c r="AI554" s="65" t="n"/>
      <c r="AJ554" s="65" t="n"/>
      <c r="AK554" s="65" t="n"/>
      <c r="AL554" s="65" t="n"/>
      <c r="AM554" s="65" t="n"/>
      <c r="AN554" s="65" t="n"/>
      <c r="AO554" s="65" t="n"/>
      <c r="AP554" s="65" t="n"/>
      <c r="AQ554" s="65" t="n"/>
      <c r="AR554" s="65" t="n"/>
      <c r="AS554" s="65" t="n"/>
      <c r="AT554" s="65" t="n"/>
      <c r="AU554" s="65" t="n"/>
      <c r="AV554" s="65" t="n"/>
      <c r="AW554" s="65" t="n"/>
      <c r="AX554" s="65" t="n"/>
      <c r="AY554" s="65" t="n"/>
      <c r="AZ554" s="65" t="n"/>
      <c r="BA554" s="65" t="n"/>
      <c r="BB554" s="65" t="n"/>
      <c r="BC554" s="65" t="n"/>
      <c r="BD554" s="65" t="n"/>
      <c r="BE554" s="65" t="n"/>
      <c r="BF554" s="65" t="n"/>
      <c r="BG554" s="65" t="n"/>
    </row>
    <row r="555">
      <c r="B555" s="1" t="inlineStr">
        <is>
          <t>グリーンヒルズ　chida-D201</t>
        </is>
      </c>
      <c r="C555" s="1" t="inlineStr">
        <is>
          <t>積水ハウス不動産</t>
        </is>
      </c>
      <c r="D555" s="1" t="inlineStr">
        <is>
          <t>リフォーム工事</t>
        </is>
      </c>
      <c r="E555" s="2" t="inlineStr">
        <is>
          <t>4月</t>
        </is>
      </c>
      <c r="F555" s="68" t="n">
        <v>1733000</v>
      </c>
      <c r="G555" s="68">
        <f>IF(B555="","",F555-I555 )</f>
        <v/>
      </c>
      <c r="H555" s="5">
        <f>IF(G555="","",G555/F555)</f>
        <v/>
      </c>
      <c r="I555" s="62">
        <f>SUM(テーブル9[[#This Row],[五大]:[工場材]])</f>
        <v/>
      </c>
      <c r="J555" s="65" t="n"/>
      <c r="K555" s="65" t="n"/>
      <c r="L555" s="65" t="n"/>
      <c r="M555" s="65" t="n"/>
      <c r="N555" s="65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9" t="n">
        <v>300000</v>
      </c>
      <c r="X555" s="66" t="n">
        <v>18764</v>
      </c>
      <c r="Y555" s="65" t="n"/>
      <c r="Z555" s="65" t="n"/>
      <c r="AA555" s="69" t="n">
        <v>111000</v>
      </c>
      <c r="AB555" s="69" t="n">
        <v>137000</v>
      </c>
      <c r="AC555" s="69">
        <f>18000+9000</f>
        <v/>
      </c>
      <c r="AD555" s="69" t="n"/>
      <c r="AE555" s="69" t="n"/>
      <c r="AF555" s="65" t="n"/>
      <c r="AG555" s="65" t="n"/>
      <c r="AH555" s="69" t="n">
        <v>236150</v>
      </c>
      <c r="AI555" s="65" t="n"/>
      <c r="AJ555" s="65" t="n"/>
      <c r="AK555" s="65" t="n"/>
      <c r="AL555" s="65" t="n"/>
      <c r="AM555" s="65" t="n"/>
      <c r="AN555" s="65" t="n"/>
      <c r="AO555" s="65" t="n"/>
      <c r="AP555" s="69">
        <f>286793-9595-26000-39600-26000</f>
        <v/>
      </c>
      <c r="AQ555" s="69" t="n"/>
      <c r="AR555" s="65" t="n"/>
      <c r="AS555" s="65" t="n"/>
      <c r="AT555" s="65" t="n"/>
      <c r="AU555" s="65" t="n"/>
      <c r="AV555" s="65" t="n"/>
      <c r="AW555" s="69">
        <f>25000+60000</f>
        <v/>
      </c>
      <c r="AX555" s="69">
        <f>28000+16800</f>
        <v/>
      </c>
      <c r="AY555" s="65" t="n"/>
      <c r="AZ555" s="65" t="n"/>
      <c r="BA555" s="65" t="n"/>
      <c r="BB555" s="65" t="n"/>
      <c r="BC555" s="65" t="n"/>
      <c r="BD555" s="65" t="n"/>
      <c r="BE555" s="65" t="n"/>
      <c r="BF555" s="65" t="n"/>
      <c r="BG555" s="65" t="n"/>
    </row>
    <row r="556">
      <c r="B556" s="1" t="inlineStr">
        <is>
          <t>大和町　福田邸</t>
        </is>
      </c>
      <c r="C556" s="1" t="inlineStr">
        <is>
          <t>LIXIL</t>
        </is>
      </c>
      <c r="D556" s="1" t="inlineStr">
        <is>
          <t>UB入替</t>
        </is>
      </c>
      <c r="E556" s="2" t="inlineStr">
        <is>
          <t>4月</t>
        </is>
      </c>
      <c r="F556" s="68" t="n">
        <v>451050</v>
      </c>
      <c r="G556" s="68">
        <f>IF(B556="","",F556-I556 )</f>
        <v/>
      </c>
      <c r="H556" s="5">
        <f>IF(G556="","",G556/F556)</f>
        <v/>
      </c>
      <c r="I556" s="62">
        <f>SUM(テーブル9[[#This Row],[五大]:[工場材]])</f>
        <v/>
      </c>
      <c r="J556" s="65" t="n"/>
      <c r="K556" s="65" t="n"/>
      <c r="L556" s="65" t="n"/>
      <c r="M556" s="65" t="n"/>
      <c r="N556" s="65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9" t="n">
        <v>80000</v>
      </c>
      <c r="X556" s="66" t="n">
        <v>22076</v>
      </c>
      <c r="Y556" s="65" t="n"/>
      <c r="Z556" s="65" t="n"/>
      <c r="AA556" s="69" t="n">
        <v>73000</v>
      </c>
      <c r="AB556" s="69">
        <f>110000+29000</f>
        <v/>
      </c>
      <c r="AC556" s="65" t="n"/>
      <c r="AD556" s="65" t="n"/>
      <c r="AE556" s="69" t="n"/>
      <c r="AF556" s="65" t="n"/>
      <c r="AG556" s="65" t="n"/>
      <c r="AH556" s="69">
        <f>50000</f>
        <v/>
      </c>
      <c r="AI556" s="65" t="n"/>
      <c r="AJ556" s="65" t="n"/>
      <c r="AK556" s="65" t="n"/>
      <c r="AL556" s="65" t="n"/>
      <c r="AM556" s="65" t="n"/>
      <c r="AN556" s="65" t="n"/>
      <c r="AO556" s="65" t="n"/>
      <c r="AP556" s="65" t="n"/>
      <c r="AQ556" s="65" t="n"/>
      <c r="AR556" s="65" t="n"/>
      <c r="AS556" s="65" t="n"/>
      <c r="AT556" s="65" t="n"/>
      <c r="AU556" s="65" t="n"/>
      <c r="AV556" s="65" t="n"/>
      <c r="AW556" s="65" t="n"/>
      <c r="AX556" s="65" t="n"/>
      <c r="AY556" s="65" t="n"/>
      <c r="AZ556" s="65" t="n"/>
      <c r="BA556" s="65" t="n"/>
      <c r="BB556" s="65" t="n"/>
      <c r="BC556" s="65" t="n"/>
      <c r="BD556" s="65" t="n"/>
      <c r="BE556" s="65" t="n"/>
      <c r="BF556" s="65" t="n"/>
      <c r="BG556" s="65" t="n"/>
    </row>
    <row r="557">
      <c r="B557" s="1" t="inlineStr">
        <is>
          <t>名取大手町　ガラスシート工事</t>
        </is>
      </c>
      <c r="C557" s="1" t="inlineStr">
        <is>
          <t>仙台CC</t>
        </is>
      </c>
      <c r="D557" s="1" t="inlineStr">
        <is>
          <t>ガラスシート工事</t>
        </is>
      </c>
      <c r="E557" s="2" t="inlineStr">
        <is>
          <t>4月</t>
        </is>
      </c>
      <c r="F557" s="68" t="n">
        <v>149000</v>
      </c>
      <c r="G557" s="68">
        <f>IF(B557="","",F557-I557 )</f>
        <v/>
      </c>
      <c r="H557" s="5">
        <f>IF(G557="","",G557/F557)</f>
        <v/>
      </c>
      <c r="I557" s="62">
        <f>SUM(テーブル9[[#This Row],[五大]:[工場材]])</f>
        <v/>
      </c>
      <c r="J557" s="65" t="n"/>
      <c r="K557" s="65" t="n"/>
      <c r="L557" s="65" t="n"/>
      <c r="M557" s="65" t="n"/>
      <c r="N557" s="65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6" t="n"/>
      <c r="Y557" s="65" t="n"/>
      <c r="Z557" s="65" t="n"/>
      <c r="AA557" s="65" t="n"/>
      <c r="AB557" s="65" t="n"/>
      <c r="AC557" s="65" t="n"/>
      <c r="AD557" s="65" t="n"/>
      <c r="AE557" s="65" t="n"/>
      <c r="AF557" s="65" t="n"/>
      <c r="AG557" s="65" t="n"/>
      <c r="AH557" s="69" t="n"/>
      <c r="AI557" s="65" t="n"/>
      <c r="AJ557" s="65" t="n"/>
      <c r="AK557" s="65" t="n"/>
      <c r="AL557" s="65" t="n"/>
      <c r="AM557" s="65" t="n"/>
      <c r="AN557" s="65" t="n">
        <v>115000</v>
      </c>
      <c r="AO557" s="65" t="n"/>
      <c r="AP557" s="65" t="n"/>
      <c r="AQ557" s="65" t="n"/>
      <c r="AR557" s="65" t="n"/>
      <c r="AS557" s="65" t="n"/>
      <c r="AT557" s="65" t="n"/>
      <c r="AU557" s="65" t="n"/>
      <c r="AV557" s="65" t="n"/>
      <c r="AW557" s="65" t="n"/>
      <c r="AX557" s="65" t="n"/>
      <c r="AY557" s="65" t="n"/>
      <c r="AZ557" s="65" t="n"/>
      <c r="BA557" s="65" t="n"/>
      <c r="BB557" s="65" t="n"/>
      <c r="BC557" s="65" t="n"/>
      <c r="BD557" s="65" t="n"/>
      <c r="BE557" s="65" t="n"/>
      <c r="BF557" s="65" t="n"/>
      <c r="BG557" s="65" t="n"/>
    </row>
    <row r="558">
      <c r="B558" s="1" t="inlineStr">
        <is>
          <t>ドエルポラリス</t>
        </is>
      </c>
      <c r="C558" s="1" t="inlineStr">
        <is>
          <t>光和工業</t>
        </is>
      </c>
      <c r="D558" s="1" t="inlineStr">
        <is>
          <t>フェンスブロック　コンテナ撤去</t>
        </is>
      </c>
      <c r="E558" s="2" t="inlineStr">
        <is>
          <t>4月</t>
        </is>
      </c>
      <c r="F558" s="68">
        <f>490000+75000</f>
        <v/>
      </c>
      <c r="G558" s="68">
        <f>IF(B558="","",F558-I558 )</f>
        <v/>
      </c>
      <c r="H558" s="5">
        <f>IF(G558="","",G558/F558)</f>
        <v/>
      </c>
      <c r="I558" s="62">
        <f>SUM(テーブル9[[#This Row],[五大]:[工場材]])</f>
        <v/>
      </c>
      <c r="J558" s="65" t="n"/>
      <c r="K558" s="65" t="n"/>
      <c r="L558" s="65" t="n"/>
      <c r="M558" s="65" t="n"/>
      <c r="N558" s="65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6" t="n"/>
      <c r="Y558" s="65" t="n"/>
      <c r="Z558" s="65" t="n"/>
      <c r="AA558" s="65" t="n"/>
      <c r="AB558" s="65" t="n"/>
      <c r="AC558" s="65" t="n"/>
      <c r="AD558" s="65" t="n"/>
      <c r="AE558" s="65" t="n">
        <v>65000</v>
      </c>
      <c r="AF558" s="65" t="n"/>
      <c r="AG558" s="65" t="n"/>
      <c r="AH558" s="69" t="n"/>
      <c r="AI558" s="65" t="n"/>
      <c r="AJ558" s="65" t="n"/>
      <c r="AK558" s="65" t="n"/>
      <c r="AL558" s="65" t="n"/>
      <c r="AM558" s="65" t="n"/>
      <c r="AN558" s="65" t="n"/>
      <c r="AO558" s="65" t="n"/>
      <c r="AP558" s="65" t="n"/>
      <c r="AQ558" s="65" t="n"/>
      <c r="AR558" s="65" t="n"/>
      <c r="AS558" s="65" t="n"/>
      <c r="AT558" s="65" t="n"/>
      <c r="AU558" s="65" t="n"/>
      <c r="AV558" s="65" t="n"/>
      <c r="AW558" s="65" t="n"/>
      <c r="AX558" s="65" t="n"/>
      <c r="AY558" s="65" t="n"/>
      <c r="AZ558" s="65" t="n"/>
      <c r="BA558" s="65" t="n"/>
      <c r="BB558" s="65" t="n"/>
      <c r="BC558" s="65" t="n"/>
      <c r="BD558" s="65" t="n"/>
      <c r="BE558" s="65" t="n"/>
      <c r="BF558" s="65" t="n"/>
      <c r="BG558" s="65" t="n">
        <v>277904</v>
      </c>
    </row>
    <row r="559">
      <c r="B559" s="1" t="inlineStr">
        <is>
          <t>長町街苑パークマンション315号</t>
        </is>
      </c>
      <c r="C559" s="1" t="inlineStr">
        <is>
          <t>壁紙革命</t>
        </is>
      </c>
      <c r="D559" s="1" t="inlineStr">
        <is>
          <t>クロス・カーペット他</t>
        </is>
      </c>
      <c r="E559" s="2" t="inlineStr">
        <is>
          <t>4月</t>
        </is>
      </c>
      <c r="F559" s="68" t="n">
        <v>348300</v>
      </c>
      <c r="G559" s="68">
        <f>IF(B559="","",F559-I559 )</f>
        <v/>
      </c>
      <c r="H559" s="5">
        <f>IF(G559="","",G559/F559)</f>
        <v/>
      </c>
      <c r="I559" s="62">
        <f>SUM(テーブル9[[#This Row],[五大]:[工場材]])</f>
        <v/>
      </c>
      <c r="J559" s="65" t="n"/>
      <c r="K559" s="65" t="n"/>
      <c r="L559" s="65" t="n"/>
      <c r="M559" s="65" t="n"/>
      <c r="N559" s="65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9">
        <f>20000</f>
        <v/>
      </c>
      <c r="X559" s="66" t="n"/>
      <c r="Y559" s="65" t="n"/>
      <c r="Z559" s="65" t="n"/>
      <c r="AA559" s="65" t="n"/>
      <c r="AB559" s="65" t="n"/>
      <c r="AC559" s="65" t="n"/>
      <c r="AD559" s="65" t="n"/>
      <c r="AE559" s="65" t="n"/>
      <c r="AF559" s="65" t="n"/>
      <c r="AG559" s="65" t="n"/>
      <c r="AH559" s="69" t="n">
        <v>255850</v>
      </c>
      <c r="AI559" s="65" t="n"/>
      <c r="AJ559" s="65" t="n">
        <v>40000</v>
      </c>
      <c r="AK559" s="65" t="n"/>
      <c r="AL559" s="65" t="n"/>
      <c r="AM559" s="65" t="n"/>
      <c r="AN559" s="65" t="n"/>
      <c r="AO559" s="65" t="n"/>
      <c r="AP559" s="65" t="n"/>
      <c r="AQ559" s="65" t="n"/>
      <c r="AR559" s="65" t="n"/>
      <c r="AS559" s="65" t="n"/>
      <c r="AT559" s="65" t="n"/>
      <c r="AU559" s="65" t="n"/>
      <c r="AV559" s="65" t="n"/>
      <c r="AW559" s="65" t="n"/>
      <c r="AX559" s="65" t="n"/>
      <c r="AY559" s="65" t="n"/>
      <c r="AZ559" s="65" t="n"/>
      <c r="BA559" s="65" t="n"/>
      <c r="BB559" s="65" t="n"/>
      <c r="BC559" s="65" t="n"/>
      <c r="BD559" s="65" t="n"/>
      <c r="BE559" s="65" t="n"/>
      <c r="BF559" s="65" t="n"/>
      <c r="BG559" s="65" t="n"/>
    </row>
    <row r="560">
      <c r="B560" s="1" t="inlineStr">
        <is>
          <t>パークハウスリシェルテ1501</t>
        </is>
      </c>
      <c r="C560" s="1" t="inlineStr">
        <is>
          <t>LIXIL</t>
        </is>
      </c>
      <c r="D560" s="1" t="inlineStr">
        <is>
          <t>トイレ交換　産廃運搬</t>
        </is>
      </c>
      <c r="E560" s="2" t="inlineStr">
        <is>
          <t>4月</t>
        </is>
      </c>
      <c r="F560" s="68">
        <f>8000+3000+18000+2860+30000</f>
        <v/>
      </c>
      <c r="G560" s="68">
        <f>IF(B560="","",F560-I560 )</f>
        <v/>
      </c>
      <c r="H560" s="5">
        <f>IF(G560="","",G560/F560)</f>
        <v/>
      </c>
      <c r="I560" s="62">
        <f>SUM(テーブル9[[#This Row],[五大]:[工場材]])</f>
        <v/>
      </c>
      <c r="J560" s="65" t="n"/>
      <c r="K560" s="65" t="n"/>
      <c r="L560" s="65" t="n"/>
      <c r="M560" s="65" t="n"/>
      <c r="N560" s="65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6" t="n"/>
      <c r="Y560" s="65" t="n"/>
      <c r="Z560" s="65" t="n"/>
      <c r="AA560" s="65" t="n"/>
      <c r="AB560" s="69" t="n"/>
      <c r="AC560" s="65" t="n"/>
      <c r="AD560" s="65" t="n"/>
      <c r="AE560" s="65" t="n"/>
      <c r="AF560" s="65" t="n"/>
      <c r="AG560" s="65" t="n"/>
      <c r="AH560" s="65" t="n"/>
      <c r="AI560" s="65" t="n"/>
      <c r="AJ560" s="65" t="n"/>
      <c r="AK560" s="65" t="n"/>
      <c r="AL560" s="65" t="n"/>
      <c r="AM560" s="65" t="n"/>
      <c r="AN560" s="65" t="n"/>
      <c r="AO560" s="65" t="n"/>
      <c r="AP560" s="65" t="n"/>
      <c r="AQ560" s="65" t="n"/>
      <c r="AR560" s="65" t="n"/>
      <c r="AS560" s="65" t="n"/>
      <c r="AT560" s="65" t="n"/>
      <c r="AU560" s="65" t="n"/>
      <c r="AV560" s="65" t="n"/>
      <c r="AW560" s="65" t="n"/>
      <c r="AX560" s="65" t="n"/>
      <c r="AY560" s="65" t="n"/>
      <c r="AZ560" s="65" t="n"/>
      <c r="BA560" s="65" t="n"/>
      <c r="BB560" s="65" t="n"/>
      <c r="BC560" s="65" t="n"/>
      <c r="BD560" s="65" t="n"/>
      <c r="BE560" s="65" t="n"/>
      <c r="BF560" s="65" t="n"/>
      <c r="BG560" s="65" t="n"/>
    </row>
    <row r="561">
      <c r="B561" s="1" t="inlineStr">
        <is>
          <t>油谷邸</t>
        </is>
      </c>
      <c r="C561" s="1" t="inlineStr">
        <is>
          <t>光和工業</t>
        </is>
      </c>
      <c r="D561" s="1" t="inlineStr">
        <is>
          <t>UBシート張り</t>
        </is>
      </c>
      <c r="E561" s="2" t="inlineStr">
        <is>
          <t>4月</t>
        </is>
      </c>
      <c r="F561" s="68" t="n">
        <v>260000</v>
      </c>
      <c r="G561" s="68">
        <f>IF(B561="","",F561-I561 )</f>
        <v/>
      </c>
      <c r="H561" s="5">
        <f>IF(G561="","",G561/F561)</f>
        <v/>
      </c>
      <c r="I561" s="62">
        <f>SUM(テーブル9[[#This Row],[五大]:[工場材]])</f>
        <v/>
      </c>
      <c r="J561" s="65" t="n"/>
      <c r="K561" s="65" t="n"/>
      <c r="L561" s="65" t="n"/>
      <c r="M561" s="65" t="n"/>
      <c r="N561" s="65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6" t="n"/>
      <c r="Y561" s="65" t="n"/>
      <c r="Z561" s="65" t="n"/>
      <c r="AA561" s="65" t="n"/>
      <c r="AB561" s="65" t="n"/>
      <c r="AC561" s="65" t="n"/>
      <c r="AD561" s="65" t="n"/>
      <c r="AE561" s="65" t="n"/>
      <c r="AF561" s="65" t="n"/>
      <c r="AG561" s="65" t="n"/>
      <c r="AH561" s="65" t="n"/>
      <c r="AI561" s="65" t="n"/>
      <c r="AJ561" s="65" t="n"/>
      <c r="AK561" s="65" t="n"/>
      <c r="AL561" s="65" t="n"/>
      <c r="AM561" s="65" t="n"/>
      <c r="AN561" s="65" t="n"/>
      <c r="AO561" s="65" t="n"/>
      <c r="AP561" s="65" t="n"/>
      <c r="AQ561" s="65" t="n"/>
      <c r="AR561" s="65" t="n"/>
      <c r="AS561" s="65" t="n"/>
      <c r="AT561" s="65" t="n"/>
      <c r="AU561" s="65" t="n"/>
      <c r="AV561" s="65" t="n"/>
      <c r="AW561" s="69">
        <f>117000+12000+24000+10000+5000+15400+4000+12000</f>
        <v/>
      </c>
      <c r="AX561" s="65" t="n"/>
      <c r="AY561" s="65" t="n"/>
      <c r="AZ561" s="65" t="n"/>
      <c r="BA561" s="65" t="n"/>
      <c r="BB561" s="65" t="n"/>
      <c r="BC561" s="65" t="n"/>
      <c r="BD561" s="65" t="n"/>
      <c r="BE561" s="65" t="n"/>
      <c r="BF561" s="65" t="n"/>
      <c r="BG561" s="65">
        <f>5900+12000</f>
        <v/>
      </c>
    </row>
    <row r="562">
      <c r="B562" s="1" t="inlineStr">
        <is>
          <t>加茂　松本邸</t>
        </is>
      </c>
      <c r="C562" s="1" t="inlineStr">
        <is>
          <t>LIXIL</t>
        </is>
      </c>
      <c r="D562" s="1" t="inlineStr">
        <is>
          <t>カーポート電源工事</t>
        </is>
      </c>
      <c r="E562" s="2" t="inlineStr">
        <is>
          <t>4月</t>
        </is>
      </c>
      <c r="F562" s="68">
        <f>119704+10296</f>
        <v/>
      </c>
      <c r="G562" s="68">
        <f>IF(B562="","",F562-I562 )</f>
        <v/>
      </c>
      <c r="H562" s="5">
        <f>IF(G562="","",G562/F562)</f>
        <v/>
      </c>
      <c r="I562" s="62">
        <f>SUM(テーブル9[[#This Row],[五大]:[工場材]])</f>
        <v/>
      </c>
      <c r="J562" s="65" t="n"/>
      <c r="K562" s="65" t="n"/>
      <c r="L562" s="65" t="n"/>
      <c r="M562" s="65" t="n"/>
      <c r="N562" s="65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6" t="n"/>
      <c r="Y562" s="65" t="n"/>
      <c r="Z562" s="65" t="n"/>
      <c r="AA562" s="65" t="n"/>
      <c r="AB562" s="65" t="n"/>
      <c r="AC562" s="65" t="n"/>
      <c r="AD562" s="65" t="n"/>
      <c r="AE562" s="65" t="n"/>
      <c r="AF562" s="65" t="n"/>
      <c r="AG562" s="65" t="n"/>
      <c r="AH562" s="65" t="n"/>
      <c r="AI562" s="65" t="n"/>
      <c r="AJ562" s="65" t="n"/>
      <c r="AK562" s="65" t="n"/>
      <c r="AL562" s="65" t="n"/>
      <c r="AM562" s="65" t="n"/>
      <c r="AN562" s="65" t="n"/>
      <c r="AO562" s="65" t="n"/>
      <c r="AP562" s="65" t="n"/>
      <c r="AQ562" s="65" t="n"/>
      <c r="AR562" s="65" t="n"/>
      <c r="AS562" s="65" t="n"/>
      <c r="AT562" s="65" t="n"/>
      <c r="AU562" s="65" t="n"/>
      <c r="AV562" s="65" t="n"/>
      <c r="AW562" s="65" t="n"/>
      <c r="AX562" s="65" t="n"/>
      <c r="AY562" s="65" t="n"/>
      <c r="AZ562" s="65" t="n"/>
      <c r="BA562" s="65" t="n"/>
      <c r="BB562" s="65" t="n"/>
      <c r="BC562" s="65" t="n"/>
      <c r="BD562" s="65" t="n"/>
      <c r="BE562" s="65" t="n"/>
      <c r="BF562" s="65" t="n"/>
      <c r="BG562" s="65" t="n"/>
    </row>
    <row r="563">
      <c r="B563" s="1" t="inlineStr">
        <is>
          <t>アップヒルズ泉ヶ丘</t>
        </is>
      </c>
      <c r="C563" s="1" t="inlineStr">
        <is>
          <t>仙台CC</t>
        </is>
      </c>
      <c r="D563" s="1" t="inlineStr">
        <is>
          <t>タッチアップ</t>
        </is>
      </c>
      <c r="E563" s="2" t="inlineStr">
        <is>
          <t>４月</t>
        </is>
      </c>
      <c r="F563" s="68" t="n">
        <v>22000</v>
      </c>
      <c r="G563" s="68">
        <f>IF(B563="","",F563-I563 )</f>
        <v/>
      </c>
      <c r="H563" s="5">
        <f>IF(G563="","",G563/F563)</f>
        <v/>
      </c>
      <c r="I563" s="62">
        <f>SUM(テーブル9[[#This Row],[五大]:[工場材]])</f>
        <v/>
      </c>
      <c r="J563" s="65" t="n"/>
      <c r="K563" s="65" t="n"/>
      <c r="L563" s="65" t="n"/>
      <c r="M563" s="65" t="n"/>
      <c r="N563" s="65" t="n"/>
      <c r="O563" s="65" t="n">
        <v>10000</v>
      </c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6" t="n"/>
      <c r="Y563" s="65" t="n"/>
      <c r="Z563" s="65" t="n"/>
      <c r="AA563" s="65" t="n"/>
      <c r="AB563" s="65" t="n"/>
      <c r="AC563" s="65" t="n"/>
      <c r="AD563" s="65" t="n"/>
      <c r="AE563" s="65" t="n"/>
      <c r="AF563" s="65" t="n"/>
      <c r="AG563" s="65" t="n"/>
      <c r="AH563" s="65" t="n"/>
      <c r="AI563" s="65" t="n"/>
      <c r="AJ563" s="65" t="n"/>
      <c r="AK563" s="65" t="n"/>
      <c r="AL563" s="65" t="n"/>
      <c r="AM563" s="65" t="n"/>
      <c r="AN563" s="65" t="n"/>
      <c r="AO563" s="65" t="n"/>
      <c r="AP563" s="65" t="n"/>
      <c r="AQ563" s="65" t="n"/>
      <c r="AR563" s="65" t="n"/>
      <c r="AS563" s="65" t="n"/>
      <c r="AT563" s="65" t="n"/>
      <c r="AU563" s="65" t="n"/>
      <c r="AV563" s="65" t="n"/>
      <c r="AW563" s="65" t="n"/>
      <c r="AX563" s="65" t="n"/>
      <c r="AY563" s="65" t="n"/>
      <c r="AZ563" s="65" t="n"/>
      <c r="BA563" s="65" t="n"/>
      <c r="BB563" s="65" t="n"/>
      <c r="BC563" s="65" t="n"/>
      <c r="BD563" s="65" t="n"/>
      <c r="BE563" s="65" t="n"/>
      <c r="BF563" s="65" t="n"/>
      <c r="BG563" s="65" t="n"/>
    </row>
    <row r="564">
      <c r="F564" s="68" t="n"/>
      <c r="G564" s="68">
        <f>IF(B564="","",F564-I564 )</f>
        <v/>
      </c>
      <c r="H564" s="5">
        <f>IF(G564="","",G564/F564)</f>
        <v/>
      </c>
      <c r="I564" s="62">
        <f>SUM(テーブル9[[#This Row],[五大]:[工場材]])</f>
        <v/>
      </c>
      <c r="J564" s="65" t="n"/>
      <c r="K564" s="65" t="n"/>
      <c r="L564" s="65" t="n"/>
      <c r="M564" s="65" t="n"/>
      <c r="N564" s="65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6" t="n"/>
      <c r="Y564" s="65" t="n"/>
      <c r="Z564" s="65" t="n"/>
      <c r="AA564" s="65" t="n"/>
      <c r="AB564" s="65" t="n"/>
      <c r="AC564" s="65" t="n"/>
      <c r="AD564" s="65" t="n"/>
      <c r="AE564" s="65" t="n"/>
      <c r="AF564" s="65" t="n"/>
      <c r="AG564" s="65" t="n"/>
      <c r="AH564" s="65" t="n"/>
      <c r="AI564" s="65" t="n"/>
      <c r="AJ564" s="65" t="n"/>
      <c r="AK564" s="65" t="n"/>
      <c r="AL564" s="65" t="n"/>
      <c r="AM564" s="65" t="n"/>
      <c r="AN564" s="65" t="n"/>
      <c r="AO564" s="65" t="n"/>
      <c r="AP564" s="65" t="n"/>
      <c r="AQ564" s="65" t="n"/>
      <c r="AR564" s="65" t="n"/>
      <c r="AS564" s="65" t="n"/>
      <c r="AT564" s="65" t="n"/>
      <c r="AU564" s="65" t="n"/>
      <c r="AV564" s="65" t="n"/>
      <c r="AW564" s="65" t="n"/>
      <c r="AX564" s="65" t="n"/>
      <c r="AY564" s="65" t="n"/>
      <c r="AZ564" s="65" t="n"/>
      <c r="BA564" s="65" t="n"/>
      <c r="BB564" s="65" t="n"/>
      <c r="BC564" s="65" t="n"/>
      <c r="BD564" s="65" t="n"/>
      <c r="BE564" s="65" t="n"/>
      <c r="BF564" s="65" t="n"/>
      <c r="BG564" s="65" t="n"/>
    </row>
    <row r="565">
      <c r="B565" s="1" t="inlineStr">
        <is>
          <t>緑ヶ丘　千葉様</t>
        </is>
      </c>
      <c r="C565" s="1" t="inlineStr">
        <is>
          <t>光和工業</t>
        </is>
      </c>
      <c r="D565" s="1" t="inlineStr">
        <is>
          <t>屋根工事</t>
        </is>
      </c>
      <c r="E565" s="2" t="inlineStr">
        <is>
          <t>4月</t>
        </is>
      </c>
      <c r="F565" s="68" t="n">
        <v>150700</v>
      </c>
      <c r="G565" s="68">
        <f>IF(B565="","",F565-I565 )</f>
        <v/>
      </c>
      <c r="H565" s="5">
        <f>IF(G565="","",G565/F565)</f>
        <v/>
      </c>
      <c r="I565" s="62">
        <f>SUM(テーブル9[[#This Row],[五大]:[工場材]])</f>
        <v/>
      </c>
      <c r="J565" s="65" t="n">
        <v>70000</v>
      </c>
      <c r="K565" s="65" t="n"/>
      <c r="L565" s="65" t="n"/>
      <c r="M565" s="65" t="n"/>
      <c r="N565" s="65" t="n"/>
      <c r="O565" s="65" t="n">
        <v>8000</v>
      </c>
      <c r="P565" s="65" t="n"/>
      <c r="Q565" s="65" t="n"/>
      <c r="R565" s="65" t="n"/>
      <c r="S565" s="65" t="n"/>
      <c r="T565" s="65" t="n"/>
      <c r="U565" s="65" t="n"/>
      <c r="V565" s="65" t="n"/>
      <c r="W565" s="69" t="n">
        <v>40000</v>
      </c>
      <c r="X565" s="66" t="n">
        <v>12571</v>
      </c>
      <c r="Y565" s="65" t="n"/>
      <c r="Z565" s="65" t="n"/>
      <c r="AA565" s="65" t="n"/>
      <c r="AB565" s="65" t="n"/>
      <c r="AC565" s="65" t="n"/>
      <c r="AD565" s="65" t="n"/>
      <c r="AE565" s="65" t="n"/>
      <c r="AF565" s="65" t="n"/>
      <c r="AG565" s="65" t="n"/>
      <c r="AH565" s="65" t="n"/>
      <c r="AI565" s="65" t="n"/>
      <c r="AJ565" s="65" t="n"/>
      <c r="AK565" s="65" t="n"/>
      <c r="AL565" s="65" t="n"/>
      <c r="AM565" s="65" t="n"/>
      <c r="AN565" s="65" t="n"/>
      <c r="AO565" s="65" t="n"/>
      <c r="AP565" s="65" t="n"/>
      <c r="AQ565" s="65" t="n"/>
      <c r="AR565" s="65" t="n"/>
      <c r="AS565" s="65" t="n"/>
      <c r="AT565" s="65" t="n"/>
      <c r="AU565" s="65" t="n"/>
      <c r="AV565" s="65" t="n"/>
      <c r="AW565" s="65" t="n"/>
      <c r="AX565" s="65" t="n"/>
      <c r="AY565" s="65" t="n"/>
      <c r="AZ565" s="65" t="n"/>
      <c r="BA565" s="65" t="n"/>
      <c r="BB565" s="65" t="n"/>
      <c r="BC565" s="65" t="n"/>
      <c r="BD565" s="65" t="n"/>
      <c r="BE565" s="65" t="n"/>
      <c r="BF565" s="65" t="n"/>
      <c r="BG565" s="65" t="n"/>
    </row>
    <row r="566">
      <c r="B566" s="1" t="inlineStr">
        <is>
          <t>パークハウスリシェルテ1501</t>
        </is>
      </c>
      <c r="C566" s="1" t="inlineStr">
        <is>
          <t>LIXIL</t>
        </is>
      </c>
      <c r="D566" s="1" t="inlineStr">
        <is>
          <t>UB入替　化粧台入替</t>
        </is>
      </c>
      <c r="E566" s="2" t="inlineStr">
        <is>
          <t>4月</t>
        </is>
      </c>
      <c r="F566" s="68" t="n">
        <v>334058</v>
      </c>
      <c r="G566" s="68">
        <f>IF(B566="","",F566-I566 )</f>
        <v/>
      </c>
      <c r="H566" s="5">
        <f>IF(G566="","",G566/F566)</f>
        <v/>
      </c>
      <c r="I566" s="62">
        <f>SUM(テーブル9[[#This Row],[五大]:[工場材]])</f>
        <v/>
      </c>
      <c r="J566" s="65" t="n"/>
      <c r="K566" s="65" t="n"/>
      <c r="L566" s="65" t="n"/>
      <c r="M566" s="65" t="n"/>
      <c r="N566" s="65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9" t="n">
        <v>80000</v>
      </c>
      <c r="X566" s="66" t="n">
        <v>12468</v>
      </c>
      <c r="Y566" s="65" t="n"/>
      <c r="Z566" s="65" t="n"/>
      <c r="AA566" s="69" t="n">
        <v>70000</v>
      </c>
      <c r="AB566" s="69" t="n">
        <v>140000</v>
      </c>
      <c r="AC566" s="65" t="n"/>
      <c r="AD566" s="65" t="n"/>
      <c r="AE566" s="65" t="n"/>
      <c r="AF566" s="65" t="n"/>
      <c r="AG566" s="65" t="n"/>
      <c r="AH566" s="69" t="n">
        <v>45000</v>
      </c>
      <c r="AI566" s="65" t="n"/>
      <c r="AJ566" s="65" t="n"/>
      <c r="AK566" s="65" t="n"/>
      <c r="AL566" s="65" t="n"/>
      <c r="AM566" s="65" t="n"/>
      <c r="AN566" s="65" t="n"/>
      <c r="AO566" s="65" t="n"/>
      <c r="AP566" s="65" t="n"/>
      <c r="AQ566" s="65" t="n"/>
      <c r="AR566" s="65" t="n"/>
      <c r="AS566" s="65" t="n"/>
      <c r="AT566" s="65" t="n"/>
      <c r="AU566" s="65" t="n"/>
      <c r="AV566" s="65" t="n"/>
      <c r="AW566" s="65" t="n"/>
      <c r="AX566" s="65" t="n"/>
      <c r="AY566" s="65" t="n"/>
      <c r="AZ566" s="65" t="n"/>
      <c r="BA566" s="65" t="n"/>
      <c r="BB566" s="65" t="n"/>
      <c r="BC566" s="65" t="n"/>
      <c r="BD566" s="65" t="n"/>
      <c r="BE566" s="65" t="n"/>
      <c r="BF566" s="65" t="n"/>
      <c r="BG566" s="65" t="n"/>
    </row>
    <row r="567">
      <c r="B567" s="1" t="inlineStr">
        <is>
          <t>荒井　笠松邸</t>
        </is>
      </c>
      <c r="C567" s="1" t="inlineStr">
        <is>
          <t>LIXIL</t>
        </is>
      </c>
      <c r="D567" s="1" t="inlineStr">
        <is>
          <t>浴室乾燥　洗面暖房工事</t>
        </is>
      </c>
      <c r="E567" s="2" t="inlineStr">
        <is>
          <t>4月</t>
        </is>
      </c>
      <c r="F567" s="68">
        <f>25782+32228+9208+16574+3000+7208</f>
        <v/>
      </c>
      <c r="G567" s="68">
        <f>IF(B567="","",F567-I567 )</f>
        <v/>
      </c>
      <c r="H567" s="5">
        <f>IF(G567="","",G567/F567)</f>
        <v/>
      </c>
      <c r="I567" s="62">
        <f>SUM(テーブル9[[#This Row],[五大]:[工場材]])</f>
        <v/>
      </c>
      <c r="J567" s="65" t="n"/>
      <c r="K567" s="65" t="n"/>
      <c r="L567" s="65" t="n"/>
      <c r="M567" s="65" t="n"/>
      <c r="N567" s="65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9" t="n">
        <v>16000</v>
      </c>
      <c r="X567" s="66" t="n">
        <v>7486</v>
      </c>
      <c r="Y567" s="65" t="n"/>
      <c r="Z567" s="65" t="n"/>
      <c r="AA567" s="69" t="n">
        <v>55000</v>
      </c>
      <c r="AB567" s="65" t="n"/>
      <c r="AC567" s="65" t="n"/>
      <c r="AD567" s="65" t="n"/>
      <c r="AE567" s="65" t="n"/>
      <c r="AF567" s="65" t="n"/>
      <c r="AG567" s="65" t="n"/>
      <c r="AH567" s="69" t="n">
        <v>20000</v>
      </c>
      <c r="AI567" s="65" t="n"/>
      <c r="AJ567" s="65" t="n"/>
      <c r="AK567" s="65" t="n"/>
      <c r="AL567" s="65" t="n"/>
      <c r="AM567" s="65" t="n"/>
      <c r="AN567" s="65" t="n"/>
      <c r="AO567" s="65" t="n"/>
      <c r="AP567" s="65" t="n"/>
      <c r="AQ567" s="65" t="n"/>
      <c r="AR567" s="65" t="n"/>
      <c r="AS567" s="65" t="n"/>
      <c r="AT567" s="65" t="n"/>
      <c r="AU567" s="65" t="n"/>
      <c r="AV567" s="65" t="n"/>
      <c r="AW567" s="65" t="n"/>
      <c r="AX567" s="65" t="n"/>
      <c r="AY567" s="65" t="n"/>
      <c r="AZ567" s="65" t="n"/>
      <c r="BA567" s="65" t="n"/>
      <c r="BB567" s="65" t="n"/>
      <c r="BC567" s="65" t="n"/>
      <c r="BD567" s="65" t="n"/>
      <c r="BE567" s="65" t="n"/>
      <c r="BF567" s="65" t="n"/>
      <c r="BG567" s="65" t="n"/>
    </row>
    <row r="568">
      <c r="B568" s="1" t="inlineStr">
        <is>
          <t>上杉　坂入邸</t>
        </is>
      </c>
      <c r="C568" s="1" t="inlineStr">
        <is>
          <t>LIXIL</t>
        </is>
      </c>
      <c r="D568" s="1" t="inlineStr">
        <is>
          <t>ﾚﾝｼﾞﾌｰﾄﾞ交換　キッチン水栓交換</t>
        </is>
      </c>
      <c r="E568" s="2" t="inlineStr">
        <is>
          <t>4月</t>
        </is>
      </c>
      <c r="F568" s="68" t="n">
        <v>64902</v>
      </c>
      <c r="G568" s="68">
        <f>IF(B568="","",F568-I568 )</f>
        <v/>
      </c>
      <c r="H568" s="5">
        <f>IF(G568="","",G568/F568)</f>
        <v/>
      </c>
      <c r="I568" s="62">
        <f>SUM(テーブル9[[#This Row],[五大]:[工場材]])</f>
        <v/>
      </c>
      <c r="J568" s="65" t="n"/>
      <c r="K568" s="65" t="n"/>
      <c r="L568" s="65" t="n"/>
      <c r="M568" s="65" t="n"/>
      <c r="N568" s="65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6" t="n"/>
      <c r="Y568" s="65" t="n"/>
      <c r="Z568" s="65" t="n"/>
      <c r="AA568" s="69" t="n"/>
      <c r="AB568" s="69" t="n">
        <v>12000</v>
      </c>
      <c r="AC568" s="65" t="n"/>
      <c r="AD568" s="65" t="n"/>
      <c r="AE568" s="65" t="n"/>
      <c r="AF568" s="65" t="n"/>
      <c r="AG568" s="65" t="n"/>
      <c r="AH568" s="65" t="n"/>
      <c r="AI568" s="65" t="n"/>
      <c r="AJ568" s="65" t="n"/>
      <c r="AK568" s="65" t="n"/>
      <c r="AL568" s="65" t="n"/>
      <c r="AM568" s="65" t="n"/>
      <c r="AN568" s="65" t="n"/>
      <c r="AO568" s="65" t="n"/>
      <c r="AP568" s="65" t="n"/>
      <c r="AQ568" s="65" t="n"/>
      <c r="AR568" s="65" t="n"/>
      <c r="AS568" s="65" t="n"/>
      <c r="AT568" s="65" t="n"/>
      <c r="AU568" s="65" t="n"/>
      <c r="AV568" s="65" t="n"/>
      <c r="AW568" s="65" t="n"/>
      <c r="AX568" s="65" t="n"/>
      <c r="AY568" s="65" t="n"/>
      <c r="AZ568" s="65" t="n"/>
      <c r="BA568" s="65" t="n"/>
      <c r="BB568" s="65" t="n"/>
      <c r="BC568" s="65" t="n"/>
      <c r="BD568" s="65" t="n"/>
      <c r="BE568" s="65" t="n"/>
      <c r="BF568" s="65" t="n"/>
      <c r="BG568" s="65" t="n"/>
    </row>
    <row r="569">
      <c r="B569" s="1" t="inlineStr">
        <is>
          <t>利府　田崎邸</t>
        </is>
      </c>
      <c r="C569" s="1" t="inlineStr">
        <is>
          <t>LIXIL</t>
        </is>
      </c>
      <c r="D569" s="1" t="inlineStr">
        <is>
          <t>UB入替</t>
        </is>
      </c>
      <c r="E569" s="2" t="inlineStr">
        <is>
          <t>4月</t>
        </is>
      </c>
      <c r="F569" s="68" t="n">
        <v>288809</v>
      </c>
      <c r="G569" s="68">
        <f>IF(B569="","",F569-I569 )</f>
        <v/>
      </c>
      <c r="H569" s="5">
        <f>IF(G569="","",G569/F569)</f>
        <v/>
      </c>
      <c r="I569" s="62">
        <f>SUM(テーブル9[[#This Row],[五大]:[工場材]])</f>
        <v/>
      </c>
      <c r="J569" s="65" t="n"/>
      <c r="K569" s="65" t="n"/>
      <c r="L569" s="65" t="n"/>
      <c r="M569" s="65" t="n"/>
      <c r="N569" s="65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9" t="n">
        <v>75000</v>
      </c>
      <c r="X569" s="66" t="n">
        <v>9695</v>
      </c>
      <c r="Y569" s="65" t="n"/>
      <c r="Z569" s="65" t="n"/>
      <c r="AA569" s="69" t="n">
        <v>45000</v>
      </c>
      <c r="AB569" s="69" t="n">
        <v>110000</v>
      </c>
      <c r="AC569" s="65" t="n"/>
      <c r="AD569" s="65" t="n"/>
      <c r="AE569" s="65" t="n"/>
      <c r="AF569" s="65" t="n"/>
      <c r="AG569" s="65" t="n"/>
      <c r="AH569" s="65" t="n"/>
      <c r="AI569" s="65" t="n"/>
      <c r="AJ569" s="65" t="n"/>
      <c r="AK569" s="65" t="n"/>
      <c r="AL569" s="65" t="n"/>
      <c r="AM569" s="65" t="n"/>
      <c r="AN569" s="65" t="n"/>
      <c r="AO569" s="65" t="n"/>
      <c r="AP569" s="65" t="n"/>
      <c r="AQ569" s="65" t="n"/>
      <c r="AR569" s="65" t="n"/>
      <c r="AS569" s="65" t="n"/>
      <c r="AT569" s="65" t="n"/>
      <c r="AU569" s="65" t="n"/>
      <c r="AV569" s="65" t="n"/>
      <c r="AW569" s="65" t="n"/>
      <c r="AX569" s="65" t="n"/>
      <c r="AY569" s="65" t="n"/>
      <c r="AZ569" s="65" t="n"/>
      <c r="BA569" s="65" t="n"/>
      <c r="BB569" s="65" t="n"/>
      <c r="BC569" s="65" t="n"/>
      <c r="BD569" s="65" t="n"/>
      <c r="BE569" s="65" t="n"/>
      <c r="BF569" s="65" t="n"/>
      <c r="BG569" s="65" t="n"/>
    </row>
    <row r="570">
      <c r="B570" s="1" t="inlineStr">
        <is>
          <t>ガッツレンタカー</t>
        </is>
      </c>
      <c r="C570" s="1" t="inlineStr">
        <is>
          <t>光和工業</t>
        </is>
      </c>
      <c r="E570" s="2" t="inlineStr">
        <is>
          <t>4月</t>
        </is>
      </c>
      <c r="F570" s="68" t="n"/>
      <c r="G570" s="68">
        <f>IF(B570="","",F570-I570 )</f>
        <v/>
      </c>
      <c r="H570" s="5">
        <f>IF(OR(G570="",F570=0),"",G570/F570)</f>
        <v/>
      </c>
      <c r="I570" s="62">
        <f>SUM(テーブル9[[#This Row],[五大]:[工場材]])</f>
        <v/>
      </c>
      <c r="J570" s="65" t="n"/>
      <c r="K570" s="65" t="n"/>
      <c r="L570" s="65" t="n"/>
      <c r="M570" s="65" t="n"/>
      <c r="N570" s="65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6" t="n"/>
      <c r="Y570" s="65" t="n"/>
      <c r="Z570" s="65" t="n"/>
      <c r="AA570" s="69" t="n">
        <v>60000</v>
      </c>
      <c r="AB570" s="69" t="n"/>
      <c r="AC570" s="65" t="n"/>
      <c r="AD570" s="65" t="n"/>
      <c r="AE570" s="65" t="n"/>
      <c r="AF570" s="65" t="n"/>
      <c r="AG570" s="65" t="n"/>
      <c r="AH570" s="65" t="n"/>
      <c r="AI570" s="65" t="n"/>
      <c r="AJ570" s="65" t="n"/>
      <c r="AK570" s="65" t="n"/>
      <c r="AL570" s="65" t="n"/>
      <c r="AM570" s="65" t="n"/>
      <c r="AN570" s="65" t="n"/>
      <c r="AO570" s="65" t="n"/>
      <c r="AP570" s="65" t="n"/>
      <c r="AQ570" s="65" t="n"/>
      <c r="AR570" s="65" t="n"/>
      <c r="AS570" s="65" t="n"/>
      <c r="AT570" s="65" t="n"/>
      <c r="AU570" s="65" t="n"/>
      <c r="AV570" s="65" t="n"/>
      <c r="AW570" s="65" t="n"/>
      <c r="AX570" s="65" t="n"/>
      <c r="AY570" s="65" t="n"/>
      <c r="AZ570" s="65" t="n"/>
      <c r="BA570" s="65" t="n"/>
      <c r="BB570" s="65" t="n"/>
      <c r="BC570" s="65" t="n"/>
      <c r="BD570" s="65" t="n"/>
      <c r="BE570" s="65" t="n"/>
      <c r="BF570" s="65" t="n"/>
      <c r="BG570" s="65" t="n"/>
    </row>
    <row r="571">
      <c r="B571" s="1" t="inlineStr">
        <is>
          <t>登米宝江　北川さん</t>
        </is>
      </c>
      <c r="C571" s="1" t="inlineStr">
        <is>
          <t>光和工業</t>
        </is>
      </c>
      <c r="D571" s="1" t="inlineStr">
        <is>
          <t>植栽剪定</t>
        </is>
      </c>
      <c r="E571" s="2" t="inlineStr">
        <is>
          <t>4月</t>
        </is>
      </c>
      <c r="F571" s="68" t="n">
        <v>680000</v>
      </c>
      <c r="G571" s="68">
        <f>IF(B571="","",F571-I571 )</f>
        <v/>
      </c>
      <c r="H571" s="5">
        <f>IF(G571="","",G571/F571)</f>
        <v/>
      </c>
      <c r="I571" s="62">
        <f>SUM(テーブル9[[#This Row],[五大]:[工場材]])</f>
        <v/>
      </c>
      <c r="J571" s="65" t="n"/>
      <c r="K571" s="65" t="n"/>
      <c r="L571" s="65" t="n"/>
      <c r="M571" s="65" t="n"/>
      <c r="N571" s="65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6" t="n"/>
      <c r="Y571" s="65" t="n"/>
      <c r="Z571" s="65" t="n"/>
      <c r="AA571" s="65" t="n"/>
      <c r="AB571" s="69" t="n"/>
      <c r="AC571" s="65" t="n"/>
      <c r="AD571" s="65" t="n"/>
      <c r="AE571" s="65" t="n"/>
      <c r="AF571" s="65" t="n"/>
      <c r="AG571" s="65" t="n"/>
      <c r="AH571" s="65" t="n"/>
      <c r="AI571" s="65" t="n"/>
      <c r="AJ571" s="65" t="n"/>
      <c r="AK571" s="65" t="n"/>
      <c r="AL571" s="65" t="n"/>
      <c r="AM571" s="65" t="n"/>
      <c r="AN571" s="65" t="n"/>
      <c r="AO571" s="65" t="n"/>
      <c r="AP571" s="65" t="n"/>
      <c r="AQ571" s="65" t="n"/>
      <c r="AR571" s="65" t="n"/>
      <c r="AS571" s="65" t="n"/>
      <c r="AT571" s="65" t="n"/>
      <c r="AU571" s="65" t="n"/>
      <c r="AV571" s="65" t="n"/>
      <c r="AW571" s="65" t="n"/>
      <c r="AX571" s="65" t="n"/>
      <c r="AY571" s="65" t="n"/>
      <c r="AZ571" s="65" t="n"/>
      <c r="BA571" s="65" t="n"/>
      <c r="BB571" s="65" t="n"/>
      <c r="BC571" s="65" t="n"/>
      <c r="BD571" s="65" t="n"/>
      <c r="BE571" s="65" t="n"/>
      <c r="BF571" s="64" t="n">
        <v>535000</v>
      </c>
      <c r="BG571" s="65" t="n"/>
    </row>
    <row r="572">
      <c r="B572" s="1" t="inlineStr">
        <is>
          <t>平地邸</t>
        </is>
      </c>
      <c r="C572" s="1" t="inlineStr">
        <is>
          <t>光和工業</t>
        </is>
      </c>
      <c r="D572" s="1" t="inlineStr">
        <is>
          <t>ヒーター巻き トイレ交換 水栓交換</t>
        </is>
      </c>
      <c r="E572" s="2" t="inlineStr">
        <is>
          <t>4月</t>
        </is>
      </c>
      <c r="F572" s="68" t="n">
        <v>327273</v>
      </c>
      <c r="G572" s="68">
        <f>IF(B572="","",F572-I572 )</f>
        <v/>
      </c>
      <c r="H572" s="5">
        <f>IF(G572="","",G572/F572)</f>
        <v/>
      </c>
      <c r="I572" s="62">
        <f>SUM(テーブル9[[#This Row],[五大]:[工場材]])</f>
        <v/>
      </c>
      <c r="J572" s="65" t="n"/>
      <c r="K572" s="65" t="n"/>
      <c r="L572" s="65" t="n"/>
      <c r="M572" s="65" t="n"/>
      <c r="N572" s="65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6" t="n"/>
      <c r="Y572" s="65" t="n"/>
      <c r="Z572" s="65" t="n"/>
      <c r="AA572" s="65" t="n"/>
      <c r="AB572" s="69" t="n">
        <v>153000</v>
      </c>
      <c r="AC572" s="65" t="n"/>
      <c r="AD572" s="65" t="n"/>
      <c r="AE572" s="65" t="n"/>
      <c r="AF572" s="65" t="n"/>
      <c r="AG572" s="65" t="n"/>
      <c r="AH572" s="65" t="n"/>
      <c r="AI572" s="65" t="n"/>
      <c r="AJ572" s="65" t="n"/>
      <c r="AK572" s="65" t="n"/>
      <c r="AL572" s="65" t="n"/>
      <c r="AM572" s="65" t="n"/>
      <c r="AN572" s="65" t="n"/>
      <c r="AO572" s="65" t="n"/>
      <c r="AP572" s="69">
        <f>21200+31000+44400+2145+7700</f>
        <v/>
      </c>
      <c r="AQ572" s="69" t="n"/>
      <c r="AR572" s="65" t="n"/>
      <c r="AS572" s="65" t="n"/>
      <c r="AT572" s="65" t="n"/>
      <c r="AU572" s="65" t="n"/>
      <c r="AV572" s="65" t="n"/>
      <c r="AW572" s="65" t="n"/>
      <c r="AX572" s="65" t="n"/>
      <c r="AY572" s="65" t="n"/>
      <c r="AZ572" s="65" t="n"/>
      <c r="BA572" s="65" t="n"/>
      <c r="BB572" s="65" t="n"/>
      <c r="BC572" s="65" t="n"/>
      <c r="BD572" s="65" t="n"/>
      <c r="BE572" s="65" t="n"/>
      <c r="BF572" s="65" t="n"/>
      <c r="BG572" s="65" t="n"/>
    </row>
    <row r="573">
      <c r="B573" s="1" t="inlineStr">
        <is>
          <t>山王　戸建て</t>
        </is>
      </c>
      <c r="C573" s="1" t="inlineStr">
        <is>
          <t>光和工業</t>
        </is>
      </c>
      <c r="D573" s="1" t="inlineStr">
        <is>
          <t>東杜シーテック　漏水工事</t>
        </is>
      </c>
      <c r="E573" s="2" t="inlineStr">
        <is>
          <t>4月</t>
        </is>
      </c>
      <c r="F573" s="68" t="n">
        <v>293000</v>
      </c>
      <c r="G573" s="68">
        <f>IF(B573="","",F573-I573 )</f>
        <v/>
      </c>
      <c r="H573" s="5">
        <f>IF(G573="","",G573/F573)</f>
        <v/>
      </c>
      <c r="I573" s="62">
        <f>SUM(テーブル9[[#This Row],[五大]:[工場材]])</f>
        <v/>
      </c>
      <c r="J573" s="65" t="n"/>
      <c r="K573" s="65" t="n"/>
      <c r="L573" s="65" t="n"/>
      <c r="M573" s="65" t="n"/>
      <c r="N573" s="65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9" t="n">
        <v>20000</v>
      </c>
      <c r="X573" s="66" t="n">
        <v>4698</v>
      </c>
      <c r="Y573" s="65" t="n"/>
      <c r="Z573" s="65" t="n"/>
      <c r="AA573" s="65" t="n"/>
      <c r="AB573" s="69" t="n">
        <v>161000</v>
      </c>
      <c r="AC573" s="65" t="n"/>
      <c r="AD573" s="65" t="n"/>
      <c r="AE573" s="65" t="n"/>
      <c r="AF573" s="65" t="n"/>
      <c r="AG573" s="65" t="n"/>
      <c r="AH573" s="65" t="n"/>
      <c r="AI573" s="65" t="n"/>
      <c r="AJ573" s="65" t="n"/>
      <c r="AK573" s="65" t="n"/>
      <c r="AL573" s="65" t="n"/>
      <c r="AM573" s="65" t="n"/>
      <c r="AN573" s="65" t="n"/>
      <c r="AO573" s="65" t="n"/>
      <c r="AP573" s="65" t="n"/>
      <c r="AQ573" s="65" t="n"/>
      <c r="AR573" s="65" t="n"/>
      <c r="AS573" s="65" t="n"/>
      <c r="AT573" s="65" t="n"/>
      <c r="AU573" s="65" t="n"/>
      <c r="AV573" s="65" t="n"/>
      <c r="AW573" s="65" t="n"/>
      <c r="AX573" s="65" t="n"/>
      <c r="AY573" s="65" t="n"/>
      <c r="AZ573" s="65" t="n"/>
      <c r="BA573" s="65" t="n"/>
      <c r="BB573" s="65" t="n"/>
      <c r="BC573" s="65" t="n"/>
      <c r="BD573" s="65" t="n"/>
      <c r="BE573" s="65" t="n"/>
      <c r="BF573" s="65" t="n"/>
      <c r="BG573" s="65" t="n"/>
    </row>
    <row r="574">
      <c r="B574" s="1" t="inlineStr">
        <is>
          <t>シャーメゾン榴岡107</t>
        </is>
      </c>
      <c r="C574" s="1" t="inlineStr">
        <is>
          <t>光和工業</t>
        </is>
      </c>
      <c r="D574" s="1" t="inlineStr">
        <is>
          <t>吸着フロア張り</t>
        </is>
      </c>
      <c r="E574" s="2" t="inlineStr">
        <is>
          <t>4月</t>
        </is>
      </c>
      <c r="F574" s="68" t="n">
        <v>74000</v>
      </c>
      <c r="G574" s="68">
        <f>IF(B574="","",F574-I574 )</f>
        <v/>
      </c>
      <c r="H574" s="5">
        <f>IF(G574="","",G574/F574)</f>
        <v/>
      </c>
      <c r="I574" s="62">
        <f>SUM(テーブル9[[#This Row],[五大]:[工場材]])</f>
        <v/>
      </c>
      <c r="J574" s="65" t="n"/>
      <c r="K574" s="65" t="n"/>
      <c r="L574" s="65" t="n"/>
      <c r="M574" s="65" t="n"/>
      <c r="N574" s="65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9" t="n">
        <v>24000</v>
      </c>
      <c r="X574" s="66" t="n"/>
      <c r="Y574" s="65" t="n"/>
      <c r="Z574" s="65" t="n"/>
      <c r="AA574" s="65" t="n"/>
      <c r="AB574" s="69" t="n"/>
      <c r="AC574" s="65" t="n"/>
      <c r="AD574" s="65" t="n"/>
      <c r="AE574" s="65" t="n"/>
      <c r="AF574" s="65" t="n"/>
      <c r="AG574" s="65" t="n"/>
      <c r="AH574" s="65" t="n"/>
      <c r="AI574" s="65" t="n"/>
      <c r="AJ574" s="65" t="n"/>
      <c r="AK574" s="65" t="n"/>
      <c r="AL574" s="65" t="n"/>
      <c r="AM574" s="65" t="n"/>
      <c r="AN574" s="65" t="n"/>
      <c r="AO574" s="65" t="n"/>
      <c r="AP574" s="65" t="n"/>
      <c r="AQ574" s="65" t="n"/>
      <c r="AR574" s="65" t="n"/>
      <c r="AS574" s="65" t="n"/>
      <c r="AT574" s="65" t="n"/>
      <c r="AU574" s="65" t="n"/>
      <c r="AV574" s="65" t="n"/>
      <c r="AW574" s="65" t="n"/>
      <c r="AX574" s="65" t="n"/>
      <c r="AY574" s="65" t="n"/>
      <c r="AZ574" s="65" t="n"/>
      <c r="BA574" s="65" t="n"/>
      <c r="BB574" s="65" t="n"/>
      <c r="BC574" s="65" t="n"/>
      <c r="BD574" s="65" t="n"/>
      <c r="BE574" s="65" t="n"/>
      <c r="BF574" s="65" t="n"/>
      <c r="BG574" s="65" t="n"/>
    </row>
    <row r="575">
      <c r="B575" s="1" t="inlineStr">
        <is>
          <t>シャーメゾン榴岡107</t>
        </is>
      </c>
      <c r="C575" s="1" t="inlineStr">
        <is>
          <t>光和工業</t>
        </is>
      </c>
      <c r="D575" s="1" t="inlineStr">
        <is>
          <t>バルコニータイル　浴室水栓</t>
        </is>
      </c>
      <c r="E575" s="2" t="inlineStr">
        <is>
          <t>4月</t>
        </is>
      </c>
      <c r="F575" s="68" t="n">
        <v>67000</v>
      </c>
      <c r="G575" s="68">
        <f>IF(B575="","",F575-I575 )</f>
        <v/>
      </c>
      <c r="H575" s="5">
        <f>IF(G575="","",G575/F575)</f>
        <v/>
      </c>
      <c r="I575" s="62">
        <f>SUM(テーブル9[[#This Row],[五大]:[工場材]])</f>
        <v/>
      </c>
      <c r="J575" s="65" t="n"/>
      <c r="K575" s="65" t="n"/>
      <c r="L575" s="65" t="n"/>
      <c r="M575" s="65" t="n"/>
      <c r="N575" s="65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6" t="n"/>
      <c r="Y575" s="65" t="n"/>
      <c r="Z575" s="65" t="n"/>
      <c r="AA575" s="65" t="n"/>
      <c r="AB575" s="69" t="n">
        <v>12000</v>
      </c>
      <c r="AC575" s="65" t="n"/>
      <c r="AD575" s="65" t="n"/>
      <c r="AE575" s="65" t="n"/>
      <c r="AF575" s="65" t="n"/>
      <c r="AG575" s="65" t="n"/>
      <c r="AH575" s="65" t="n"/>
      <c r="AI575" s="65" t="n"/>
      <c r="AJ575" s="65" t="n"/>
      <c r="AK575" s="65" t="n"/>
      <c r="AL575" s="65" t="n"/>
      <c r="AM575" s="65" t="n"/>
      <c r="AN575" s="65" t="n"/>
      <c r="AO575" s="65" t="n"/>
      <c r="AP575" s="65" t="n"/>
      <c r="AQ575" s="65" t="n"/>
      <c r="AR575" s="65" t="n"/>
      <c r="AS575" s="65" t="n"/>
      <c r="AT575" s="65" t="n"/>
      <c r="AU575" s="65" t="n"/>
      <c r="AV575" s="65" t="n"/>
      <c r="AW575" s="65" t="n"/>
      <c r="AX575" s="65" t="n"/>
      <c r="AY575" s="65" t="n"/>
      <c r="AZ575" s="65" t="n"/>
      <c r="BA575" s="65" t="n"/>
      <c r="BB575" s="65" t="n"/>
      <c r="BC575" s="65" t="n"/>
      <c r="BD575" s="65" t="n"/>
      <c r="BE575" s="65" t="n"/>
      <c r="BF575" s="65" t="n"/>
      <c r="BG575" s="65" t="n"/>
    </row>
    <row r="576">
      <c r="B576" s="1" t="inlineStr">
        <is>
          <t>南明ハイツ206</t>
        </is>
      </c>
      <c r="C576" s="1" t="inlineStr">
        <is>
          <t>光和工業</t>
        </is>
      </c>
      <c r="D576" s="1" t="inlineStr">
        <is>
          <t>雨漏れ　内装</t>
        </is>
      </c>
      <c r="E576" s="2" t="inlineStr">
        <is>
          <t>4月</t>
        </is>
      </c>
      <c r="F576" s="68" t="n">
        <v>99000</v>
      </c>
      <c r="G576" s="68">
        <f>IF(B576="","",F576-I576 )</f>
        <v/>
      </c>
      <c r="H576" s="5">
        <f>IF(G576="","",G576/F576)</f>
        <v/>
      </c>
      <c r="I576" s="62">
        <f>SUM(テーブル9[[#This Row],[五大]:[工場材]])</f>
        <v/>
      </c>
      <c r="J576" s="65" t="n"/>
      <c r="K576" s="65" t="n"/>
      <c r="L576" s="65" t="n"/>
      <c r="M576" s="65" t="n"/>
      <c r="N576" s="65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9" t="n">
        <v>62000</v>
      </c>
      <c r="X576" s="66" t="n">
        <v>5744</v>
      </c>
      <c r="Y576" s="65" t="n"/>
      <c r="Z576" s="65" t="n"/>
      <c r="AA576" s="65" t="n"/>
      <c r="AB576" s="65" t="n"/>
      <c r="AC576" s="65" t="n"/>
      <c r="AD576" s="65" t="n"/>
      <c r="AE576" s="65" t="n"/>
      <c r="AF576" s="65" t="n"/>
      <c r="AG576" s="65" t="n"/>
      <c r="AH576" s="65" t="n"/>
      <c r="AI576" s="65" t="n"/>
      <c r="AJ576" s="65" t="n"/>
      <c r="AK576" s="65" t="n"/>
      <c r="AL576" s="65" t="n"/>
      <c r="AM576" s="65" t="n"/>
      <c r="AN576" s="65" t="n"/>
      <c r="AO576" s="65" t="n"/>
      <c r="AP576" s="65" t="n"/>
      <c r="AQ576" s="65" t="n"/>
      <c r="AR576" s="65" t="n"/>
      <c r="AS576" s="65" t="n"/>
      <c r="AT576" s="65" t="n"/>
      <c r="AU576" s="65" t="n"/>
      <c r="AV576" s="65" t="n"/>
      <c r="AW576" s="65" t="n"/>
      <c r="AX576" s="65" t="n"/>
      <c r="AY576" s="65" t="n"/>
      <c r="AZ576" s="65" t="n"/>
      <c r="BA576" s="65" t="n"/>
      <c r="BB576" s="65" t="n"/>
      <c r="BC576" s="65" t="n"/>
      <c r="BD576" s="65" t="n"/>
      <c r="BE576" s="65" t="n"/>
      <c r="BF576" s="65" t="n"/>
      <c r="BG576" s="65" t="n"/>
    </row>
    <row r="577">
      <c r="F577" s="68" t="n"/>
      <c r="G577" s="68">
        <f>IF(B577="","",F577-I577 )</f>
        <v/>
      </c>
      <c r="H577" s="5">
        <f>IF(G577="","",G577/F577)</f>
        <v/>
      </c>
      <c r="I577" s="62">
        <f>SUM(テーブル9[[#This Row],[五大]:[工場材]])</f>
        <v/>
      </c>
      <c r="J577" s="65" t="n"/>
      <c r="K577" s="65" t="n"/>
      <c r="L577" s="65" t="n"/>
      <c r="M577" s="65" t="n"/>
      <c r="N577" s="65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9" t="n"/>
      <c r="X577" s="66" t="n"/>
      <c r="Y577" s="65" t="n"/>
      <c r="Z577" s="65" t="n"/>
      <c r="AA577" s="65" t="n"/>
      <c r="AB577" s="65" t="n"/>
      <c r="AC577" s="65" t="n"/>
      <c r="AD577" s="65" t="n"/>
      <c r="AE577" s="65" t="n"/>
      <c r="AF577" s="65" t="n"/>
      <c r="AG577" s="65" t="n"/>
      <c r="AH577" s="65" t="n"/>
      <c r="AI577" s="65" t="n"/>
      <c r="AJ577" s="65" t="n"/>
      <c r="AK577" s="65" t="n"/>
      <c r="AL577" s="65" t="n"/>
      <c r="AM577" s="65" t="n"/>
      <c r="AN577" s="65" t="n"/>
      <c r="AO577" s="65" t="n"/>
      <c r="AP577" s="65" t="n"/>
      <c r="AQ577" s="65" t="n"/>
      <c r="AR577" s="65" t="n"/>
      <c r="AS577" s="65" t="n"/>
      <c r="AT577" s="65" t="n"/>
      <c r="AU577" s="65" t="n"/>
      <c r="AV577" s="65" t="n"/>
      <c r="AW577" s="65" t="n"/>
      <c r="AX577" s="65" t="n"/>
      <c r="AY577" s="65" t="n"/>
      <c r="AZ577" s="65" t="n"/>
      <c r="BA577" s="65" t="n"/>
      <c r="BB577" s="65" t="n"/>
      <c r="BC577" s="65" t="n"/>
      <c r="BD577" s="65" t="n"/>
      <c r="BE577" s="65" t="n"/>
      <c r="BF577" s="65" t="n"/>
      <c r="BG577" s="65" t="n"/>
    </row>
    <row r="578">
      <c r="B578" s="1" t="inlineStr">
        <is>
          <t>あすと長町レジデンシャルタワー2008</t>
        </is>
      </c>
      <c r="C578" s="1" t="inlineStr">
        <is>
          <t>LIXIL</t>
        </is>
      </c>
      <c r="D578" s="1" t="inlineStr">
        <is>
          <t>エコカラット</t>
        </is>
      </c>
      <c r="E578" s="2" t="inlineStr">
        <is>
          <t>5月</t>
        </is>
      </c>
      <c r="F578" s="68" t="n">
        <v>76150</v>
      </c>
      <c r="G578" s="68">
        <f>IF(B578="","",F578-I578 )</f>
        <v/>
      </c>
      <c r="H578" s="5">
        <f>IF(G578="","",G578/F578)</f>
        <v/>
      </c>
      <c r="I578" s="62">
        <f>SUM(テーブル9[[#This Row],[五大]:[工場材]])</f>
        <v/>
      </c>
      <c r="J578" s="65" t="n"/>
      <c r="K578" s="65" t="n"/>
      <c r="L578" s="65" t="n"/>
      <c r="M578" s="65" t="n"/>
      <c r="N578" s="65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9">
        <f>50000</f>
        <v/>
      </c>
      <c r="X578" s="66" t="n">
        <v>8426</v>
      </c>
      <c r="Y578" s="65" t="n"/>
      <c r="Z578" s="65" t="n"/>
      <c r="AA578" s="65" t="n"/>
      <c r="AB578" s="69" t="n"/>
      <c r="AC578" s="65" t="n"/>
      <c r="AD578" s="65" t="n"/>
      <c r="AE578" s="65" t="n"/>
      <c r="AF578" s="65" t="n"/>
      <c r="AG578" s="65" t="n"/>
      <c r="AH578" s="69" t="n"/>
      <c r="AI578" s="65" t="n"/>
      <c r="AJ578" s="65" t="n"/>
      <c r="AK578" s="65" t="n"/>
      <c r="AL578" s="65" t="n"/>
      <c r="AM578" s="65" t="n"/>
      <c r="AN578" s="65" t="n"/>
      <c r="AO578" s="65" t="n"/>
      <c r="AP578" s="65" t="n"/>
      <c r="AQ578" s="65" t="n"/>
      <c r="AR578" s="65" t="n"/>
      <c r="AS578" s="65" t="n"/>
      <c r="AT578" s="65" t="n"/>
      <c r="AU578" s="65" t="n"/>
      <c r="AV578" s="65" t="n"/>
      <c r="AW578" s="65" t="n"/>
      <c r="AX578" s="65" t="n"/>
      <c r="AY578" s="65" t="n"/>
      <c r="AZ578" s="65" t="n"/>
      <c r="BA578" s="65" t="n"/>
      <c r="BB578" s="65" t="n"/>
      <c r="BC578" s="65" t="n"/>
      <c r="BD578" s="65" t="n"/>
      <c r="BE578" s="65" t="n"/>
      <c r="BF578" s="65" t="n"/>
      <c r="BG578" s="65" t="n"/>
    </row>
    <row r="579">
      <c r="B579" s="1" t="inlineStr">
        <is>
          <t>パークハウスリシェルテ1507</t>
        </is>
      </c>
      <c r="C579" s="1" t="inlineStr">
        <is>
          <t>LIXIL</t>
        </is>
      </c>
      <c r="D579" s="1" t="inlineStr">
        <is>
          <t>キッチン・UB・トイレ</t>
        </is>
      </c>
      <c r="E579" s="2" t="inlineStr">
        <is>
          <t>5月</t>
        </is>
      </c>
      <c r="F579" s="68" t="n">
        <v>436560</v>
      </c>
      <c r="G579" s="68">
        <f>IF(B579="","",F579-I579 )</f>
        <v/>
      </c>
      <c r="H579" s="5">
        <f>IF(G579="","",G579/F579)</f>
        <v/>
      </c>
      <c r="I579" s="62">
        <f>SUM(テーブル9[[#This Row],[五大]:[工場材]])</f>
        <v/>
      </c>
      <c r="J579" s="65" t="n"/>
      <c r="K579" s="65" t="n"/>
      <c r="L579" s="65" t="n"/>
      <c r="M579" s="65" t="n"/>
      <c r="N579" s="65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9" t="n">
        <v>110000</v>
      </c>
      <c r="X579" s="66" t="n">
        <v>15764</v>
      </c>
      <c r="Y579" s="65" t="n"/>
      <c r="Z579" s="65" t="n"/>
      <c r="AA579" s="69" t="n">
        <v>90000</v>
      </c>
      <c r="AB579" s="69" t="n">
        <v>108000</v>
      </c>
      <c r="AC579" s="65" t="n"/>
      <c r="AD579" s="65" t="n"/>
      <c r="AE579" s="65" t="n"/>
      <c r="AF579" s="65" t="n"/>
      <c r="AG579" s="65" t="n"/>
      <c r="AH579" s="69" t="n">
        <v>55000</v>
      </c>
      <c r="AI579" s="65" t="n"/>
      <c r="AJ579" s="65" t="n"/>
      <c r="AK579" s="65" t="n"/>
      <c r="AL579" s="65" t="n"/>
      <c r="AM579" s="65" t="n"/>
      <c r="AN579" s="65" t="n"/>
      <c r="AO579" s="65" t="n"/>
      <c r="AP579" s="65" t="n"/>
      <c r="AQ579" s="65" t="n"/>
      <c r="AR579" s="65" t="n"/>
      <c r="AS579" s="65" t="n"/>
      <c r="AT579" s="65" t="n"/>
      <c r="AU579" s="65" t="n"/>
      <c r="AV579" s="65" t="n"/>
      <c r="AW579" s="65" t="n"/>
      <c r="AX579" s="65" t="n"/>
      <c r="AY579" s="65" t="n"/>
      <c r="AZ579" s="65" t="n"/>
      <c r="BA579" s="65" t="n"/>
      <c r="BB579" s="65" t="n"/>
      <c r="BC579" s="65" t="n"/>
      <c r="BD579" s="65" t="n"/>
      <c r="BE579" s="65" t="n"/>
      <c r="BF579" s="65" t="n"/>
      <c r="BG579" s="65" t="n"/>
    </row>
    <row r="580">
      <c r="B580" s="1" t="inlineStr">
        <is>
          <t>パークハウスリシェルテ802</t>
        </is>
      </c>
      <c r="C580" s="1" t="inlineStr">
        <is>
          <t>LIXIL</t>
        </is>
      </c>
      <c r="D580" s="1" t="inlineStr">
        <is>
          <t>トイレ交換　エコカラット　インプラス枠</t>
        </is>
      </c>
      <c r="E580" s="2" t="inlineStr">
        <is>
          <t>5月</t>
        </is>
      </c>
      <c r="F580" s="68" t="n">
        <v>117902</v>
      </c>
      <c r="G580" s="68">
        <f>IF(B580="","",F580-I580 )</f>
        <v/>
      </c>
      <c r="H580" s="5">
        <f>IF(G580="","",G580/F580)</f>
        <v/>
      </c>
      <c r="I580" s="62">
        <f>SUM(テーブル9[[#This Row],[五大]:[工場材]])</f>
        <v/>
      </c>
      <c r="J580" s="65" t="n"/>
      <c r="K580" s="65" t="n"/>
      <c r="L580" s="65" t="n"/>
      <c r="M580" s="65" t="n"/>
      <c r="N580" s="65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9" t="n">
        <v>25000</v>
      </c>
      <c r="X580" s="66" t="n">
        <v>2312</v>
      </c>
      <c r="Y580" s="65" t="n"/>
      <c r="Z580" s="65" t="n"/>
      <c r="AA580" s="69" t="n">
        <v>15000</v>
      </c>
      <c r="AB580" s="69" t="n">
        <v>59000</v>
      </c>
      <c r="AC580" s="65" t="n"/>
      <c r="AD580" s="65" t="n"/>
      <c r="AE580" s="65" t="n"/>
      <c r="AF580" s="65" t="n"/>
      <c r="AG580" s="65" t="n"/>
      <c r="AH580" s="69" t="n">
        <v>35000</v>
      </c>
      <c r="AI580" s="65" t="n"/>
      <c r="AJ580" s="65" t="n"/>
      <c r="AK580" s="65" t="n"/>
      <c r="AL580" s="65" t="n"/>
      <c r="AM580" s="65" t="n"/>
      <c r="AN580" s="65" t="n"/>
      <c r="AO580" s="65" t="n"/>
      <c r="AP580" s="65" t="n"/>
      <c r="AQ580" s="65" t="n"/>
      <c r="AR580" s="65" t="n"/>
      <c r="AS580" s="65" t="n"/>
      <c r="AT580" s="65" t="n"/>
      <c r="AU580" s="65" t="n"/>
      <c r="AV580" s="65" t="n"/>
      <c r="AW580" s="65" t="n"/>
      <c r="AX580" s="65" t="n"/>
      <c r="AY580" s="65" t="n"/>
      <c r="AZ580" s="65" t="n"/>
      <c r="BA580" s="65" t="n"/>
      <c r="BB580" s="65" t="n"/>
      <c r="BC580" s="65" t="n"/>
      <c r="BD580" s="65" t="n"/>
      <c r="BE580" s="65" t="n"/>
      <c r="BF580" s="65" t="n"/>
      <c r="BG580" s="65" t="n"/>
    </row>
    <row r="581">
      <c r="B581" s="1" t="inlineStr">
        <is>
          <t>パークハウス米ケ袋305</t>
        </is>
      </c>
      <c r="C581" s="1" t="inlineStr">
        <is>
          <t>LIXIL</t>
        </is>
      </c>
      <c r="D581" s="1" t="inlineStr">
        <is>
          <t>ｽｲｯﾁ追加　絵k商大LED</t>
        </is>
      </c>
      <c r="E581" s="2" t="inlineStr">
        <is>
          <t>5月</t>
        </is>
      </c>
      <c r="F581" s="68" t="n">
        <v>74500</v>
      </c>
      <c r="G581" s="68">
        <f>IF(B581="","",F581-I581 )</f>
        <v/>
      </c>
      <c r="H581" s="5">
        <f>IF(G581="","",G581/F581)</f>
        <v/>
      </c>
      <c r="I581" s="62">
        <f>SUM(テーブル9[[#This Row],[五大]:[工場材]])</f>
        <v/>
      </c>
      <c r="J581" s="65" t="n"/>
      <c r="K581" s="65" t="n"/>
      <c r="L581" s="65" t="n"/>
      <c r="M581" s="65" t="n"/>
      <c r="N581" s="65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9" t="n"/>
      <c r="X581" s="66" t="n"/>
      <c r="Y581" s="65" t="n"/>
      <c r="Z581" s="65" t="n"/>
      <c r="AA581" s="69" t="n">
        <v>70000</v>
      </c>
      <c r="AB581" s="69" t="n"/>
      <c r="AC581" s="65" t="n"/>
      <c r="AD581" s="65" t="n"/>
      <c r="AE581" s="65" t="n"/>
      <c r="AF581" s="65" t="n"/>
      <c r="AG581" s="65" t="n"/>
      <c r="AH581" s="69" t="n"/>
      <c r="AI581" s="65" t="n"/>
      <c r="AJ581" s="65" t="n"/>
      <c r="AK581" s="65" t="n"/>
      <c r="AL581" s="65" t="n"/>
      <c r="AM581" s="65" t="n"/>
      <c r="AN581" s="65" t="n"/>
      <c r="AO581" s="65" t="n"/>
      <c r="AP581" s="65" t="n"/>
      <c r="AQ581" s="65" t="n"/>
      <c r="AR581" s="65" t="n"/>
      <c r="AS581" s="65" t="n"/>
      <c r="AT581" s="65" t="n"/>
      <c r="AU581" s="65" t="n"/>
      <c r="AV581" s="65" t="n"/>
      <c r="AW581" s="65" t="n"/>
      <c r="AX581" s="65" t="n"/>
      <c r="AY581" s="65" t="n"/>
      <c r="AZ581" s="65" t="n"/>
      <c r="BA581" s="65" t="n"/>
      <c r="BB581" s="65" t="n"/>
      <c r="BC581" s="65" t="n"/>
      <c r="BD581" s="65" t="n"/>
      <c r="BE581" s="65" t="n"/>
      <c r="BF581" s="65" t="n"/>
      <c r="BG581" s="65" t="n"/>
    </row>
    <row r="582">
      <c r="B582" s="1" t="inlineStr">
        <is>
          <t>パークハウスリシェルテ1003</t>
        </is>
      </c>
      <c r="C582" s="1" t="inlineStr">
        <is>
          <t>LIXIL</t>
        </is>
      </c>
      <c r="D582" s="1" t="inlineStr">
        <is>
          <t>インプラス枠　壁断熱工事</t>
        </is>
      </c>
      <c r="E582" s="2" t="inlineStr">
        <is>
          <t>5月</t>
        </is>
      </c>
      <c r="F582" s="68" t="n">
        <v>203082</v>
      </c>
      <c r="G582" s="68">
        <f>IF(B582="","",F582-I582 )</f>
        <v/>
      </c>
      <c r="H582" s="5">
        <f>IF(G582="","",G582/F582)</f>
        <v/>
      </c>
      <c r="I582" s="62">
        <f>SUM(テーブル9[[#This Row],[五大]:[工場材]])</f>
        <v/>
      </c>
      <c r="J582" s="65" t="n"/>
      <c r="K582" s="65" t="n"/>
      <c r="L582" s="65" t="n"/>
      <c r="M582" s="65" t="n"/>
      <c r="N582" s="65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9" t="n">
        <v>100000</v>
      </c>
      <c r="X582" s="66" t="n">
        <v>18765</v>
      </c>
      <c r="Y582" s="65" t="n"/>
      <c r="Z582" s="65" t="n"/>
      <c r="AA582" s="69" t="n"/>
      <c r="AB582" s="69" t="n"/>
      <c r="AC582" s="65" t="n"/>
      <c r="AD582" s="65" t="n"/>
      <c r="AE582" s="65" t="n"/>
      <c r="AF582" s="65" t="n"/>
      <c r="AG582" s="65" t="n"/>
      <c r="AH582" s="69" t="n">
        <v>20000</v>
      </c>
      <c r="AI582" s="65" t="n"/>
      <c r="AJ582" s="65" t="n"/>
      <c r="AK582" s="65" t="n"/>
      <c r="AL582" s="65" t="n"/>
      <c r="AM582" s="65" t="n"/>
      <c r="AN582" s="65" t="n"/>
      <c r="AO582" s="65" t="n"/>
      <c r="AP582" s="65" t="n"/>
      <c r="AQ582" s="65" t="n"/>
      <c r="AR582" s="65" t="n"/>
      <c r="AS582" s="65" t="n"/>
      <c r="AT582" s="65" t="n"/>
      <c r="AU582" s="65" t="n"/>
      <c r="AV582" s="65" t="n"/>
      <c r="AW582" s="65" t="n"/>
      <c r="AX582" s="65" t="n"/>
      <c r="AY582" s="65" t="n"/>
      <c r="AZ582" s="65" t="n"/>
      <c r="BA582" s="65" t="n"/>
      <c r="BB582" s="65" t="n"/>
      <c r="BC582" s="65" t="n"/>
      <c r="BD582" s="65" t="n"/>
      <c r="BE582" s="65" t="n"/>
      <c r="BF582" s="65" t="n"/>
      <c r="BG582" s="65" t="n"/>
    </row>
    <row r="583">
      <c r="B583" s="1" t="inlineStr">
        <is>
          <t>ウイングハイツA102</t>
        </is>
      </c>
      <c r="C583" s="1" t="inlineStr">
        <is>
          <t>積水</t>
        </is>
      </c>
      <c r="D583" s="1" t="inlineStr">
        <is>
          <t>積上げ　キッチン交換</t>
        </is>
      </c>
      <c r="E583" s="2" t="inlineStr">
        <is>
          <t>5月</t>
        </is>
      </c>
      <c r="F583" s="68" t="n">
        <v>987000</v>
      </c>
      <c r="G583" s="68">
        <f>IF(B583="","",F583-I583 )</f>
        <v/>
      </c>
      <c r="H583" s="5">
        <f>IF(G583="","",G583/F583)</f>
        <v/>
      </c>
      <c r="I583" s="62">
        <f>SUM(テーブル9[[#This Row],[五大]:[工場材]])</f>
        <v/>
      </c>
      <c r="J583" s="65" t="n"/>
      <c r="K583" s="65" t="n"/>
      <c r="L583" s="65" t="n"/>
      <c r="M583" s="65" t="n"/>
      <c r="N583" s="65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9">
        <f>70000+8000+25000+20000</f>
        <v/>
      </c>
      <c r="X583" s="66" t="n">
        <v>29518</v>
      </c>
      <c r="Y583" s="65" t="n"/>
      <c r="Z583" s="65" t="n"/>
      <c r="AA583" s="69">
        <f>26000</f>
        <v/>
      </c>
      <c r="AB583" s="69" t="n"/>
      <c r="AC583" s="69">
        <f>48000</f>
        <v/>
      </c>
      <c r="AD583" s="69" t="n"/>
      <c r="AE583" s="65" t="n"/>
      <c r="AF583" s="65" t="n"/>
      <c r="AG583" s="65" t="n"/>
      <c r="AH583" s="69" t="n">
        <v>103000</v>
      </c>
      <c r="AI583" s="65" t="n"/>
      <c r="AJ583" s="69" t="n">
        <v>21500</v>
      </c>
      <c r="AK583" s="65" t="n"/>
      <c r="AL583" s="65" t="n"/>
      <c r="AM583" s="65" t="n"/>
      <c r="AN583" s="65" t="n"/>
      <c r="AO583" s="65" t="n"/>
      <c r="AP583" s="65" t="n">
        <v>23000</v>
      </c>
      <c r="AQ583" s="65" t="n"/>
      <c r="AR583" s="65" t="n"/>
      <c r="AS583" s="65" t="n"/>
      <c r="AT583" s="69">
        <f>243116/2</f>
        <v/>
      </c>
      <c r="AU583" s="65" t="n"/>
      <c r="AV583" s="65" t="n"/>
      <c r="AW583" s="65" t="n"/>
      <c r="AX583" s="65" t="n"/>
      <c r="AY583" s="65" t="n"/>
      <c r="AZ583" s="65" t="n"/>
      <c r="BA583" s="65" t="n"/>
      <c r="BB583" s="65" t="n"/>
      <c r="BC583" s="65" t="n"/>
      <c r="BD583" s="65" t="n"/>
      <c r="BE583" s="65" t="n"/>
      <c r="BF583" s="65" t="n"/>
      <c r="BG583" s="65" t="n"/>
    </row>
    <row r="584">
      <c r="B584" s="1" t="inlineStr">
        <is>
          <t>ウイングハイツA203</t>
        </is>
      </c>
      <c r="C584" s="1" t="inlineStr">
        <is>
          <t>積水</t>
        </is>
      </c>
      <c r="D584" s="1" t="inlineStr">
        <is>
          <t>積上げ　キッチン交換</t>
        </is>
      </c>
      <c r="E584" s="2" t="inlineStr">
        <is>
          <t>5月</t>
        </is>
      </c>
      <c r="F584" s="68" t="n">
        <v>1096000</v>
      </c>
      <c r="G584" s="68">
        <f>IF(B584="","",F584-I584 )</f>
        <v/>
      </c>
      <c r="H584" s="5">
        <f>IF(G584="","",G584/F584)</f>
        <v/>
      </c>
      <c r="I584" s="62">
        <f>SUM(テーブル9[[#This Row],[五大]:[工場材]])</f>
        <v/>
      </c>
      <c r="J584" s="65" t="n"/>
      <c r="K584" s="65" t="n"/>
      <c r="L584" s="65" t="n"/>
      <c r="M584" s="65" t="n"/>
      <c r="N584" s="65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9" t="n">
        <v>123000</v>
      </c>
      <c r="X584" s="66" t="n">
        <v>29518</v>
      </c>
      <c r="Y584" s="65" t="n"/>
      <c r="Z584" s="65" t="n"/>
      <c r="AA584" s="69" t="n">
        <v>26000</v>
      </c>
      <c r="AB584" s="69" t="n"/>
      <c r="AC584" s="69" t="n">
        <v>48000</v>
      </c>
      <c r="AD584" s="69" t="n"/>
      <c r="AE584" s="65" t="n"/>
      <c r="AF584" s="65" t="n"/>
      <c r="AG584" s="65" t="n"/>
      <c r="AH584" s="69" t="n">
        <v>183560</v>
      </c>
      <c r="AI584" s="65" t="n"/>
      <c r="AJ584" s="69">
        <f>15500+6000</f>
        <v/>
      </c>
      <c r="AK584" s="65" t="n"/>
      <c r="AL584" s="65" t="n"/>
      <c r="AM584" s="65" t="n"/>
      <c r="AN584" s="65" t="n"/>
      <c r="AO584" s="65" t="n"/>
      <c r="AP584" s="65" t="n">
        <v>23000</v>
      </c>
      <c r="AQ584" s="65" t="n"/>
      <c r="AR584" s="65" t="n"/>
      <c r="AS584" s="65" t="n"/>
      <c r="AT584" s="69">
        <f>243116/2</f>
        <v/>
      </c>
      <c r="AU584" s="65" t="n"/>
      <c r="AV584" s="65" t="n"/>
      <c r="AW584" s="65" t="n"/>
      <c r="AX584" s="65" t="n"/>
      <c r="AY584" s="65" t="n"/>
      <c r="AZ584" s="65" t="n"/>
      <c r="BA584" s="65" t="n"/>
      <c r="BB584" s="65" t="n"/>
      <c r="BC584" s="65" t="n"/>
      <c r="BD584" s="65" t="n"/>
      <c r="BE584" s="65" t="n"/>
      <c r="BF584" s="65" t="n"/>
      <c r="BG584" s="65" t="n"/>
    </row>
    <row r="585">
      <c r="B585" s="1" t="inlineStr">
        <is>
          <t>コートカノン106</t>
        </is>
      </c>
      <c r="C585" s="1" t="inlineStr">
        <is>
          <t>積水</t>
        </is>
      </c>
      <c r="D585" s="1" t="inlineStr">
        <is>
          <t>積上げ　キッチン交換</t>
        </is>
      </c>
      <c r="E585" s="2" t="inlineStr">
        <is>
          <t>5月</t>
        </is>
      </c>
      <c r="F585" s="68" t="n">
        <v>789000</v>
      </c>
      <c r="G585" s="68">
        <f>IF(B585="","",F585-I585 )</f>
        <v/>
      </c>
      <c r="H585" s="5">
        <f>IF(G585="","",G585/F585)</f>
        <v/>
      </c>
      <c r="I585" s="62">
        <f>SUM(テーブル9[[#This Row],[五大]:[工場材]])</f>
        <v/>
      </c>
      <c r="J585" s="65" t="n"/>
      <c r="K585" s="65" t="n"/>
      <c r="L585" s="65" t="n"/>
      <c r="M585" s="65" t="n"/>
      <c r="N585" s="65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9">
        <f>70000+8000</f>
        <v/>
      </c>
      <c r="X585" s="66" t="n">
        <v>26768</v>
      </c>
      <c r="Y585" s="65" t="n"/>
      <c r="Z585" s="65" t="n"/>
      <c r="AA585" s="69" t="n">
        <v>70000</v>
      </c>
      <c r="AB585" s="69" t="n"/>
      <c r="AC585" s="69" t="n">
        <v>48000</v>
      </c>
      <c r="AD585" s="69" t="n"/>
      <c r="AE585" s="65" t="n"/>
      <c r="AF585" s="65" t="n"/>
      <c r="AG585" s="65" t="n"/>
      <c r="AH585" s="69" t="n">
        <v>81408</v>
      </c>
      <c r="AI585" s="65" t="n"/>
      <c r="AJ585" s="69" t="n">
        <v>21500</v>
      </c>
      <c r="AK585" s="65" t="n"/>
      <c r="AL585" s="65" t="n"/>
      <c r="AM585" s="65" t="n"/>
      <c r="AN585" s="65" t="n"/>
      <c r="AO585" s="65" t="n"/>
      <c r="AP585" s="65" t="n"/>
      <c r="AQ585" s="65" t="n"/>
      <c r="AR585" s="65" t="n"/>
      <c r="AS585" s="65" t="n"/>
      <c r="AT585" s="69" t="n">
        <v>184383</v>
      </c>
      <c r="AU585" s="65" t="n"/>
      <c r="AV585" s="65" t="n"/>
      <c r="AW585" s="65" t="n"/>
      <c r="AX585" s="65" t="n"/>
      <c r="AY585" s="65" t="n"/>
      <c r="AZ585" s="65" t="n"/>
      <c r="BA585" s="65" t="n"/>
      <c r="BB585" s="65" t="n"/>
      <c r="BC585" s="65" t="n"/>
      <c r="BD585" s="65" t="n"/>
      <c r="BE585" s="65" t="n"/>
      <c r="BF585" s="65" t="n"/>
      <c r="BG585" s="65" t="n"/>
    </row>
    <row r="586">
      <c r="B586" s="1" t="inlineStr">
        <is>
          <t>ベルシャンブル103</t>
        </is>
      </c>
      <c r="C586" s="1" t="inlineStr">
        <is>
          <t>積水</t>
        </is>
      </c>
      <c r="D586" s="1" t="inlineStr">
        <is>
          <t>積上げ　キッチン交換</t>
        </is>
      </c>
      <c r="E586" s="2" t="inlineStr">
        <is>
          <t>5月</t>
        </is>
      </c>
      <c r="F586" s="68" t="n">
        <v>1040000</v>
      </c>
      <c r="G586" s="68">
        <f>IF(B586="","",F586-I586 )</f>
        <v/>
      </c>
      <c r="H586" s="5">
        <f>IF(G586="","",G586/F586)</f>
        <v/>
      </c>
      <c r="I586" s="62">
        <f>SUM(テーブル9[[#This Row],[五大]:[工場材]])</f>
        <v/>
      </c>
      <c r="J586" s="65" t="n"/>
      <c r="K586" s="65" t="n"/>
      <c r="L586" s="65" t="n"/>
      <c r="M586" s="65" t="n"/>
      <c r="N586" s="65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9">
        <f>78000+12000+15000+12000</f>
        <v/>
      </c>
      <c r="X586" s="66" t="n">
        <v>26768</v>
      </c>
      <c r="Y586" s="65" t="n"/>
      <c r="Z586" s="65" t="n"/>
      <c r="AA586" s="69" t="n">
        <v>48000</v>
      </c>
      <c r="AB586" s="69" t="n"/>
      <c r="AC586" s="69" t="n">
        <v>138000</v>
      </c>
      <c r="AD586" s="69" t="n"/>
      <c r="AE586" s="65" t="n"/>
      <c r="AF586" s="65" t="n"/>
      <c r="AG586" s="65" t="n"/>
      <c r="AH586" s="69" t="n">
        <v>118535</v>
      </c>
      <c r="AI586" s="65" t="n"/>
      <c r="AJ586" s="69" t="n">
        <v>21500</v>
      </c>
      <c r="AK586" s="65" t="n"/>
      <c r="AL586" s="65" t="n"/>
      <c r="AM586" s="65" t="n"/>
      <c r="AN586" s="65" t="n"/>
      <c r="AO586" s="65" t="n"/>
      <c r="AP586" s="65" t="n"/>
      <c r="AQ586" s="65" t="n"/>
      <c r="AR586" s="65" t="n"/>
      <c r="AS586" s="65" t="n"/>
      <c r="AT586" s="69" t="n">
        <v>169596</v>
      </c>
      <c r="AU586" s="65" t="n"/>
      <c r="AV586" s="65" t="n"/>
      <c r="AW586" s="65" t="n"/>
      <c r="AX586" s="65" t="n"/>
      <c r="AY586" s="65" t="n"/>
      <c r="AZ586" s="65" t="n"/>
      <c r="BA586" s="65" t="n"/>
      <c r="BB586" s="65" t="n"/>
      <c r="BC586" s="65" t="n"/>
      <c r="BD586" s="65" t="n"/>
      <c r="BE586" s="65" t="n"/>
      <c r="BF586" s="65" t="n"/>
      <c r="BG586" s="65" t="n"/>
    </row>
    <row r="587">
      <c r="B587" s="1" t="inlineStr">
        <is>
          <t>サニーハイツ西原205</t>
        </is>
      </c>
      <c r="C587" s="1" t="inlineStr">
        <is>
          <t>積水</t>
        </is>
      </c>
      <c r="D587" s="1" t="inlineStr">
        <is>
          <t>積上げ　キッチン交換</t>
        </is>
      </c>
      <c r="E587" s="2" t="inlineStr">
        <is>
          <t>5月</t>
        </is>
      </c>
      <c r="F587" s="68" t="n">
        <v>1271000</v>
      </c>
      <c r="G587" s="68">
        <f>IF(B587="","",F587-I587 )</f>
        <v/>
      </c>
      <c r="H587" s="5">
        <f>IF(G587="","",G587/F587)</f>
        <v/>
      </c>
      <c r="I587" s="62">
        <f>SUM(テーブル9[[#This Row],[五大]:[工場材]])</f>
        <v/>
      </c>
      <c r="J587" s="65" t="n"/>
      <c r="K587" s="65" t="n"/>
      <c r="L587" s="65" t="n"/>
      <c r="M587" s="65" t="n"/>
      <c r="N587" s="65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9">
        <f>78000+42000</f>
        <v/>
      </c>
      <c r="X587" s="66" t="n">
        <v>44252</v>
      </c>
      <c r="Y587" s="65" t="n"/>
      <c r="Z587" s="65" t="n"/>
      <c r="AA587" s="69" t="n">
        <v>45000</v>
      </c>
      <c r="AB587" s="69" t="n"/>
      <c r="AC587" s="69" t="n">
        <v>133200</v>
      </c>
      <c r="AD587" s="69" t="n"/>
      <c r="AE587" s="65" t="n"/>
      <c r="AF587" s="65" t="n"/>
      <c r="AG587" s="65" t="n"/>
      <c r="AH587" s="69" t="n">
        <v>149650</v>
      </c>
      <c r="AI587" s="65" t="n"/>
      <c r="AJ587" s="69">
        <f>17500+6000</f>
        <v/>
      </c>
      <c r="AK587" s="65" t="n"/>
      <c r="AL587" s="65" t="n"/>
      <c r="AM587" s="65" t="n"/>
      <c r="AN587" s="65" t="n"/>
      <c r="AO587" s="65" t="n"/>
      <c r="AP587" s="69" t="n">
        <v>315486</v>
      </c>
      <c r="AQ587" s="69" t="n"/>
      <c r="AR587" s="65" t="n"/>
      <c r="AS587" s="65" t="n"/>
      <c r="AT587" s="69" t="n">
        <v>59709</v>
      </c>
      <c r="AU587" s="65" t="n"/>
      <c r="AV587" s="65" t="n"/>
      <c r="AW587" s="65" t="n"/>
      <c r="AX587" s="65" t="n"/>
      <c r="AY587" s="65" t="n"/>
      <c r="AZ587" s="65" t="n"/>
      <c r="BA587" s="65" t="n"/>
      <c r="BB587" s="65" t="n"/>
      <c r="BC587" s="65" t="n"/>
      <c r="BD587" s="65" t="n"/>
      <c r="BE587" s="65" t="n"/>
      <c r="BF587" s="65" t="n"/>
      <c r="BG587" s="65" t="n"/>
    </row>
    <row r="588">
      <c r="B588" s="1" t="inlineStr">
        <is>
          <t>シティハウス長町南ステーションコート301</t>
        </is>
      </c>
      <c r="C588" s="1" t="inlineStr">
        <is>
          <t>LIXIL</t>
        </is>
      </c>
      <c r="D588" s="1" t="inlineStr">
        <is>
          <t>PB貼替</t>
        </is>
      </c>
      <c r="E588" s="2" t="inlineStr">
        <is>
          <t>5月</t>
        </is>
      </c>
      <c r="F588" s="68" t="n">
        <v>58000</v>
      </c>
      <c r="G588" s="68">
        <f>IF(B588="","",F588-I588 )</f>
        <v/>
      </c>
      <c r="H588" s="5">
        <f>IF(G588="","",G588/F588)</f>
        <v/>
      </c>
      <c r="I588" s="62">
        <f>SUM(テーブル9[[#This Row],[五大]:[工場材]])</f>
        <v/>
      </c>
      <c r="J588" s="65" t="n"/>
      <c r="K588" s="65" t="n"/>
      <c r="L588" s="65" t="n"/>
      <c r="M588" s="65" t="n"/>
      <c r="N588" s="65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9" t="n">
        <v>40000</v>
      </c>
      <c r="X588" s="66" t="n">
        <v>5626</v>
      </c>
      <c r="Y588" s="65" t="n"/>
      <c r="Z588" s="65" t="n"/>
      <c r="AA588" s="65" t="n"/>
      <c r="AB588" s="69" t="n"/>
      <c r="AC588" s="69" t="n"/>
      <c r="AD588" s="69" t="n"/>
      <c r="AE588" s="65" t="n"/>
      <c r="AF588" s="65" t="n"/>
      <c r="AG588" s="65" t="n"/>
      <c r="AH588" s="69" t="n"/>
      <c r="AI588" s="65" t="n"/>
      <c r="AJ588" s="69" t="n"/>
      <c r="AK588" s="65" t="n"/>
      <c r="AL588" s="65" t="n"/>
      <c r="AM588" s="65" t="n"/>
      <c r="AN588" s="65" t="n"/>
      <c r="AO588" s="65" t="n"/>
      <c r="AP588" s="65" t="n"/>
      <c r="AQ588" s="65" t="n"/>
      <c r="AR588" s="65" t="n"/>
      <c r="AS588" s="65" t="n"/>
      <c r="AT588" s="69" t="n"/>
      <c r="AU588" s="65" t="n"/>
      <c r="AV588" s="65" t="n"/>
      <c r="AW588" s="65" t="n"/>
      <c r="AX588" s="65" t="n"/>
      <c r="AY588" s="65" t="n"/>
      <c r="AZ588" s="65" t="n"/>
      <c r="BA588" s="65" t="n"/>
      <c r="BB588" s="65" t="n"/>
      <c r="BC588" s="65" t="n"/>
      <c r="BD588" s="65" t="n"/>
      <c r="BE588" s="65" t="n"/>
      <c r="BF588" s="65" t="n"/>
      <c r="BG588" s="65" t="n"/>
    </row>
    <row r="589">
      <c r="B589" s="1" t="inlineStr">
        <is>
          <t>錦が丘　プラッツ</t>
        </is>
      </c>
      <c r="C589" s="1" t="inlineStr">
        <is>
          <t>光和工業</t>
        </is>
      </c>
      <c r="D589" s="1" t="inlineStr">
        <is>
          <t>青野さん　シューズ追加</t>
        </is>
      </c>
      <c r="E589" s="2" t="inlineStr">
        <is>
          <t>5月</t>
        </is>
      </c>
      <c r="F589" s="68" t="n">
        <v>23870578</v>
      </c>
      <c r="G589" s="68">
        <f>IF(B589="","",F589-I589 )</f>
        <v/>
      </c>
      <c r="H589" s="5">
        <f>IF(G589="","",G589/F589)</f>
        <v/>
      </c>
      <c r="I589" s="62">
        <f>SUM(テーブル9[[#This Row],[五大]:[工場材]])</f>
        <v/>
      </c>
      <c r="J589" s="65" t="n"/>
      <c r="K589" s="65" t="n"/>
      <c r="L589" s="65" t="n"/>
      <c r="M589" s="65" t="n"/>
      <c r="N589" s="65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9" t="n">
        <v>280000</v>
      </c>
      <c r="X589" s="66" t="n"/>
      <c r="Y589" s="65" t="n"/>
      <c r="Z589" s="65" t="n"/>
      <c r="AA589" s="69" t="n">
        <v>65000</v>
      </c>
      <c r="AB589" s="69" t="n">
        <v>70000</v>
      </c>
      <c r="AC589" s="65" t="n"/>
      <c r="AD589" s="65" t="n"/>
      <c r="AE589" s="65" t="n"/>
      <c r="AF589" s="65" t="n"/>
      <c r="AG589" s="65" t="n"/>
      <c r="AH589" s="69" t="n">
        <v>20000</v>
      </c>
      <c r="AI589" s="65" t="n"/>
      <c r="AJ589" s="69" t="n"/>
      <c r="AK589" s="65" t="n"/>
      <c r="AL589" s="65" t="n"/>
      <c r="AM589" s="65" t="n"/>
      <c r="AN589" s="65" t="n"/>
      <c r="AO589" s="65" t="n"/>
      <c r="AP589" s="65" t="n"/>
      <c r="AQ589" s="65" t="n"/>
      <c r="AR589" s="65" t="n"/>
      <c r="AS589" s="65" t="n"/>
      <c r="AT589" s="65" t="n"/>
      <c r="AU589" s="65" t="n"/>
      <c r="AV589" s="65" t="n"/>
      <c r="AW589" s="65" t="n"/>
      <c r="AX589" s="65" t="n"/>
      <c r="AY589" s="65" t="n"/>
      <c r="AZ589" s="65" t="n"/>
      <c r="BA589" s="65" t="n"/>
      <c r="BB589" s="65" t="n"/>
      <c r="BC589" s="65" t="n"/>
      <c r="BD589" s="65" t="n"/>
      <c r="BE589" s="65" t="n"/>
      <c r="BF589" s="65" t="n"/>
      <c r="BG589" s="65" t="n"/>
    </row>
    <row r="590">
      <c r="B590" s="1" t="inlineStr">
        <is>
          <t>シティハウス北仙台ステーションコート601</t>
        </is>
      </c>
      <c r="C590" s="1" t="inlineStr">
        <is>
          <t>光和工業</t>
        </is>
      </c>
      <c r="D590" s="1" t="inlineStr">
        <is>
          <t>内装工事</t>
        </is>
      </c>
      <c r="E590" s="2" t="inlineStr">
        <is>
          <t>5月</t>
        </is>
      </c>
      <c r="F590" s="68" t="n">
        <v>177000</v>
      </c>
      <c r="G590" s="68">
        <f>IF(B590="","",F590-I590 )</f>
        <v/>
      </c>
      <c r="H590" s="5">
        <f>IF(G590="","",G590/F590)</f>
        <v/>
      </c>
      <c r="I590" s="62">
        <f>SUM(テーブル9[[#This Row],[五大]:[工場材]])</f>
        <v/>
      </c>
      <c r="J590" s="65" t="n"/>
      <c r="K590" s="65" t="n"/>
      <c r="L590" s="65" t="n"/>
      <c r="M590" s="65" t="n"/>
      <c r="N590" s="65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9" t="n"/>
      <c r="X590" s="66" t="n"/>
      <c r="Y590" s="65" t="n"/>
      <c r="Z590" s="65" t="n"/>
      <c r="AA590" s="65" t="n"/>
      <c r="AB590" s="69" t="n"/>
      <c r="AC590" s="65" t="n"/>
      <c r="AD590" s="65" t="n"/>
      <c r="AE590" s="65" t="n"/>
      <c r="AF590" s="65" t="n"/>
      <c r="AG590" s="65" t="n"/>
      <c r="AH590" s="69" t="n">
        <v>56032</v>
      </c>
      <c r="AI590" s="65" t="n"/>
      <c r="AJ590" s="69" t="n">
        <v>18500</v>
      </c>
      <c r="AK590" s="65" t="n"/>
      <c r="AL590" s="65" t="n"/>
      <c r="AM590" s="65" t="n"/>
      <c r="AN590" s="65" t="n"/>
      <c r="AO590" s="65" t="n"/>
      <c r="AP590" s="65" t="n"/>
      <c r="AQ590" s="65" t="n"/>
      <c r="AR590" s="65" t="n"/>
      <c r="AS590" s="65" t="n"/>
      <c r="AT590" s="65" t="n"/>
      <c r="AU590" s="65" t="n"/>
      <c r="AV590" s="65" t="n"/>
      <c r="AW590" s="65" t="n"/>
      <c r="AX590" s="65" t="n"/>
      <c r="AY590" s="65" t="n"/>
      <c r="AZ590" s="65" t="n"/>
      <c r="BA590" s="65" t="n"/>
      <c r="BB590" s="65" t="n"/>
      <c r="BC590" s="65" t="n"/>
      <c r="BD590" s="65" t="n"/>
      <c r="BE590" s="65" t="n"/>
      <c r="BF590" s="65" t="n"/>
      <c r="BG590" s="65" t="n"/>
    </row>
    <row r="591">
      <c r="B591" s="1" t="inlineStr">
        <is>
          <t>門間邸</t>
        </is>
      </c>
      <c r="C591" s="1" t="inlineStr">
        <is>
          <t>光和工業</t>
        </is>
      </c>
      <c r="D591" s="1" t="inlineStr">
        <is>
          <t>キッチン給湯器交換</t>
        </is>
      </c>
      <c r="E591" s="2" t="inlineStr">
        <is>
          <t>5月</t>
        </is>
      </c>
      <c r="F591" s="68" t="n">
        <v>64000</v>
      </c>
      <c r="G591" s="68">
        <f>IF(B591="","",F591-I591 )</f>
        <v/>
      </c>
      <c r="H591" s="5">
        <f>IF(G591="","",G591/F591)</f>
        <v/>
      </c>
      <c r="I591" s="62">
        <f>SUM(テーブル9[[#This Row],[五大]:[工場材]])</f>
        <v/>
      </c>
      <c r="J591" s="65" t="n"/>
      <c r="K591" s="65" t="n"/>
      <c r="L591" s="65" t="n"/>
      <c r="M591" s="65" t="n"/>
      <c r="N591" s="65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9" t="n"/>
      <c r="X591" s="66" t="n"/>
      <c r="Y591" s="65" t="n"/>
      <c r="Z591" s="65" t="n"/>
      <c r="AA591" s="65" t="n"/>
      <c r="AB591" s="69" t="n">
        <v>55000</v>
      </c>
      <c r="AC591" s="65" t="n"/>
      <c r="AD591" s="65" t="n"/>
      <c r="AE591" s="65" t="n"/>
      <c r="AF591" s="65" t="n"/>
      <c r="AG591" s="65" t="n"/>
      <c r="AH591" s="69" t="n"/>
      <c r="AI591" s="65" t="n"/>
      <c r="AJ591" s="65" t="n"/>
      <c r="AK591" s="65" t="n"/>
      <c r="AL591" s="65" t="n"/>
      <c r="AM591" s="65" t="n"/>
      <c r="AN591" s="65" t="n"/>
      <c r="AO591" s="65" t="n"/>
      <c r="AP591" s="65" t="n"/>
      <c r="AQ591" s="65" t="n"/>
      <c r="AR591" s="65" t="n"/>
      <c r="AS591" s="65" t="n"/>
      <c r="AT591" s="65" t="n"/>
      <c r="AU591" s="65" t="n"/>
      <c r="AV591" s="65" t="n"/>
      <c r="AW591" s="65" t="n"/>
      <c r="AX591" s="65" t="n"/>
      <c r="AY591" s="65" t="n"/>
      <c r="AZ591" s="65" t="n"/>
      <c r="BA591" s="65" t="n"/>
      <c r="BB591" s="65" t="n"/>
      <c r="BC591" s="65" t="n"/>
      <c r="BD591" s="65" t="n"/>
      <c r="BE591" s="65" t="n"/>
      <c r="BF591" s="65" t="n"/>
      <c r="BG591" s="65" t="n"/>
    </row>
    <row r="592">
      <c r="B592" s="1" t="inlineStr">
        <is>
          <t>吉岡　菅原邸</t>
        </is>
      </c>
      <c r="C592" s="1" t="inlineStr">
        <is>
          <t>積水</t>
        </is>
      </c>
      <c r="D592" s="1" t="inlineStr">
        <is>
          <t>一面塗装工事</t>
        </is>
      </c>
      <c r="E592" s="2" t="inlineStr">
        <is>
          <t>6月</t>
        </is>
      </c>
      <c r="F592" s="68" t="n">
        <v>250000</v>
      </c>
      <c r="G592" s="68">
        <f>IF(B592="","",F592-I592 )</f>
        <v/>
      </c>
      <c r="H592" s="5">
        <f>IF(G592="","",G592/F592)</f>
        <v/>
      </c>
      <c r="I592" s="62">
        <f>SUM(テーブル9[[#This Row],[五大]:[工場材]])</f>
        <v/>
      </c>
      <c r="J592" s="65" t="n"/>
      <c r="K592" s="65" t="n"/>
      <c r="L592" s="65" t="n"/>
      <c r="M592" s="65" t="n"/>
      <c r="N592" s="65" t="n"/>
      <c r="O592" s="69" t="n">
        <v>100000</v>
      </c>
      <c r="P592" s="65" t="n"/>
      <c r="Q592" s="65" t="n"/>
      <c r="R592" s="69">
        <f>1600*33</f>
        <v/>
      </c>
      <c r="S592" s="65" t="n"/>
      <c r="T592" s="65" t="n"/>
      <c r="U592" s="69">
        <f>50500</f>
        <v/>
      </c>
      <c r="V592" s="65" t="n"/>
      <c r="W592" s="69" t="n"/>
      <c r="X592" s="66" t="n"/>
      <c r="Y592" s="65" t="n"/>
      <c r="Z592" s="65" t="n"/>
      <c r="AA592" s="65" t="n"/>
      <c r="AB592" s="65" t="n"/>
      <c r="AC592" s="65" t="n"/>
      <c r="AD592" s="65" t="n"/>
      <c r="AE592" s="65" t="n"/>
      <c r="AF592" s="65" t="n"/>
      <c r="AG592" s="65" t="n"/>
      <c r="AH592" s="65" t="n"/>
      <c r="AI592" s="65" t="n"/>
      <c r="AJ592" s="65" t="n"/>
      <c r="AK592" s="65" t="n"/>
      <c r="AL592" s="65" t="n"/>
      <c r="AM592" s="65" t="n"/>
      <c r="AN592" s="65" t="n"/>
      <c r="AO592" s="65" t="n"/>
      <c r="AP592" s="65" t="n"/>
      <c r="AQ592" s="65" t="n"/>
      <c r="AR592" s="65" t="n"/>
      <c r="AS592" s="65" t="n"/>
      <c r="AT592" s="65" t="n"/>
      <c r="AU592" s="65" t="n"/>
      <c r="AV592" s="65" t="n"/>
      <c r="AW592" s="65" t="n"/>
      <c r="AX592" s="65" t="n"/>
      <c r="AY592" s="65" t="n"/>
      <c r="AZ592" s="65" t="n"/>
      <c r="BA592" s="65" t="n"/>
      <c r="BB592" s="65" t="n"/>
      <c r="BC592" s="65" t="n"/>
      <c r="BD592" s="65" t="n"/>
      <c r="BE592" s="65" t="n"/>
      <c r="BF592" s="65" t="n"/>
      <c r="BG592" s="65" t="n"/>
    </row>
    <row r="593">
      <c r="B593" s="1" t="inlineStr">
        <is>
          <t>グループホームきくた</t>
        </is>
      </c>
      <c r="C593" s="1" t="inlineStr">
        <is>
          <t>光和工業</t>
        </is>
      </c>
      <c r="D593" s="1" t="inlineStr">
        <is>
          <t>クロス・HC</t>
        </is>
      </c>
      <c r="E593" s="2" t="inlineStr">
        <is>
          <t>6月</t>
        </is>
      </c>
      <c r="F593" s="68" t="n">
        <v>116000</v>
      </c>
      <c r="G593" s="68">
        <f>IF(B593="","",F593-I593 )</f>
        <v/>
      </c>
      <c r="H593" s="5">
        <f>IF(G593="","",G593/F593)</f>
        <v/>
      </c>
      <c r="I593" s="62">
        <f>SUM(テーブル9[[#This Row],[五大]:[工場材]])</f>
        <v/>
      </c>
      <c r="J593" s="65" t="n"/>
      <c r="K593" s="65" t="n"/>
      <c r="L593" s="65" t="n"/>
      <c r="M593" s="65" t="n"/>
      <c r="N593" s="65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9" t="n"/>
      <c r="X593" s="66" t="n"/>
      <c r="Y593" s="65" t="n"/>
      <c r="Z593" s="65" t="n"/>
      <c r="AA593" s="65" t="n"/>
      <c r="AB593" s="65" t="n"/>
      <c r="AC593" s="65" t="n"/>
      <c r="AD593" s="65" t="n"/>
      <c r="AE593" s="65" t="n"/>
      <c r="AF593" s="65" t="n"/>
      <c r="AG593" s="65" t="n"/>
      <c r="AH593" s="65" t="n"/>
      <c r="AI593" s="65" t="n"/>
      <c r="AJ593" s="65" t="n"/>
      <c r="AK593" s="65" t="n"/>
      <c r="AL593" s="65" t="n"/>
      <c r="AM593" s="65" t="n"/>
      <c r="AN593" s="65" t="n"/>
      <c r="AO593" s="65" t="n"/>
      <c r="AP593" s="65" t="n"/>
      <c r="AQ593" s="65" t="n"/>
      <c r="AR593" s="65" t="n"/>
      <c r="AS593" s="65" t="n"/>
      <c r="AT593" s="65" t="n"/>
      <c r="AU593" s="65" t="n"/>
      <c r="AV593" s="65" t="n"/>
      <c r="AW593" s="65" t="n"/>
      <c r="AX593" s="65" t="n"/>
      <c r="AY593" s="65" t="n"/>
      <c r="AZ593" s="65" t="n"/>
      <c r="BA593" s="65" t="n"/>
      <c r="BB593" s="65" t="n"/>
      <c r="BC593" s="65" t="n"/>
      <c r="BD593" s="65" t="n"/>
      <c r="BE593" s="65" t="n"/>
      <c r="BF593" s="65" t="n"/>
      <c r="BG593" s="65" t="n"/>
    </row>
    <row r="594">
      <c r="B594" s="1" t="inlineStr">
        <is>
          <t>グループホームやまて</t>
        </is>
      </c>
      <c r="C594" s="1" t="inlineStr">
        <is>
          <t>光和工業</t>
        </is>
      </c>
      <c r="D594" s="1" t="inlineStr">
        <is>
          <t>塗装・HC</t>
        </is>
      </c>
      <c r="E594" s="2" t="inlineStr">
        <is>
          <t>6月</t>
        </is>
      </c>
      <c r="F594" s="68" t="n">
        <v>85000</v>
      </c>
      <c r="G594" s="68">
        <f>IF(B594="","",F594-I594 )</f>
        <v/>
      </c>
      <c r="H594" s="5">
        <f>IF(G594="","",G594/F594)</f>
        <v/>
      </c>
      <c r="I594" s="62">
        <f>SUM(テーブル9[[#This Row],[五大]:[工場材]])</f>
        <v/>
      </c>
      <c r="J594" s="65" t="n"/>
      <c r="K594" s="65" t="n"/>
      <c r="L594" s="65" t="n"/>
      <c r="M594" s="65" t="n"/>
      <c r="N594" s="65" t="n"/>
      <c r="O594" s="65" t="n">
        <v>40000</v>
      </c>
      <c r="P594" s="65" t="n"/>
      <c r="Q594" s="65" t="n"/>
      <c r="R594" s="65" t="n"/>
      <c r="S594" s="65" t="n"/>
      <c r="T594" s="65" t="n"/>
      <c r="U594" s="65" t="n"/>
      <c r="V594" s="65" t="n"/>
      <c r="W594" s="69" t="n"/>
      <c r="X594" s="66" t="n"/>
      <c r="Y594" s="65" t="n"/>
      <c r="Z594" s="65" t="n"/>
      <c r="AA594" s="65" t="n"/>
      <c r="AB594" s="65" t="n"/>
      <c r="AC594" s="65" t="n"/>
      <c r="AD594" s="65" t="n"/>
      <c r="AE594" s="65" t="n"/>
      <c r="AF594" s="65" t="n"/>
      <c r="AG594" s="65" t="n"/>
      <c r="AH594" s="65" t="n"/>
      <c r="AI594" s="65" t="n"/>
      <c r="AJ594" s="65" t="n"/>
      <c r="AK594" s="65" t="n"/>
      <c r="AL594" s="65" t="n"/>
      <c r="AM594" s="65" t="n"/>
      <c r="AN594" s="65" t="n"/>
      <c r="AO594" s="65" t="n"/>
      <c r="AP594" s="65" t="n"/>
      <c r="AQ594" s="65" t="n"/>
      <c r="AR594" s="65" t="n"/>
      <c r="AS594" s="65" t="n"/>
      <c r="AT594" s="65" t="n"/>
      <c r="AU594" s="65" t="n"/>
      <c r="AV594" s="65" t="n"/>
      <c r="AW594" s="65" t="n"/>
      <c r="AX594" s="65" t="n"/>
      <c r="AY594" s="65" t="n"/>
      <c r="AZ594" s="65" t="n"/>
      <c r="BA594" s="65" t="n"/>
      <c r="BB594" s="65" t="n"/>
      <c r="BC594" s="65" t="n"/>
      <c r="BD594" s="65" t="n"/>
      <c r="BE594" s="65" t="n"/>
      <c r="BF594" s="65" t="n"/>
      <c r="BG594" s="65" t="n"/>
    </row>
    <row r="595">
      <c r="B595" s="1" t="inlineStr">
        <is>
          <t>メモリアルホール亘理</t>
        </is>
      </c>
      <c r="C595" s="1" t="inlineStr">
        <is>
          <t>LIXIL</t>
        </is>
      </c>
      <c r="D595" s="1" t="inlineStr">
        <is>
          <t>トイレ塗装</t>
        </is>
      </c>
      <c r="E595" s="2" t="inlineStr">
        <is>
          <t>6月</t>
        </is>
      </c>
      <c r="F595" s="68" t="n">
        <v>128000</v>
      </c>
      <c r="G595" s="68">
        <f>IF(B595="","",F595-I595 )</f>
        <v/>
      </c>
      <c r="H595" s="5">
        <f>IF(G595="","",G595/F595)</f>
        <v/>
      </c>
      <c r="I595" s="62">
        <f>SUM(テーブル9[[#This Row],[五大]:[工場材]])</f>
        <v/>
      </c>
      <c r="J595" s="65" t="n"/>
      <c r="K595" s="65" t="n"/>
      <c r="L595" s="65" t="n"/>
      <c r="M595" s="65" t="n"/>
      <c r="N595" s="65" t="n"/>
      <c r="O595" s="65" t="n">
        <v>75000</v>
      </c>
      <c r="P595" s="65" t="n"/>
      <c r="Q595" s="65" t="n"/>
      <c r="R595" s="65" t="n"/>
      <c r="S595" s="65" t="n"/>
      <c r="T595" s="65" t="n"/>
      <c r="U595" s="65" t="n"/>
      <c r="V595" s="65" t="n"/>
      <c r="W595" s="69" t="n"/>
      <c r="X595" s="66" t="n"/>
      <c r="Y595" s="65" t="n"/>
      <c r="Z595" s="65" t="n"/>
      <c r="AA595" s="65" t="n"/>
      <c r="AB595" s="65" t="n"/>
      <c r="AC595" s="65" t="n"/>
      <c r="AD595" s="65" t="n"/>
      <c r="AE595" s="65" t="n"/>
      <c r="AF595" s="65" t="n"/>
      <c r="AG595" s="65" t="n"/>
      <c r="AH595" s="65" t="n"/>
      <c r="AI595" s="65" t="n"/>
      <c r="AJ595" s="65" t="n"/>
      <c r="AK595" s="65" t="n"/>
      <c r="AL595" s="65" t="n"/>
      <c r="AM595" s="65" t="n"/>
      <c r="AN595" s="65" t="n"/>
      <c r="AO595" s="65" t="n"/>
      <c r="AP595" s="65" t="n"/>
      <c r="AQ595" s="65" t="n"/>
      <c r="AR595" s="65" t="n"/>
      <c r="AS595" s="65" t="n"/>
      <c r="AT595" s="65" t="n"/>
      <c r="AU595" s="65" t="n"/>
      <c r="AV595" s="65" t="n"/>
      <c r="AW595" s="65" t="n"/>
      <c r="AX595" s="65" t="n"/>
      <c r="AY595" s="65" t="n"/>
      <c r="AZ595" s="65" t="n"/>
      <c r="BA595" s="65" t="n"/>
      <c r="BB595" s="65" t="n"/>
      <c r="BC595" s="65" t="n"/>
      <c r="BD595" s="65" t="n"/>
      <c r="BE595" s="65" t="n"/>
      <c r="BF595" s="65" t="n"/>
      <c r="BG595" s="65" t="n"/>
    </row>
    <row r="596">
      <c r="B596" s="1" t="inlineStr">
        <is>
          <t>ホライゾン学園</t>
        </is>
      </c>
      <c r="C596" s="1" t="inlineStr">
        <is>
          <t>ライフアップ</t>
        </is>
      </c>
      <c r="D596" s="1" t="inlineStr">
        <is>
          <t>エアコン周り大工+塗装</t>
        </is>
      </c>
      <c r="E596" s="2" t="inlineStr">
        <is>
          <t>6月</t>
        </is>
      </c>
      <c r="F596" s="68" t="n">
        <v>446000</v>
      </c>
      <c r="G596" s="68">
        <f>IF(B596="","",F596-I596 )</f>
        <v/>
      </c>
      <c r="H596" s="5">
        <f>IF(G596="","",G596/F596)</f>
        <v/>
      </c>
      <c r="I596" s="62">
        <f>SUM(テーブル9[[#This Row],[五大]:[工場材]])</f>
        <v/>
      </c>
      <c r="J596" s="65" t="n"/>
      <c r="K596" s="65" t="n"/>
      <c r="L596" s="65" t="n"/>
      <c r="M596" s="65" t="n"/>
      <c r="N596" s="65" t="n"/>
      <c r="O596" s="65" t="n">
        <v>100000</v>
      </c>
      <c r="P596" s="65" t="n"/>
      <c r="Q596" s="65" t="n"/>
      <c r="R596" s="65" t="n"/>
      <c r="S596" s="65" t="n"/>
      <c r="T596" s="65" t="n"/>
      <c r="U596" s="65" t="n"/>
      <c r="V596" s="65" t="n"/>
      <c r="W596" s="69" t="n">
        <v>200000</v>
      </c>
      <c r="X596" s="66" t="n">
        <v>86334</v>
      </c>
      <c r="Y596" s="65" t="n"/>
      <c r="Z596" s="65" t="n"/>
      <c r="AA596" s="65" t="n"/>
      <c r="AB596" s="65" t="n"/>
      <c r="AC596" s="65" t="n"/>
      <c r="AD596" s="65" t="n"/>
      <c r="AE596" s="65" t="n"/>
      <c r="AF596" s="65" t="n"/>
      <c r="AG596" s="65" t="n"/>
      <c r="AH596" s="65" t="n"/>
      <c r="AI596" s="65" t="n"/>
      <c r="AJ596" s="65" t="n"/>
      <c r="AK596" s="65" t="n"/>
      <c r="AL596" s="65" t="n"/>
      <c r="AM596" s="65" t="n"/>
      <c r="AN596" s="65" t="n"/>
      <c r="AO596" s="65" t="n"/>
      <c r="AP596" s="65" t="n"/>
      <c r="AQ596" s="65" t="n"/>
      <c r="AR596" s="65" t="n"/>
      <c r="AS596" s="65" t="n"/>
      <c r="AT596" s="65" t="n"/>
      <c r="AU596" s="65" t="n"/>
      <c r="AV596" s="65" t="n"/>
      <c r="AW596" s="65" t="n"/>
      <c r="AX596" s="65" t="n"/>
      <c r="AY596" s="65" t="n"/>
      <c r="AZ596" s="65" t="n"/>
      <c r="BA596" s="65" t="n"/>
      <c r="BB596" s="65" t="n"/>
      <c r="BC596" s="65" t="n"/>
      <c r="BD596" s="65" t="n"/>
      <c r="BE596" s="65" t="n"/>
      <c r="BF596" s="65" t="n"/>
      <c r="BG596" s="65" t="n"/>
    </row>
    <row r="597">
      <c r="F597" s="68" t="n"/>
      <c r="G597" s="68">
        <f>IF(B597="","",F597-I597 )</f>
        <v/>
      </c>
      <c r="H597" s="5">
        <f>IF(G597="","",G597/F597)</f>
        <v/>
      </c>
      <c r="I597" s="62">
        <f>SUM(テーブル9[[#This Row],[五大]:[工場材]])</f>
        <v/>
      </c>
      <c r="J597" s="65" t="n"/>
      <c r="K597" s="65" t="n"/>
      <c r="L597" s="65" t="n"/>
      <c r="M597" s="65" t="n"/>
      <c r="N597" s="65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9" t="n"/>
      <c r="X597" s="66" t="n"/>
      <c r="Y597" s="65" t="n"/>
      <c r="Z597" s="65" t="n"/>
      <c r="AA597" s="65" t="n"/>
      <c r="AB597" s="65" t="n"/>
      <c r="AC597" s="65" t="n"/>
      <c r="AD597" s="65" t="n"/>
      <c r="AE597" s="65" t="n"/>
      <c r="AF597" s="65" t="n"/>
      <c r="AG597" s="65" t="n"/>
      <c r="AH597" s="65" t="n"/>
      <c r="AI597" s="65" t="n"/>
      <c r="AJ597" s="65" t="n"/>
      <c r="AK597" s="65" t="n"/>
      <c r="AL597" s="65" t="n"/>
      <c r="AM597" s="65" t="n"/>
      <c r="AN597" s="65" t="n"/>
      <c r="AO597" s="65" t="n"/>
      <c r="AP597" s="65" t="n"/>
      <c r="AQ597" s="65" t="n"/>
      <c r="AR597" s="65" t="n"/>
      <c r="AS597" s="65" t="n"/>
      <c r="AT597" s="65" t="n"/>
      <c r="AU597" s="65" t="n"/>
      <c r="AV597" s="65" t="n"/>
      <c r="AW597" s="65" t="n"/>
      <c r="AX597" s="65" t="n"/>
      <c r="AY597" s="65" t="n"/>
      <c r="AZ597" s="65" t="n"/>
      <c r="BA597" s="65" t="n"/>
      <c r="BB597" s="65" t="n"/>
      <c r="BC597" s="65" t="n"/>
      <c r="BD597" s="65" t="n"/>
      <c r="BE597" s="65" t="n"/>
      <c r="BF597" s="65" t="n"/>
      <c r="BG597" s="65" t="n"/>
    </row>
    <row r="598">
      <c r="B598" s="1" t="inlineStr">
        <is>
          <t>ミスターランドリー</t>
        </is>
      </c>
      <c r="C598" s="1" t="inlineStr">
        <is>
          <t>光和工業</t>
        </is>
      </c>
      <c r="F598" s="68" t="n">
        <v>2523800</v>
      </c>
      <c r="G598" s="68">
        <f>IF(B598="","",F598-I598 )</f>
        <v/>
      </c>
      <c r="H598" s="5">
        <f>IF(G598="","",G598/F598)</f>
        <v/>
      </c>
      <c r="I598" s="62">
        <f>SUM(テーブル9[[#This Row],[五大]:[工場材]])</f>
        <v/>
      </c>
      <c r="J598" s="65" t="n"/>
      <c r="K598" s="65" t="n"/>
      <c r="L598" s="65" t="n"/>
      <c r="M598" s="65" t="n"/>
      <c r="N598" s="65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9" t="n">
        <v>150000</v>
      </c>
      <c r="X598" s="66" t="n"/>
      <c r="Y598" s="65" t="n"/>
      <c r="Z598" s="65" t="n"/>
      <c r="AA598" s="65" t="n"/>
      <c r="AB598" s="65" t="n"/>
      <c r="AC598" s="65" t="n"/>
      <c r="AD598" s="65" t="n"/>
      <c r="AE598" s="65" t="n"/>
      <c r="AF598" s="65" t="n"/>
      <c r="AG598" s="65" t="n"/>
      <c r="AH598" s="65" t="n"/>
      <c r="AI598" s="65" t="n"/>
      <c r="AJ598" s="65" t="n"/>
      <c r="AK598" s="65" t="n"/>
      <c r="AL598" s="65" t="n"/>
      <c r="AM598" s="65" t="n"/>
      <c r="AN598" s="65" t="n"/>
      <c r="AO598" s="65" t="n"/>
      <c r="AP598" s="65" t="n"/>
      <c r="AQ598" s="65" t="n"/>
      <c r="AR598" s="65" t="n"/>
      <c r="AS598" s="65" t="n"/>
      <c r="AT598" s="65" t="n"/>
      <c r="AU598" s="65" t="n"/>
      <c r="AV598" s="65" t="n"/>
      <c r="AW598" s="65" t="n"/>
      <c r="AX598" s="65" t="n"/>
      <c r="AY598" s="65" t="n"/>
      <c r="AZ598" s="65" t="n"/>
      <c r="BA598" s="65" t="n"/>
      <c r="BB598" s="65" t="n"/>
      <c r="BC598" s="65" t="n"/>
      <c r="BD598" s="65" t="n"/>
      <c r="BE598" s="65" t="n"/>
      <c r="BF598" s="65" t="n"/>
      <c r="BG598" s="65" t="n"/>
    </row>
    <row r="599">
      <c r="B599" s="1" t="inlineStr">
        <is>
          <t>けやき薬局</t>
        </is>
      </c>
      <c r="C599" s="1" t="inlineStr">
        <is>
          <t>光和工業</t>
        </is>
      </c>
      <c r="D599" s="1" t="inlineStr">
        <is>
          <t>エアコン取付・専用回路</t>
        </is>
      </c>
      <c r="E599" s="2" t="inlineStr">
        <is>
          <t>7月</t>
        </is>
      </c>
      <c r="F599" s="68" t="n">
        <v>127000</v>
      </c>
      <c r="G599" s="68">
        <f>IF(B599="","",F599-I599 )</f>
        <v/>
      </c>
      <c r="H599" s="5">
        <f>IF(G599="","",G599/F599)</f>
        <v/>
      </c>
      <c r="I599" s="62">
        <f>SUM(テーブル9[[#This Row],[五大]:[工場材]])</f>
        <v/>
      </c>
      <c r="J599" s="65" t="n"/>
      <c r="K599" s="65" t="n"/>
      <c r="L599" s="65" t="n"/>
      <c r="M599" s="65" t="n"/>
      <c r="N599" s="65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9" t="n"/>
      <c r="X599" s="66" t="n"/>
      <c r="Y599" s="65" t="n"/>
      <c r="Z599" s="65" t="n"/>
      <c r="AA599" s="69" t="n">
        <v>111000</v>
      </c>
      <c r="AB599" s="65" t="n"/>
      <c r="AC599" s="65" t="n"/>
      <c r="AD599" s="65" t="n"/>
      <c r="AE599" s="65" t="n"/>
      <c r="AF599" s="65" t="n"/>
      <c r="AG599" s="65" t="n"/>
      <c r="AH599" s="65" t="n"/>
      <c r="AI599" s="65" t="n"/>
      <c r="AJ599" s="65" t="n"/>
      <c r="AK599" s="65" t="n"/>
      <c r="AL599" s="65" t="n"/>
      <c r="AM599" s="65" t="n"/>
      <c r="AN599" s="65" t="n"/>
      <c r="AO599" s="65" t="n"/>
      <c r="AP599" s="65" t="n"/>
      <c r="AQ599" s="65" t="n"/>
      <c r="AR599" s="65" t="n"/>
      <c r="AS599" s="65" t="n"/>
      <c r="AT599" s="65" t="n"/>
      <c r="AU599" s="65" t="n"/>
      <c r="AV599" s="65" t="n"/>
      <c r="AW599" s="65" t="n"/>
      <c r="AX599" s="65" t="n"/>
      <c r="AY599" s="65" t="n"/>
      <c r="AZ599" s="65" t="n"/>
      <c r="BA599" s="65" t="n"/>
      <c r="BB599" s="65" t="n"/>
      <c r="BC599" s="65" t="n"/>
      <c r="BD599" s="65" t="n"/>
      <c r="BE599" s="65" t="n"/>
      <c r="BF599" s="65" t="n"/>
      <c r="BG599" s="65" t="n"/>
    </row>
    <row r="600">
      <c r="B600" s="1" t="inlineStr">
        <is>
          <t>ふれあい　とみやホーム</t>
        </is>
      </c>
      <c r="C600" s="1" t="inlineStr">
        <is>
          <t>光和工業</t>
        </is>
      </c>
      <c r="D600" s="1" t="inlineStr">
        <is>
          <t>FFヒーター撤去</t>
        </is>
      </c>
      <c r="E600" s="2" t="inlineStr">
        <is>
          <t>7月</t>
        </is>
      </c>
      <c r="F600" s="68" t="n">
        <v>16000</v>
      </c>
      <c r="G600" s="68">
        <f>IF(B600="","",F600-I600 )</f>
        <v/>
      </c>
      <c r="H600" s="5">
        <f>IF(G600="","",G600/F600)</f>
        <v/>
      </c>
      <c r="I600" s="62">
        <f>SUM(テーブル9[[#This Row],[五大]:[工場材]])</f>
        <v/>
      </c>
      <c r="J600" s="65" t="n"/>
      <c r="K600" s="65" t="n"/>
      <c r="L600" s="65" t="n"/>
      <c r="M600" s="65" t="n"/>
      <c r="N600" s="65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6" t="n"/>
      <c r="Y600" s="65" t="n"/>
      <c r="Z600" s="65" t="n"/>
      <c r="AA600" s="69" t="n">
        <v>12000</v>
      </c>
      <c r="AB600" s="65" t="n"/>
      <c r="AC600" s="65" t="n"/>
      <c r="AD600" s="65" t="n"/>
      <c r="AE600" s="65" t="n"/>
      <c r="AF600" s="65" t="n"/>
      <c r="AG600" s="65" t="n"/>
      <c r="AH600" s="65" t="n"/>
      <c r="AI600" s="65" t="n"/>
      <c r="AJ600" s="65" t="n"/>
      <c r="AK600" s="65" t="n"/>
      <c r="AL600" s="65" t="n"/>
      <c r="AM600" s="65" t="n"/>
      <c r="AN600" s="65" t="n"/>
      <c r="AO600" s="65" t="n"/>
      <c r="AP600" s="65" t="n"/>
      <c r="AQ600" s="65" t="n"/>
      <c r="AR600" s="65" t="n"/>
      <c r="AS600" s="65" t="n"/>
      <c r="AT600" s="65" t="n"/>
      <c r="AU600" s="65" t="n"/>
      <c r="AV600" s="65" t="n"/>
      <c r="AW600" s="65" t="n"/>
      <c r="AX600" s="65" t="n"/>
      <c r="AY600" s="65" t="n"/>
      <c r="AZ600" s="65" t="n"/>
      <c r="BA600" s="65" t="n"/>
      <c r="BB600" s="65" t="n"/>
      <c r="BC600" s="65" t="n"/>
      <c r="BD600" s="65" t="n"/>
      <c r="BE600" s="65" t="n"/>
      <c r="BF600" s="65" t="n"/>
      <c r="BG600" s="65" t="n"/>
    </row>
    <row r="601">
      <c r="B601" s="1" t="inlineStr">
        <is>
          <t>コージーアレイA201</t>
        </is>
      </c>
      <c r="C601" s="1" t="inlineStr">
        <is>
          <t>積水</t>
        </is>
      </c>
      <c r="D601" s="1" t="inlineStr">
        <is>
          <t>キッチン・UB・ドアホン</t>
        </is>
      </c>
      <c r="E601" s="2" t="inlineStr">
        <is>
          <t>7月</t>
        </is>
      </c>
      <c r="F601" s="68" t="n">
        <v>1437000</v>
      </c>
      <c r="G601" s="68">
        <f>IF(B601="","",F601-I601 )</f>
        <v/>
      </c>
      <c r="H601" s="5">
        <f>IF(G601="","",G601/F601)</f>
        <v/>
      </c>
      <c r="I601" s="62">
        <f>SUM(テーブル9[[#This Row],[五大]:[工場材]])</f>
        <v/>
      </c>
      <c r="J601" s="65" t="n"/>
      <c r="K601" s="65" t="n"/>
      <c r="L601" s="65" t="n"/>
      <c r="M601" s="65" t="n"/>
      <c r="N601" s="65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9">
        <f>78000+42000+24000+20000</f>
        <v/>
      </c>
      <c r="X601" s="66" t="n">
        <v>29518</v>
      </c>
      <c r="Y601" s="65" t="n"/>
      <c r="Z601" s="65" t="n"/>
      <c r="AA601" s="69" t="n">
        <v>78000</v>
      </c>
      <c r="AB601" s="65" t="n"/>
      <c r="AC601" s="69">
        <f>23000+14000+7200+23000</f>
        <v/>
      </c>
      <c r="AD601" s="69" t="n"/>
      <c r="AE601" s="65" t="n"/>
      <c r="AF601" s="65" t="n"/>
      <c r="AG601" s="65" t="n"/>
      <c r="AH601" s="69" t="n">
        <v>186158</v>
      </c>
      <c r="AI601" s="65" t="n"/>
      <c r="AJ601" s="69">
        <f>12500</f>
        <v/>
      </c>
      <c r="AK601" s="65" t="n"/>
      <c r="AL601" s="65" t="n"/>
      <c r="AM601" s="65" t="n"/>
      <c r="AN601" s="65" t="n"/>
      <c r="AO601" s="65" t="n"/>
      <c r="AP601" s="69">
        <f>256203+57200+2000</f>
        <v/>
      </c>
      <c r="AQ601" s="69" t="n"/>
      <c r="AR601" s="65" t="n"/>
      <c r="AS601" s="65" t="n"/>
      <c r="AT601" s="69">
        <f>20700+33343+16372+12579+7986+23750+19020+2880+6792+578+23400+9000+1600+1600+4422</f>
        <v/>
      </c>
      <c r="AU601" s="65" t="n"/>
      <c r="AV601" s="65" t="n"/>
      <c r="AW601" s="65" t="n"/>
      <c r="AX601" s="65" t="n"/>
      <c r="AY601" s="65" t="n"/>
      <c r="AZ601" s="65" t="n"/>
      <c r="BA601" s="65" t="n"/>
      <c r="BB601" s="65" t="n"/>
      <c r="BC601" s="65" t="n"/>
      <c r="BD601" s="65" t="n"/>
      <c r="BE601" s="65" t="n"/>
      <c r="BF601" s="65" t="n"/>
      <c r="BG601" s="65" t="n"/>
    </row>
    <row r="602">
      <c r="B602" s="1" t="inlineStr">
        <is>
          <t>コージーアレイB203</t>
        </is>
      </c>
      <c r="C602" s="1" t="inlineStr">
        <is>
          <t>積水</t>
        </is>
      </c>
      <c r="D602" s="1" t="inlineStr">
        <is>
          <t>キッチン・UB・ドアホン</t>
        </is>
      </c>
      <c r="E602" s="2" t="inlineStr">
        <is>
          <t>7月</t>
        </is>
      </c>
      <c r="F602" s="68" t="n">
        <v>1437000</v>
      </c>
      <c r="G602" s="68">
        <f>IF(B602="","",F602-I602 )</f>
        <v/>
      </c>
      <c r="H602" s="5">
        <f>IF(G602="","",G602/F602)</f>
        <v/>
      </c>
      <c r="I602" s="62">
        <f>SUM(テーブル9[[#This Row],[五大]:[工場材]])</f>
        <v/>
      </c>
      <c r="J602" s="65" t="n"/>
      <c r="K602" s="65" t="n"/>
      <c r="L602" s="65" t="n"/>
      <c r="M602" s="65" t="n"/>
      <c r="N602" s="65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9">
        <f>78000+42000+24000</f>
        <v/>
      </c>
      <c r="X602" s="66" t="n">
        <v>29518</v>
      </c>
      <c r="Y602" s="65" t="n"/>
      <c r="Z602" s="65" t="n"/>
      <c r="AA602" s="69" t="n">
        <v>78000</v>
      </c>
      <c r="AB602" s="65" t="n"/>
      <c r="AC602" s="69">
        <f>23000+14000+7200+23000</f>
        <v/>
      </c>
      <c r="AD602" s="69" t="n"/>
      <c r="AE602" s="65" t="n"/>
      <c r="AF602" s="65" t="n"/>
      <c r="AG602" s="65" t="n"/>
      <c r="AH602" s="69" t="n">
        <v>186158</v>
      </c>
      <c r="AI602" s="65" t="n"/>
      <c r="AJ602" s="69" t="n">
        <v>12500</v>
      </c>
      <c r="AK602" s="65" t="n"/>
      <c r="AL602" s="65" t="n"/>
      <c r="AM602" s="65" t="n"/>
      <c r="AN602" s="65" t="n"/>
      <c r="AO602" s="65" t="n"/>
      <c r="AP602" s="69">
        <f>256203+57200+2000</f>
        <v/>
      </c>
      <c r="AQ602" s="69" t="n"/>
      <c r="AR602" s="65" t="n"/>
      <c r="AS602" s="65" t="n"/>
      <c r="AT602" s="69">
        <f>20700+33343+16372+12579+7986+23750+19020+2880+6792+578+23400+9000+1600+1600+4422</f>
        <v/>
      </c>
      <c r="AU602" s="65" t="n"/>
      <c r="AV602" s="65" t="n"/>
      <c r="AW602" s="65" t="n"/>
      <c r="AX602" s="65" t="n"/>
      <c r="AY602" s="65" t="n"/>
      <c r="AZ602" s="65" t="n"/>
      <c r="BA602" s="65" t="n"/>
      <c r="BB602" s="65" t="n"/>
      <c r="BC602" s="65" t="n"/>
      <c r="BD602" s="65" t="n"/>
      <c r="BE602" s="65" t="n"/>
      <c r="BF602" s="65" t="n"/>
      <c r="BG602" s="65" t="n"/>
    </row>
    <row r="603">
      <c r="B603" s="1" t="inlineStr">
        <is>
          <t>K`SCOM　101</t>
        </is>
      </c>
      <c r="C603" s="1" t="inlineStr">
        <is>
          <t>積水</t>
        </is>
      </c>
      <c r="D603" s="1" t="inlineStr">
        <is>
          <t>キッチン・ドアホン</t>
        </is>
      </c>
      <c r="E603" s="2" t="inlineStr">
        <is>
          <t>7月</t>
        </is>
      </c>
      <c r="F603" s="68" t="n">
        <v>904000</v>
      </c>
      <c r="G603" s="68">
        <f>IF(B603="","",F603-I603 )</f>
        <v/>
      </c>
      <c r="H603" s="5">
        <f>IF(G603="","",G603/F603)</f>
        <v/>
      </c>
      <c r="I603" s="62">
        <f>SUM(テーブル9[[#This Row],[五大]:[工場材]])</f>
        <v/>
      </c>
      <c r="J603" s="65" t="n"/>
      <c r="K603" s="65" t="n"/>
      <c r="L603" s="65" t="n"/>
      <c r="M603" s="65" t="n"/>
      <c r="N603" s="65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9">
        <f>78000+24000</f>
        <v/>
      </c>
      <c r="X603" s="66" t="n"/>
      <c r="Y603" s="65" t="n"/>
      <c r="Z603" s="65" t="n"/>
      <c r="AA603" s="69" t="n">
        <v>65000</v>
      </c>
      <c r="AB603" s="65" t="n"/>
      <c r="AC603" s="69">
        <f>23000+14000+7200</f>
        <v/>
      </c>
      <c r="AD603" s="69" t="n"/>
      <c r="AE603" s="65" t="n"/>
      <c r="AF603" s="65" t="n"/>
      <c r="AG603" s="65" t="n"/>
      <c r="AH603" s="69" t="n">
        <v>146755</v>
      </c>
      <c r="AI603" s="65" t="n"/>
      <c r="AJ603" s="69">
        <f>12500+6000</f>
        <v/>
      </c>
      <c r="AK603" s="65" t="n"/>
      <c r="AL603" s="65" t="n"/>
      <c r="AM603" s="65" t="n"/>
      <c r="AN603" s="65" t="n"/>
      <c r="AO603" s="65" t="n"/>
      <c r="AP603" s="65" t="n"/>
      <c r="AQ603" s="65" t="n"/>
      <c r="AR603" s="65" t="n"/>
      <c r="AS603" s="65" t="n"/>
      <c r="AT603" s="69">
        <f>20700+33343+16372+12579+7986+23750+19020+2880+6792+578+23400+9000+1600+1600+4422</f>
        <v/>
      </c>
      <c r="AU603" s="65" t="n"/>
      <c r="AV603" s="65" t="n"/>
      <c r="AW603" s="65" t="n"/>
      <c r="AX603" s="65" t="n"/>
      <c r="AY603" s="65" t="n"/>
      <c r="AZ603" s="65" t="n"/>
      <c r="BA603" s="65" t="n"/>
      <c r="BB603" s="65" t="n"/>
      <c r="BC603" s="65" t="n"/>
      <c r="BD603" s="65" t="n"/>
      <c r="BE603" s="65" t="n"/>
      <c r="BF603" s="65" t="n"/>
      <c r="BG603" s="65" t="n"/>
    </row>
    <row r="604">
      <c r="B604" s="1" t="inlineStr">
        <is>
          <t>丸光屋クリーニング</t>
        </is>
      </c>
      <c r="C604" s="1" t="inlineStr">
        <is>
          <t>光和工業</t>
        </is>
      </c>
      <c r="D604" s="1" t="inlineStr">
        <is>
          <t>動力ブレーカー交換・漏電調査・動力電源</t>
        </is>
      </c>
      <c r="E604" s="2" t="inlineStr">
        <is>
          <t>7月</t>
        </is>
      </c>
      <c r="F604" s="68">
        <f>219200+305800+50000</f>
        <v/>
      </c>
      <c r="G604" s="68">
        <f>IF(B604="","",F604-I604 )</f>
        <v/>
      </c>
      <c r="H604" s="5">
        <f>IF(G604="","",G604/F604)</f>
        <v/>
      </c>
      <c r="I604" s="62">
        <f>SUM(テーブル9[[#This Row],[五大]:[工場材]])</f>
        <v/>
      </c>
      <c r="J604" s="65" t="n"/>
      <c r="K604" s="65" t="n"/>
      <c r="L604" s="65" t="n"/>
      <c r="M604" s="65" t="n"/>
      <c r="N604" s="65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6" t="n"/>
      <c r="Y604" s="65" t="n"/>
      <c r="Z604" s="65" t="n"/>
      <c r="AA604" s="69">
        <f>171000+40000+242000</f>
        <v/>
      </c>
      <c r="AB604" s="65" t="n"/>
      <c r="AC604" s="69" t="n"/>
      <c r="AD604" s="69" t="n"/>
      <c r="AE604" s="65" t="n"/>
      <c r="AF604" s="65" t="n"/>
      <c r="AG604" s="65" t="n"/>
      <c r="AH604" s="69" t="n"/>
      <c r="AI604" s="65" t="n"/>
      <c r="AJ604" s="69" t="n"/>
      <c r="AK604" s="65" t="n"/>
      <c r="AL604" s="65" t="n"/>
      <c r="AM604" s="65" t="n"/>
      <c r="AN604" s="65" t="n"/>
      <c r="AO604" s="65" t="n"/>
      <c r="AP604" s="65" t="n"/>
      <c r="AQ604" s="69" t="n"/>
      <c r="AR604" s="65" t="n"/>
      <c r="AS604" s="65" t="n"/>
      <c r="AT604" s="69" t="n"/>
      <c r="AU604" s="65" t="n"/>
      <c r="AV604" s="65" t="n"/>
      <c r="AW604" s="65" t="n"/>
      <c r="AX604" s="65" t="n"/>
      <c r="AY604" s="65" t="n"/>
      <c r="AZ604" s="65" t="n"/>
      <c r="BA604" s="65" t="n"/>
      <c r="BB604" s="65" t="n"/>
      <c r="BC604" s="65" t="n"/>
      <c r="BD604" s="65" t="n"/>
      <c r="BE604" s="65" t="n"/>
      <c r="BF604" s="65" t="n"/>
      <c r="BG604" s="65" t="n"/>
    </row>
    <row r="605">
      <c r="B605" s="1" t="inlineStr">
        <is>
          <t>丸光屋クリーニング</t>
        </is>
      </c>
      <c r="C605" s="1" t="inlineStr">
        <is>
          <t>光和工業</t>
        </is>
      </c>
      <c r="D605" s="1" t="inlineStr">
        <is>
          <t>ガス工事</t>
        </is>
      </c>
      <c r="E605" s="2" t="inlineStr">
        <is>
          <t>7月</t>
        </is>
      </c>
      <c r="F605" s="68" t="n">
        <v>131000</v>
      </c>
      <c r="G605" s="68">
        <f>IF(B605="","",F605-I605 )</f>
        <v/>
      </c>
      <c r="H605" s="5">
        <f>IF(G605="","",G605/F605)</f>
        <v/>
      </c>
      <c r="I605" s="62">
        <f>SUM(テーブル9[[#This Row],[五大]:[工場材]])</f>
        <v/>
      </c>
      <c r="J605" s="65" t="n"/>
      <c r="K605" s="65" t="n"/>
      <c r="L605" s="65" t="n"/>
      <c r="M605" s="65" t="n"/>
      <c r="N605" s="65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6" t="n"/>
      <c r="Y605" s="65" t="n"/>
      <c r="Z605" s="65" t="n"/>
      <c r="AA605" s="69" t="n"/>
      <c r="AB605" s="65" t="n"/>
      <c r="AC605" s="69" t="n"/>
      <c r="AD605" s="69" t="n"/>
      <c r="AE605" s="65" t="n"/>
      <c r="AF605" s="65" t="n"/>
      <c r="AG605" s="65" t="n"/>
      <c r="AH605" s="65" t="n"/>
      <c r="AI605" s="65" t="n"/>
      <c r="AJ605" s="65" t="n"/>
      <c r="AK605" s="65" t="n"/>
      <c r="AL605" s="65" t="n"/>
      <c r="AM605" s="65" t="n"/>
      <c r="AN605" s="65" t="n"/>
      <c r="AO605" s="65" t="n"/>
      <c r="AP605" s="65" t="n"/>
      <c r="AQ605" s="69" t="n">
        <v>125380</v>
      </c>
      <c r="AR605" s="65" t="n"/>
      <c r="AS605" s="65" t="n"/>
      <c r="AT605" s="69" t="n"/>
      <c r="AU605" s="65" t="n"/>
      <c r="AV605" s="65" t="n"/>
      <c r="AW605" s="65" t="n"/>
      <c r="AX605" s="65" t="n"/>
      <c r="AY605" s="65" t="n"/>
      <c r="AZ605" s="65" t="n"/>
      <c r="BA605" s="65" t="n"/>
      <c r="BB605" s="65" t="n"/>
      <c r="BC605" s="65" t="n"/>
      <c r="BD605" s="65" t="n"/>
      <c r="BE605" s="65" t="n"/>
      <c r="BF605" s="65" t="n"/>
      <c r="BG605" s="65" t="n"/>
    </row>
    <row r="606">
      <c r="B606" s="1" t="inlineStr">
        <is>
          <t>石川邸</t>
        </is>
      </c>
      <c r="C606" s="1" t="inlineStr">
        <is>
          <t>光和工業</t>
        </is>
      </c>
      <c r="D606" s="1" t="inlineStr">
        <is>
          <t>砂利敷工事</t>
        </is>
      </c>
      <c r="E606" s="2" t="inlineStr">
        <is>
          <t>7月</t>
        </is>
      </c>
      <c r="F606" s="68" t="n">
        <v>171000</v>
      </c>
      <c r="G606" s="68">
        <f>IF(B606="","",F606-I606 )</f>
        <v/>
      </c>
      <c r="H606" s="5">
        <f>IF(G606="","",G606/F606)</f>
        <v/>
      </c>
      <c r="I606" s="62">
        <f>SUM(テーブル9[[#This Row],[五大]:[工場材]])</f>
        <v/>
      </c>
      <c r="J606" s="65" t="n"/>
      <c r="K606" s="65" t="n"/>
      <c r="L606" s="65" t="n"/>
      <c r="M606" s="65" t="n"/>
      <c r="N606" s="65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6" t="n"/>
      <c r="Y606" s="65" t="n"/>
      <c r="Z606" s="65" t="n"/>
      <c r="AA606" s="65" t="n"/>
      <c r="AB606" s="65" t="n"/>
      <c r="AC606" s="65" t="n"/>
      <c r="AD606" s="65" t="n"/>
      <c r="AE606" s="65" t="n"/>
      <c r="AF606" s="65" t="n"/>
      <c r="AG606" s="65" t="n"/>
      <c r="AH606" s="65" t="n"/>
      <c r="AI606" s="65" t="n"/>
      <c r="AJ606" s="65" t="n"/>
      <c r="AK606" s="65" t="n"/>
      <c r="AL606" s="65" t="n"/>
      <c r="AM606" s="65" t="n"/>
      <c r="AN606" s="65" t="n"/>
      <c r="AO606" s="65" t="n"/>
      <c r="AP606" s="65" t="n"/>
      <c r="AQ606" s="65" t="n"/>
      <c r="AR606" s="65" t="n"/>
      <c r="AS606" s="65" t="n"/>
      <c r="AT606" s="65" t="n"/>
      <c r="AU606" s="65" t="n"/>
      <c r="AV606" s="65" t="n"/>
      <c r="AW606" s="65" t="n"/>
      <c r="AX606" s="65" t="n"/>
      <c r="AY606" s="65" t="n"/>
      <c r="AZ606" s="65" t="n"/>
      <c r="BA606" s="65" t="n">
        <v>145000</v>
      </c>
      <c r="BB606" s="65" t="n"/>
      <c r="BC606" s="65" t="n"/>
      <c r="BD606" s="65" t="n"/>
      <c r="BE606" s="65" t="n"/>
      <c r="BF606" s="65" t="n"/>
      <c r="BG606" s="65" t="n"/>
    </row>
    <row r="607">
      <c r="B607" s="1" t="inlineStr">
        <is>
          <t>マルヒロ</t>
        </is>
      </c>
      <c r="C607" s="1" t="inlineStr">
        <is>
          <t>光和工業</t>
        </is>
      </c>
      <c r="D607" s="1" t="inlineStr">
        <is>
          <t>網戸交換</t>
        </is>
      </c>
      <c r="E607" s="2" t="inlineStr">
        <is>
          <t>7月</t>
        </is>
      </c>
      <c r="F607" s="68" t="n">
        <v>68000</v>
      </c>
      <c r="G607" s="68">
        <f>IF(B607="","",F607-I607 )</f>
        <v/>
      </c>
      <c r="H607" s="5">
        <f>IF(G607="","",G607/F607)</f>
        <v/>
      </c>
      <c r="I607" s="62">
        <f>SUM(テーブル9[[#This Row],[五大]:[工場材]])</f>
        <v/>
      </c>
      <c r="J607" s="65" t="n"/>
      <c r="K607" s="65" t="n"/>
      <c r="L607" s="65" t="n"/>
      <c r="M607" s="65" t="n"/>
      <c r="N607" s="65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6" t="n"/>
      <c r="Y607" s="65" t="n"/>
      <c r="Z607" s="65" t="n"/>
      <c r="AA607" s="65" t="n"/>
      <c r="AB607" s="65" t="n"/>
      <c r="AC607" s="65" t="n"/>
      <c r="AD607" s="65" t="n"/>
      <c r="AE607" s="69" t="n">
        <v>52860</v>
      </c>
      <c r="AF607" s="65" t="n"/>
      <c r="AG607" s="65" t="n"/>
      <c r="AH607" s="65" t="n"/>
      <c r="AI607" s="65" t="n"/>
      <c r="AJ607" s="65" t="n"/>
      <c r="AK607" s="65" t="n"/>
      <c r="AL607" s="65" t="n"/>
      <c r="AM607" s="65" t="n"/>
      <c r="AN607" s="65" t="n"/>
      <c r="AO607" s="65" t="n"/>
      <c r="AP607" s="65" t="n"/>
      <c r="AQ607" s="65" t="n"/>
      <c r="AR607" s="65" t="n"/>
      <c r="AS607" s="65" t="n"/>
      <c r="AT607" s="65" t="n"/>
      <c r="AU607" s="65" t="n"/>
      <c r="AV607" s="65" t="n"/>
      <c r="AW607" s="65" t="n"/>
      <c r="AX607" s="65" t="n"/>
      <c r="AY607" s="65" t="n"/>
      <c r="AZ607" s="65" t="n"/>
      <c r="BA607" s="65" t="n"/>
      <c r="BB607" s="65" t="n"/>
      <c r="BC607" s="65" t="n"/>
      <c r="BD607" s="65" t="n"/>
      <c r="BE607" s="65" t="n"/>
      <c r="BF607" s="65" t="n"/>
      <c r="BG607" s="65" t="n"/>
    </row>
    <row r="608">
      <c r="B608" s="1" t="inlineStr">
        <is>
          <t>GHきくたまち</t>
        </is>
      </c>
      <c r="C608" s="1" t="inlineStr">
        <is>
          <t>光和工業</t>
        </is>
      </c>
      <c r="D608" s="1" t="inlineStr">
        <is>
          <t>内装工事</t>
        </is>
      </c>
      <c r="E608" s="2" t="inlineStr">
        <is>
          <t>7月</t>
        </is>
      </c>
      <c r="F608" s="68" t="n">
        <v>116000</v>
      </c>
      <c r="G608" s="68">
        <f>IF(B608="","",F608-I608 )</f>
        <v/>
      </c>
      <c r="H608" s="5">
        <f>IF(G608="","",G608/F608)</f>
        <v/>
      </c>
      <c r="I608" s="62">
        <f>SUM(テーブル9[[#This Row],[五大]:[工場材]])</f>
        <v/>
      </c>
      <c r="J608" s="65" t="n"/>
      <c r="K608" s="65" t="n"/>
      <c r="L608" s="65" t="n"/>
      <c r="M608" s="65" t="n"/>
      <c r="N608" s="65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6" t="n"/>
      <c r="Y608" s="65" t="n"/>
      <c r="Z608" s="65" t="n"/>
      <c r="AA608" s="65" t="n"/>
      <c r="AB608" s="65" t="n"/>
      <c r="AC608" s="65" t="n"/>
      <c r="AD608" s="65" t="n"/>
      <c r="AE608" s="65" t="n"/>
      <c r="AF608" s="65" t="n"/>
      <c r="AG608" s="65" t="n"/>
      <c r="AH608" s="69" t="n">
        <v>37320</v>
      </c>
      <c r="AI608" s="65" t="n"/>
      <c r="AJ608" s="69">
        <f>12500+6000</f>
        <v/>
      </c>
      <c r="AK608" s="65" t="n"/>
      <c r="AL608" s="65" t="n"/>
      <c r="AM608" s="65" t="n"/>
      <c r="AN608" s="65" t="n"/>
      <c r="AO608" s="65" t="n"/>
      <c r="AP608" s="65" t="n"/>
      <c r="AQ608" s="65" t="n"/>
      <c r="AR608" s="65" t="n"/>
      <c r="AS608" s="65" t="n"/>
      <c r="AT608" s="65" t="n"/>
      <c r="AU608" s="65" t="n"/>
      <c r="AV608" s="65" t="n"/>
      <c r="AW608" s="65" t="n"/>
      <c r="AX608" s="65" t="n"/>
      <c r="AY608" s="65" t="n"/>
      <c r="AZ608" s="65" t="n"/>
      <c r="BA608" s="65" t="n"/>
      <c r="BB608" s="65" t="n"/>
      <c r="BC608" s="65" t="n"/>
      <c r="BD608" s="65" t="n"/>
      <c r="BE608" s="65" t="n"/>
      <c r="BF608" s="65" t="n"/>
      <c r="BG608" s="65" t="n"/>
    </row>
    <row r="609">
      <c r="B609" s="1" t="inlineStr">
        <is>
          <t>桂　斎藤邸</t>
        </is>
      </c>
      <c r="C609" s="1" t="inlineStr">
        <is>
          <t>LIXIL</t>
        </is>
      </c>
      <c r="D609" s="1" t="inlineStr">
        <is>
          <t>便器交換</t>
        </is>
      </c>
      <c r="E609" s="2" t="inlineStr">
        <is>
          <t>7月</t>
        </is>
      </c>
      <c r="F609" s="68" t="n">
        <v>27640</v>
      </c>
      <c r="G609" s="68">
        <f>IF(B609="","",F609-I609 )</f>
        <v/>
      </c>
      <c r="H609" s="5">
        <f>IF(G609="","",G609/F609)</f>
        <v/>
      </c>
      <c r="I609" s="62">
        <f>SUM(テーブル9[[#This Row],[五大]:[工場材]])</f>
        <v/>
      </c>
      <c r="J609" s="65" t="n"/>
      <c r="K609" s="65" t="n"/>
      <c r="L609" s="65" t="n"/>
      <c r="M609" s="65" t="n"/>
      <c r="N609" s="65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6" t="n"/>
      <c r="Y609" s="65" t="n"/>
      <c r="Z609" s="65" t="n"/>
      <c r="AA609" s="65" t="n"/>
      <c r="AB609" s="64" t="n">
        <v>23000</v>
      </c>
      <c r="AC609" s="65" t="n"/>
      <c r="AD609" s="65" t="n"/>
      <c r="AE609" s="65" t="n"/>
      <c r="AF609" s="65" t="n"/>
      <c r="AG609" s="65" t="n"/>
      <c r="AH609" s="65" t="n"/>
      <c r="AI609" s="65" t="n"/>
      <c r="AJ609" s="65" t="n"/>
      <c r="AK609" s="65" t="n"/>
      <c r="AL609" s="65" t="n"/>
      <c r="AM609" s="65" t="n"/>
      <c r="AN609" s="65" t="n"/>
      <c r="AO609" s="65" t="n"/>
      <c r="AP609" s="65" t="n"/>
      <c r="AQ609" s="65" t="n"/>
      <c r="AR609" s="65" t="n"/>
      <c r="AS609" s="65" t="n"/>
      <c r="AT609" s="65" t="n"/>
      <c r="AU609" s="65" t="n"/>
      <c r="AV609" s="65" t="n"/>
      <c r="AW609" s="65" t="n"/>
      <c r="AX609" s="65" t="n"/>
      <c r="AY609" s="65" t="n"/>
      <c r="AZ609" s="65" t="n"/>
      <c r="BA609" s="65" t="n"/>
      <c r="BB609" s="65" t="n"/>
      <c r="BC609" s="65" t="n"/>
      <c r="BD609" s="65" t="n"/>
      <c r="BE609" s="65" t="n"/>
      <c r="BF609" s="65" t="n"/>
      <c r="BG609" s="65" t="n"/>
    </row>
    <row r="610">
      <c r="B610" s="1" t="inlineStr">
        <is>
          <t>富ヶ丘　遠藤邸</t>
        </is>
      </c>
      <c r="C610" s="1" t="inlineStr">
        <is>
          <t>佐信木材</t>
        </is>
      </c>
      <c r="D610" s="1" t="inlineStr">
        <is>
          <t>ウッドデッキ交換</t>
        </is>
      </c>
      <c r="E610" s="2" t="inlineStr">
        <is>
          <t>7月</t>
        </is>
      </c>
      <c r="F610" s="68" t="n">
        <v>530000</v>
      </c>
      <c r="G610" s="68">
        <f>IF(B610="","",F610-I610 )</f>
        <v/>
      </c>
      <c r="H610" s="5">
        <f>IF(G610="","",G610/F610)</f>
        <v/>
      </c>
      <c r="I610" s="62">
        <f>SUM(テーブル9[[#This Row],[五大]:[工場材]])</f>
        <v/>
      </c>
      <c r="J610" s="65" t="n"/>
      <c r="K610" s="65" t="n"/>
      <c r="L610" s="65" t="n"/>
      <c r="M610" s="65" t="n"/>
      <c r="N610" s="65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6" t="n"/>
      <c r="Y610" s="65" t="n"/>
      <c r="Z610" s="65" t="n"/>
      <c r="AA610" s="65" t="n"/>
      <c r="AB610" s="65" t="n"/>
      <c r="AC610" s="65" t="n"/>
      <c r="AD610" s="65" t="n"/>
      <c r="AE610" s="65" t="n">
        <v>549840</v>
      </c>
      <c r="AF610" s="65" t="n"/>
      <c r="AG610" s="65" t="n"/>
      <c r="AH610" s="65" t="n"/>
      <c r="AI610" s="65" t="n"/>
      <c r="AJ610" s="65" t="n"/>
      <c r="AK610" s="65" t="n"/>
      <c r="AL610" s="65" t="n"/>
      <c r="AM610" s="65" t="n"/>
      <c r="AN610" s="65" t="n"/>
      <c r="AO610" s="65" t="n"/>
      <c r="AP610" s="65" t="n"/>
      <c r="AQ610" s="65" t="n"/>
      <c r="AR610" s="65" t="n"/>
      <c r="AS610" s="65" t="n"/>
      <c r="AT610" s="65" t="n"/>
      <c r="AU610" s="65" t="n"/>
      <c r="AV610" s="65" t="n"/>
      <c r="AW610" s="65" t="n"/>
      <c r="AX610" s="65" t="n"/>
      <c r="AY610" s="65" t="n"/>
      <c r="AZ610" s="65" t="n"/>
      <c r="BA610" s="65" t="n"/>
      <c r="BB610" s="65" t="n"/>
      <c r="BC610" s="65" t="n"/>
      <c r="BD610" s="65" t="n"/>
      <c r="BE610" s="65" t="n"/>
      <c r="BF610" s="65" t="n"/>
      <c r="BG610" s="65" t="n"/>
    </row>
    <row r="611">
      <c r="F611" s="68" t="n"/>
      <c r="G611" s="68">
        <f>IF(B611="","",F611-I611 )</f>
        <v/>
      </c>
      <c r="H611" s="5">
        <f>IF(G611="","",G611/F611)</f>
        <v/>
      </c>
      <c r="I611" s="62">
        <f>SUM(テーブル9[[#This Row],[五大]:[工場材]])</f>
        <v/>
      </c>
      <c r="J611" s="65" t="n"/>
      <c r="K611" s="65" t="n"/>
      <c r="L611" s="65" t="n"/>
      <c r="M611" s="65" t="n"/>
      <c r="N611" s="65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6" t="n"/>
      <c r="Y611" s="65" t="n"/>
      <c r="Z611" s="65" t="n"/>
      <c r="AA611" s="65" t="n"/>
      <c r="AB611" s="65" t="n"/>
      <c r="AC611" s="65" t="n"/>
      <c r="AD611" s="65" t="n"/>
      <c r="AE611" s="65" t="n"/>
      <c r="AF611" s="65" t="n"/>
      <c r="AG611" s="65" t="n"/>
      <c r="AH611" s="65" t="n"/>
      <c r="AI611" s="65" t="n"/>
      <c r="AJ611" s="65" t="n"/>
      <c r="AK611" s="65" t="n"/>
      <c r="AL611" s="65" t="n"/>
      <c r="AM611" s="65" t="n"/>
      <c r="AN611" s="65" t="n"/>
      <c r="AO611" s="65" t="n"/>
      <c r="AP611" s="65" t="n"/>
      <c r="AQ611" s="65" t="n"/>
      <c r="AR611" s="65" t="n"/>
      <c r="AS611" s="65" t="n"/>
      <c r="AT611" s="65" t="n"/>
      <c r="AU611" s="65" t="n"/>
      <c r="AV611" s="65" t="n"/>
      <c r="AW611" s="65" t="n"/>
      <c r="AX611" s="65" t="n"/>
      <c r="AY611" s="65" t="n"/>
      <c r="AZ611" s="65" t="n"/>
      <c r="BA611" s="65" t="n"/>
      <c r="BB611" s="65" t="n"/>
      <c r="BC611" s="65" t="n"/>
      <c r="BD611" s="65" t="n"/>
      <c r="BE611" s="65" t="n"/>
      <c r="BF611" s="65" t="n"/>
      <c r="BG611" s="65" t="n"/>
    </row>
    <row r="612">
      <c r="B612" s="1" t="inlineStr">
        <is>
          <t>ネオハイツ多賀城203</t>
        </is>
      </c>
      <c r="C612" s="1" t="inlineStr">
        <is>
          <t>LIXIL</t>
        </is>
      </c>
      <c r="D612" s="1" t="inlineStr">
        <is>
          <t>漏水復旧工事</t>
        </is>
      </c>
      <c r="E612" s="2" t="inlineStr">
        <is>
          <t>8月</t>
        </is>
      </c>
      <c r="F612" s="68" t="n">
        <v>1203614</v>
      </c>
      <c r="G612" s="68">
        <f>IF(B612="","",F612-I612 )</f>
        <v/>
      </c>
      <c r="H612" s="5">
        <f>IF(G612="","",G612/F612)</f>
        <v/>
      </c>
      <c r="I612" s="62">
        <f>SUM(テーブル9[[#This Row],[五大]:[工場材]])</f>
        <v/>
      </c>
      <c r="J612" s="65" t="n"/>
      <c r="K612" s="65" t="n"/>
      <c r="L612" s="65" t="n"/>
      <c r="M612" s="65" t="n"/>
      <c r="N612" s="65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9" t="n">
        <v>200000</v>
      </c>
      <c r="X612" s="66">
        <f>126332/2</f>
        <v/>
      </c>
      <c r="Y612" s="65" t="n"/>
      <c r="Z612" s="65" t="n"/>
      <c r="AA612" s="69">
        <f>75000</f>
        <v/>
      </c>
      <c r="AB612" s="69" t="n">
        <v>414000</v>
      </c>
      <c r="AC612" s="65" t="n"/>
      <c r="AD612" s="65" t="n"/>
      <c r="AE612" s="65" t="n"/>
      <c r="AF612" s="65" t="n"/>
      <c r="AG612" s="65" t="n"/>
      <c r="AH612" s="69" t="n">
        <v>77800</v>
      </c>
      <c r="AI612" s="65" t="n"/>
      <c r="AJ612" s="65" t="n"/>
      <c r="AK612" s="65" t="n"/>
      <c r="AL612" s="65" t="n"/>
      <c r="AM612" s="65" t="n"/>
      <c r="AN612" s="65" t="n"/>
      <c r="AO612" s="65" t="n"/>
      <c r="AP612" s="65" t="n"/>
      <c r="AQ612" s="65" t="n"/>
      <c r="AR612" s="65" t="n"/>
      <c r="AS612" s="65" t="n"/>
      <c r="AT612" s="65" t="n"/>
      <c r="AU612" s="65" t="n"/>
      <c r="AV612" s="65" t="n"/>
      <c r="AW612" s="65" t="n"/>
      <c r="AX612" s="65" t="n"/>
      <c r="AY612" s="65" t="n"/>
      <c r="AZ612" s="65" t="n"/>
      <c r="BA612" s="65" t="n"/>
      <c r="BB612" s="65" t="n"/>
      <c r="BC612" s="65" t="n"/>
      <c r="BD612" s="65" t="n"/>
      <c r="BE612" s="65" t="n"/>
      <c r="BF612" s="65" t="n"/>
      <c r="BG612" s="65" t="n"/>
    </row>
    <row r="613">
      <c r="B613" s="1" t="inlineStr">
        <is>
          <t>ルサンク仙台908</t>
        </is>
      </c>
      <c r="C613" s="1" t="inlineStr">
        <is>
          <t>LIXIL</t>
        </is>
      </c>
      <c r="D613" s="1" t="inlineStr">
        <is>
          <t>UB・トイレ工事</t>
        </is>
      </c>
      <c r="E613" s="2" t="inlineStr">
        <is>
          <t>8月</t>
        </is>
      </c>
      <c r="F613" s="68">
        <f>45000+39900+60000+18000+8000+25000+18000+17000+25000+48000+8000+18000+36000+12000+8000</f>
        <v/>
      </c>
      <c r="G613" s="68">
        <f>IF(B613="","",F613-I613 )</f>
        <v/>
      </c>
      <c r="H613" s="5">
        <f>IF(G613="","",G613/F613)</f>
        <v/>
      </c>
      <c r="I613" s="62">
        <f>SUM(テーブル9[[#This Row],[五大]:[工場材]])</f>
        <v/>
      </c>
      <c r="J613" s="65" t="n"/>
      <c r="K613" s="65" t="n"/>
      <c r="L613" s="65" t="n"/>
      <c r="M613" s="65" t="n"/>
      <c r="N613" s="65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9" t="n">
        <v>80000</v>
      </c>
      <c r="X613" s="66" t="n">
        <v>43521</v>
      </c>
      <c r="Y613" s="65" t="n"/>
      <c r="Z613" s="65" t="n"/>
      <c r="AA613" s="69" t="n">
        <v>48000</v>
      </c>
      <c r="AB613" s="69" t="n">
        <v>180000</v>
      </c>
      <c r="AC613" s="65" t="n"/>
      <c r="AD613" s="65" t="n"/>
      <c r="AE613" s="65" t="n"/>
      <c r="AF613" s="65" t="n"/>
      <c r="AG613" s="65" t="n"/>
      <c r="AH613" s="69" t="n">
        <v>65000</v>
      </c>
      <c r="AI613" s="65" t="n"/>
      <c r="AJ613" s="65" t="n"/>
      <c r="AK613" s="65" t="n"/>
      <c r="AL613" s="65" t="n"/>
      <c r="AM613" s="65" t="n"/>
      <c r="AN613" s="65" t="n"/>
      <c r="AO613" s="65" t="n"/>
      <c r="AP613" s="65" t="n"/>
      <c r="AQ613" s="65" t="n"/>
      <c r="AR613" s="65" t="n"/>
      <c r="AS613" s="65" t="n"/>
      <c r="AT613" s="65" t="n"/>
      <c r="AU613" s="65" t="n"/>
      <c r="AV613" s="65" t="n"/>
      <c r="AW613" s="65" t="n"/>
      <c r="AX613" s="65" t="n"/>
      <c r="AY613" s="65" t="n"/>
      <c r="AZ613" s="65" t="n"/>
      <c r="BA613" s="65" t="n"/>
      <c r="BB613" s="65" t="n"/>
      <c r="BC613" s="65" t="n"/>
      <c r="BD613" s="65" t="n"/>
      <c r="BE613" s="65" t="n"/>
      <c r="BF613" s="65" t="n"/>
      <c r="BG613" s="65" t="n"/>
    </row>
    <row r="614">
      <c r="B614" s="1" t="inlineStr">
        <is>
          <t>山本　田所邸</t>
        </is>
      </c>
      <c r="C614" s="1" t="inlineStr">
        <is>
          <t>LIXIL</t>
        </is>
      </c>
      <c r="D614" s="1" t="inlineStr">
        <is>
          <t>浴室乾燥暖房交換</t>
        </is>
      </c>
      <c r="E614" s="2" t="inlineStr">
        <is>
          <t>8月</t>
        </is>
      </c>
      <c r="F614" s="68" t="n">
        <v>26064</v>
      </c>
      <c r="G614" s="68">
        <f>IF(B614="","",F614-I614 )</f>
        <v/>
      </c>
      <c r="H614" s="5">
        <f>IF(G614="","",G614/F614)</f>
        <v/>
      </c>
      <c r="I614" s="62">
        <f>SUM(テーブル9[[#This Row],[五大]:[工場材]])</f>
        <v/>
      </c>
      <c r="J614" s="65" t="n"/>
      <c r="K614" s="65" t="n"/>
      <c r="L614" s="65" t="n"/>
      <c r="M614" s="65" t="n"/>
      <c r="N614" s="65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6" t="n"/>
      <c r="Y614" s="65" t="n"/>
      <c r="Z614" s="65" t="n"/>
      <c r="AA614" s="69" t="n">
        <v>35000</v>
      </c>
      <c r="AB614" s="65" t="n"/>
      <c r="AC614" s="65" t="n"/>
      <c r="AD614" s="65" t="n"/>
      <c r="AE614" s="65" t="n"/>
      <c r="AF614" s="65" t="n"/>
      <c r="AG614" s="65" t="n"/>
      <c r="AH614" s="65" t="n"/>
      <c r="AI614" s="65" t="n"/>
      <c r="AJ614" s="65" t="n"/>
      <c r="AK614" s="65" t="n"/>
      <c r="AL614" s="65" t="n"/>
      <c r="AM614" s="65" t="n"/>
      <c r="AN614" s="65" t="n"/>
      <c r="AO614" s="65" t="n"/>
      <c r="AP614" s="65" t="n"/>
      <c r="AQ614" s="65" t="n"/>
      <c r="AR614" s="65" t="n"/>
      <c r="AS614" s="65" t="n"/>
      <c r="AT614" s="65" t="n"/>
      <c r="AU614" s="65" t="n"/>
      <c r="AV614" s="65" t="n"/>
      <c r="AW614" s="65" t="n"/>
      <c r="AX614" s="65" t="n"/>
      <c r="AY614" s="65" t="n"/>
      <c r="AZ614" s="65" t="n"/>
      <c r="BA614" s="65" t="n"/>
      <c r="BB614" s="65" t="n"/>
      <c r="BC614" s="65" t="n"/>
      <c r="BD614" s="65" t="n"/>
      <c r="BE614" s="65" t="n"/>
      <c r="BF614" s="65" t="n"/>
      <c r="BG614" s="65" t="n"/>
    </row>
    <row r="615">
      <c r="F615" s="68" t="n"/>
      <c r="G615" s="68">
        <f>IF(B615="","",F615-I615 )</f>
        <v/>
      </c>
      <c r="H615" s="5">
        <f>IF(G615="","",G615/F615)</f>
        <v/>
      </c>
      <c r="I615" s="62">
        <f>SUM(テーブル9[[#This Row],[五大]:[工場材]])</f>
        <v/>
      </c>
      <c r="J615" s="65" t="n"/>
      <c r="K615" s="65" t="n"/>
      <c r="L615" s="65" t="n"/>
      <c r="M615" s="65" t="n"/>
      <c r="N615" s="65" t="n"/>
      <c r="O615" s="65" t="n"/>
      <c r="P615" s="65" t="n"/>
      <c r="Q615" s="65" t="n"/>
      <c r="R615" s="65" t="n"/>
      <c r="S615" s="65" t="n"/>
      <c r="T615" s="65" t="n"/>
      <c r="U615" s="65" t="n"/>
      <c r="V615" s="65" t="n"/>
      <c r="W615" s="65" t="n"/>
      <c r="X615" s="66" t="n"/>
      <c r="Y615" s="65" t="n"/>
      <c r="Z615" s="65" t="n"/>
      <c r="AA615" s="65" t="n"/>
      <c r="AB615" s="65" t="n"/>
      <c r="AC615" s="65" t="n"/>
      <c r="AD615" s="65" t="n"/>
      <c r="AE615" s="65" t="n"/>
      <c r="AF615" s="65" t="n"/>
      <c r="AG615" s="65" t="n"/>
      <c r="AH615" s="65" t="n"/>
      <c r="AI615" s="65" t="n"/>
      <c r="AJ615" s="65" t="n"/>
      <c r="AK615" s="65" t="n"/>
      <c r="AL615" s="65" t="n"/>
      <c r="AM615" s="65" t="n"/>
      <c r="AN615" s="65" t="n"/>
      <c r="AO615" s="65" t="n"/>
      <c r="AP615" s="65" t="n"/>
      <c r="AQ615" s="65" t="n"/>
      <c r="AR615" s="65" t="n"/>
      <c r="AS615" s="65" t="n"/>
      <c r="AT615" s="65" t="n"/>
      <c r="AU615" s="65" t="n"/>
      <c r="AV615" s="65" t="n"/>
      <c r="AW615" s="65" t="n"/>
      <c r="AX615" s="65" t="n"/>
      <c r="AY615" s="65" t="n"/>
      <c r="AZ615" s="65" t="n"/>
      <c r="BA615" s="65" t="n"/>
      <c r="BB615" s="65" t="n"/>
      <c r="BC615" s="65" t="n"/>
      <c r="BD615" s="65" t="n"/>
      <c r="BE615" s="65" t="n"/>
      <c r="BF615" s="65" t="n"/>
      <c r="BG615" s="65" t="n"/>
    </row>
    <row r="616">
      <c r="B616" s="1" t="inlineStr">
        <is>
          <t>ネオハイツ多賀城103</t>
        </is>
      </c>
      <c r="C616" s="1" t="inlineStr">
        <is>
          <t>LIXIL</t>
        </is>
      </c>
      <c r="D616" s="1" t="inlineStr">
        <is>
          <t>漏水復旧工事</t>
        </is>
      </c>
      <c r="E616" s="2" t="inlineStr">
        <is>
          <t>8月</t>
        </is>
      </c>
      <c r="F616" s="68" t="n">
        <v>1038800</v>
      </c>
      <c r="G616" s="68">
        <f>IF(B616="","",F616-I616 )</f>
        <v/>
      </c>
      <c r="H616" s="5">
        <f>IF(G616="","",G616/F616)</f>
        <v/>
      </c>
      <c r="I616" s="62">
        <f>SUM(テーブル9[[#This Row],[五大]:[工場材]])</f>
        <v/>
      </c>
      <c r="J616" s="65" t="n"/>
      <c r="K616" s="65" t="n"/>
      <c r="L616" s="65" t="n"/>
      <c r="M616" s="65" t="n"/>
      <c r="N616" s="65" t="n"/>
      <c r="O616" s="65" t="n"/>
      <c r="P616" s="65" t="n"/>
      <c r="Q616" s="65" t="n"/>
      <c r="R616" s="65" t="n"/>
      <c r="S616" s="65" t="n"/>
      <c r="T616" s="65" t="n"/>
      <c r="U616" s="65" t="n"/>
      <c r="V616" s="65" t="n"/>
      <c r="W616" s="69" t="n">
        <v>250000</v>
      </c>
      <c r="X616" s="66">
        <f>126332/2</f>
        <v/>
      </c>
      <c r="Y616" s="65" t="n"/>
      <c r="Z616" s="65" t="n"/>
      <c r="AA616" s="69" t="n">
        <v>65000</v>
      </c>
      <c r="AB616" s="69" t="n">
        <v>70000</v>
      </c>
      <c r="AC616" s="65" t="n"/>
      <c r="AD616" s="65" t="n"/>
      <c r="AE616" s="65" t="n"/>
      <c r="AF616" s="65" t="n"/>
      <c r="AG616" s="65" t="n"/>
      <c r="AH616" s="69" t="n">
        <v>283000</v>
      </c>
      <c r="AI616" s="65" t="n"/>
      <c r="AJ616" s="65" t="n"/>
      <c r="AK616" s="65" t="n"/>
      <c r="AL616" s="65" t="n"/>
      <c r="AM616" s="65" t="n"/>
      <c r="AN616" s="65" t="n"/>
      <c r="AO616" s="65" t="n"/>
      <c r="AP616" s="65" t="n"/>
      <c r="AQ616" s="65" t="n"/>
      <c r="AR616" s="65" t="n"/>
      <c r="AS616" s="65" t="n"/>
      <c r="AT616" s="65" t="n"/>
      <c r="AU616" s="65" t="n"/>
      <c r="AV616" s="65" t="n"/>
      <c r="AW616" s="65" t="n"/>
      <c r="AX616" s="65" t="n"/>
      <c r="AY616" s="65" t="n"/>
      <c r="AZ616" s="65" t="n"/>
      <c r="BA616" s="65" t="n"/>
      <c r="BB616" s="65" t="n"/>
      <c r="BC616" s="65" t="n"/>
      <c r="BD616" s="65" t="n"/>
      <c r="BE616" s="65" t="n"/>
      <c r="BF616" s="65" t="n"/>
      <c r="BG616" s="65" t="n"/>
    </row>
    <row r="617">
      <c r="B617" s="1" t="inlineStr">
        <is>
          <t>名取　近江邸</t>
        </is>
      </c>
      <c r="C617" s="1" t="inlineStr">
        <is>
          <t>LIXIL</t>
        </is>
      </c>
      <c r="D617" s="1" t="inlineStr">
        <is>
          <t>クロス</t>
        </is>
      </c>
      <c r="E617" s="2" t="inlineStr">
        <is>
          <t>8月</t>
        </is>
      </c>
      <c r="F617" s="68" t="n">
        <v>38010</v>
      </c>
      <c r="G617" s="68">
        <f>IF(B617="","",F617-I617 )</f>
        <v/>
      </c>
      <c r="H617" s="5">
        <f>IF(G617="","",G617/F617)</f>
        <v/>
      </c>
      <c r="I617" s="62">
        <f>SUM(テーブル9[[#This Row],[五大]:[工場材]])</f>
        <v/>
      </c>
      <c r="J617" s="65" t="n"/>
      <c r="K617" s="65" t="n"/>
      <c r="L617" s="65" t="n"/>
      <c r="M617" s="65" t="n"/>
      <c r="N617" s="65" t="n"/>
      <c r="O617" s="65" t="n"/>
      <c r="P617" s="65" t="n"/>
      <c r="Q617" s="65" t="n"/>
      <c r="R617" s="65" t="n"/>
      <c r="S617" s="65" t="n"/>
      <c r="T617" s="65" t="n"/>
      <c r="U617" s="65" t="n"/>
      <c r="V617" s="65" t="n"/>
      <c r="W617" s="65" t="n"/>
      <c r="X617" s="66" t="n"/>
      <c r="Y617" s="65" t="n"/>
      <c r="Z617" s="65" t="n"/>
      <c r="AA617" s="65" t="n"/>
      <c r="AB617" s="65" t="n"/>
      <c r="AC617" s="65" t="n"/>
      <c r="AD617" s="65" t="n"/>
      <c r="AE617" s="65" t="n"/>
      <c r="AF617" s="65" t="n"/>
      <c r="AG617" s="65" t="n"/>
      <c r="AH617" s="65" t="n"/>
      <c r="AI617" s="65" t="n"/>
      <c r="AJ617" s="65" t="n"/>
      <c r="AK617" s="65" t="n"/>
      <c r="AL617" s="65" t="n"/>
      <c r="AM617" s="65" t="n"/>
      <c r="AN617" s="65" t="n"/>
      <c r="AO617" s="65" t="n"/>
      <c r="AP617" s="65" t="n"/>
      <c r="AQ617" s="65" t="n"/>
      <c r="AR617" s="65" t="n"/>
      <c r="AS617" s="65" t="n"/>
      <c r="AT617" s="65" t="n"/>
      <c r="AU617" s="65" t="n"/>
      <c r="AV617" s="65" t="n"/>
      <c r="AW617" s="65" t="n"/>
      <c r="AX617" s="65" t="n"/>
      <c r="AY617" s="65" t="n"/>
      <c r="AZ617" s="65" t="n"/>
      <c r="BA617" s="65" t="n"/>
      <c r="BB617" s="65" t="n"/>
      <c r="BC617" s="65" t="n"/>
      <c r="BD617" s="65" t="n"/>
      <c r="BE617" s="65" t="n"/>
      <c r="BF617" s="65" t="n"/>
      <c r="BG617" s="65" t="n"/>
    </row>
    <row r="618">
      <c r="B618" s="1" t="inlineStr">
        <is>
          <t>台原 松橋邸</t>
        </is>
      </c>
      <c r="C618" s="1" t="inlineStr">
        <is>
          <t>LIXIL</t>
        </is>
      </c>
      <c r="D618" s="1" t="inlineStr">
        <is>
          <t>トイレ交換</t>
        </is>
      </c>
      <c r="E618" s="2" t="inlineStr">
        <is>
          <t>8月</t>
        </is>
      </c>
      <c r="F618" s="68">
        <f>2236+9000+1000+15324+2676</f>
        <v/>
      </c>
      <c r="G618" s="68">
        <f>IF(B618="","",F618-I618 )</f>
        <v/>
      </c>
      <c r="H618" s="5">
        <f>IF(G618="","",G618/F618)</f>
        <v/>
      </c>
      <c r="I618" s="62">
        <f>SUM(テーブル9[[#This Row],[五大]:[工場材]])</f>
        <v/>
      </c>
      <c r="J618" s="65" t="n"/>
      <c r="K618" s="65" t="n"/>
      <c r="L618" s="65" t="n"/>
      <c r="M618" s="65" t="n"/>
      <c r="N618" s="65" t="n"/>
      <c r="O618" s="65" t="n"/>
      <c r="P618" s="65" t="n"/>
      <c r="Q618" s="65" t="n"/>
      <c r="R618" s="65" t="n"/>
      <c r="S618" s="65" t="n"/>
      <c r="T618" s="65" t="n"/>
      <c r="U618" s="65" t="n"/>
      <c r="V618" s="65" t="n"/>
      <c r="W618" s="65" t="n"/>
      <c r="X618" s="66" t="n"/>
      <c r="Y618" s="65" t="n"/>
      <c r="Z618" s="65" t="n"/>
      <c r="AA618" s="65" t="n"/>
      <c r="AB618" s="69" t="n">
        <v>26000</v>
      </c>
      <c r="AC618" s="65" t="n"/>
      <c r="AD618" s="65" t="n"/>
      <c r="AE618" s="65" t="n"/>
      <c r="AF618" s="65" t="n"/>
      <c r="AG618" s="65" t="n"/>
      <c r="AH618" s="69" t="n"/>
      <c r="AI618" s="65" t="n"/>
      <c r="AJ618" s="65" t="n"/>
      <c r="AK618" s="65" t="n"/>
      <c r="AL618" s="65" t="n"/>
      <c r="AM618" s="65" t="n"/>
      <c r="AN618" s="65" t="n"/>
      <c r="AO618" s="65" t="n"/>
      <c r="AP618" s="65" t="n"/>
      <c r="AQ618" s="65" t="n"/>
      <c r="AR618" s="65" t="n"/>
      <c r="AS618" s="65" t="n"/>
      <c r="AT618" s="65" t="n"/>
      <c r="AU618" s="65" t="n"/>
      <c r="AV618" s="65" t="n"/>
      <c r="AW618" s="65" t="n"/>
      <c r="AX618" s="65" t="n"/>
      <c r="AY618" s="65" t="n"/>
      <c r="AZ618" s="65" t="n"/>
      <c r="BA618" s="65" t="n"/>
      <c r="BB618" s="65" t="n"/>
      <c r="BC618" s="65" t="n"/>
      <c r="BD618" s="65" t="n"/>
      <c r="BE618" s="65" t="n"/>
      <c r="BF618" s="65" t="n"/>
      <c r="BG618" s="65" t="n"/>
    </row>
    <row r="619">
      <c r="B619" s="1" t="inlineStr">
        <is>
          <t>なないろの里　中島様</t>
        </is>
      </c>
      <c r="C619" s="1" t="inlineStr">
        <is>
          <t>光和工業</t>
        </is>
      </c>
      <c r="D619" s="1" t="inlineStr">
        <is>
          <t>電気・カウンター撤去・内装</t>
        </is>
      </c>
      <c r="E619" s="2" t="inlineStr">
        <is>
          <t>8月</t>
        </is>
      </c>
      <c r="F619" s="68" t="n">
        <v>241000</v>
      </c>
      <c r="G619" s="68">
        <f>IF(B619="","",F619-I619 )</f>
        <v/>
      </c>
      <c r="H619" s="5">
        <f>IF(G619="","",G619/F619)</f>
        <v/>
      </c>
      <c r="I619" s="62">
        <f>SUM(テーブル9[[#This Row],[五大]:[工場材]])</f>
        <v/>
      </c>
      <c r="J619" s="65" t="n"/>
      <c r="K619" s="65" t="n"/>
      <c r="L619" s="65" t="n"/>
      <c r="M619" s="65" t="n"/>
      <c r="N619" s="65" t="n"/>
      <c r="O619" s="65" t="n"/>
      <c r="P619" s="65" t="n"/>
      <c r="Q619" s="65" t="n"/>
      <c r="R619" s="65" t="n"/>
      <c r="S619" s="65" t="n"/>
      <c r="T619" s="65" t="n"/>
      <c r="U619" s="65" t="n"/>
      <c r="V619" s="65" t="n"/>
      <c r="W619" s="69" t="n">
        <v>20000</v>
      </c>
      <c r="X619" s="66" t="n">
        <v>7224</v>
      </c>
      <c r="Y619" s="65" t="n"/>
      <c r="Z619" s="65" t="n"/>
      <c r="AA619" s="69" t="n">
        <v>40000</v>
      </c>
      <c r="AB619" s="65" t="n"/>
      <c r="AC619" s="65" t="n"/>
      <c r="AD619" s="65" t="n"/>
      <c r="AE619" s="65" t="n"/>
      <c r="AF619" s="65" t="n"/>
      <c r="AG619" s="65" t="n"/>
      <c r="AH619" s="69" t="n">
        <v>50000</v>
      </c>
      <c r="AI619" s="65" t="n"/>
      <c r="AJ619" s="65" t="n"/>
      <c r="AK619" s="65" t="n"/>
      <c r="AL619" s="65" t="n"/>
      <c r="AM619" s="65" t="n"/>
      <c r="AN619" s="65" t="n"/>
      <c r="AO619" s="65" t="n"/>
      <c r="AP619" s="65" t="n"/>
      <c r="AQ619" s="65" t="n"/>
      <c r="AR619" s="65" t="n"/>
      <c r="AS619" s="65" t="n"/>
      <c r="AT619" s="65" t="n"/>
      <c r="AU619" s="65" t="n"/>
      <c r="AV619" s="65" t="n"/>
      <c r="AW619" s="65" t="n"/>
      <c r="AX619" s="65" t="n"/>
      <c r="AY619" s="65" t="n"/>
      <c r="AZ619" s="65" t="n"/>
      <c r="BA619" s="65" t="n"/>
      <c r="BB619" s="65" t="n"/>
      <c r="BC619" s="65" t="n"/>
      <c r="BD619" s="65" t="n"/>
      <c r="BE619" s="65" t="n"/>
      <c r="BF619" s="65" t="n"/>
      <c r="BG619" s="65" t="n"/>
    </row>
    <row r="620">
      <c r="B620" s="1" t="inlineStr">
        <is>
          <t>亘理 鈴木邸</t>
        </is>
      </c>
      <c r="C620" s="1" t="inlineStr">
        <is>
          <t>LIXIL</t>
        </is>
      </c>
      <c r="D620" s="1" t="inlineStr">
        <is>
          <t>キッチン交換</t>
        </is>
      </c>
      <c r="E620" s="2" t="inlineStr">
        <is>
          <t>8月</t>
        </is>
      </c>
      <c r="F620" s="68">
        <f>291890+25110</f>
        <v/>
      </c>
      <c r="G620" s="68">
        <f>IF(B620="","",F620-I620 )</f>
        <v/>
      </c>
      <c r="H620" s="5">
        <f>IF(G620="","",G620/F620)</f>
        <v/>
      </c>
      <c r="I620" s="62">
        <f>SUM(テーブル9[[#This Row],[五大]:[工場材]])</f>
        <v/>
      </c>
      <c r="J620" s="65" t="n"/>
      <c r="K620" s="65" t="n"/>
      <c r="L620" s="65" t="n"/>
      <c r="M620" s="65" t="n"/>
      <c r="N620" s="65" t="n"/>
      <c r="O620" s="65" t="n"/>
      <c r="P620" s="65" t="n"/>
      <c r="Q620" s="65" t="n"/>
      <c r="R620" s="65" t="n"/>
      <c r="S620" s="65" t="n"/>
      <c r="T620" s="65" t="n"/>
      <c r="U620" s="65" t="n"/>
      <c r="V620" s="65" t="n"/>
      <c r="W620" s="69" t="n">
        <v>70000</v>
      </c>
      <c r="X620" s="66" t="n">
        <v>16574</v>
      </c>
      <c r="Y620" s="65" t="n"/>
      <c r="Z620" s="65" t="n"/>
      <c r="AA620" s="69" t="n">
        <v>40000</v>
      </c>
      <c r="AB620" s="69" t="n">
        <v>50000</v>
      </c>
      <c r="AC620" s="69" t="n"/>
      <c r="AD620" s="69" t="n"/>
      <c r="AE620" s="65" t="n"/>
      <c r="AF620" s="65" t="n"/>
      <c r="AG620" s="65" t="n"/>
      <c r="AH620" s="65" t="n"/>
      <c r="AI620" s="65" t="n"/>
      <c r="AJ620" s="65" t="n"/>
      <c r="AK620" s="65" t="n"/>
      <c r="AL620" s="65" t="n"/>
      <c r="AM620" s="65" t="n"/>
      <c r="AN620" s="65" t="n"/>
      <c r="AO620" s="65" t="n"/>
      <c r="AP620" s="65" t="n"/>
      <c r="AQ620" s="65" t="n"/>
      <c r="AR620" s="65" t="n"/>
      <c r="AS620" s="65" t="n"/>
      <c r="AT620" s="65" t="n"/>
      <c r="AU620" s="65" t="n"/>
      <c r="AV620" s="65" t="n"/>
      <c r="AW620" s="65" t="n"/>
      <c r="AX620" s="65" t="n"/>
      <c r="AY620" s="65" t="n"/>
      <c r="AZ620" s="65" t="n"/>
      <c r="BA620" s="65" t="n"/>
      <c r="BB620" s="65" t="n"/>
      <c r="BC620" s="65" t="n"/>
      <c r="BD620" s="65" t="n"/>
      <c r="BE620" s="65" t="n"/>
      <c r="BF620" s="65" t="n"/>
      <c r="BG620" s="65" t="n"/>
    </row>
    <row r="621">
      <c r="B621" s="1" t="inlineStr">
        <is>
          <t>コージーアレイA205</t>
        </is>
      </c>
      <c r="C621" s="1" t="inlineStr">
        <is>
          <t>積水</t>
        </is>
      </c>
      <c r="D621" s="1" t="inlineStr">
        <is>
          <t>キッチン・UB・ドアホン</t>
        </is>
      </c>
      <c r="E621" s="2" t="inlineStr">
        <is>
          <t>8月</t>
        </is>
      </c>
      <c r="F621" s="68" t="n">
        <v>1337000</v>
      </c>
      <c r="G621" s="68">
        <f>IF(B621="","",F621-I621 )</f>
        <v/>
      </c>
      <c r="H621" s="5">
        <f>IF(G621="","",G621/F621)</f>
        <v/>
      </c>
      <c r="I621" s="62">
        <f>SUM(テーブル9[[#This Row],[五大]:[工場材]])</f>
        <v/>
      </c>
      <c r="J621" s="65" t="n"/>
      <c r="K621" s="65" t="n"/>
      <c r="L621" s="65" t="n"/>
      <c r="M621" s="65" t="n"/>
      <c r="N621" s="65" t="n"/>
      <c r="O621" s="65" t="n"/>
      <c r="P621" s="65" t="n"/>
      <c r="Q621" s="65" t="n"/>
      <c r="R621" s="65" t="n"/>
      <c r="S621" s="65" t="n"/>
      <c r="T621" s="65" t="n"/>
      <c r="U621" s="65" t="n"/>
      <c r="V621" s="65" t="n"/>
      <c r="W621" s="69">
        <f>70000+30000+24000</f>
        <v/>
      </c>
      <c r="X621" s="66" t="n"/>
      <c r="Y621" s="65" t="n"/>
      <c r="Z621" s="65" t="n"/>
      <c r="AA621" s="69" t="n">
        <v>80000</v>
      </c>
      <c r="AB621" s="65" t="n"/>
      <c r="AC621" s="69" t="n">
        <v>132000</v>
      </c>
      <c r="AD621" s="69" t="n"/>
      <c r="AE621" s="65" t="n"/>
      <c r="AF621" s="65" t="n"/>
      <c r="AG621" s="65" t="n"/>
      <c r="AH621" s="69" t="n">
        <v>183158</v>
      </c>
      <c r="AI621" s="65" t="n"/>
      <c r="AJ621" s="69" t="n">
        <v>14000</v>
      </c>
      <c r="AK621" s="65" t="n"/>
      <c r="AL621" s="65" t="n"/>
      <c r="AM621" s="65" t="n"/>
      <c r="AN621" s="65" t="n"/>
      <c r="AO621" s="65" t="n"/>
      <c r="AP621" s="69">
        <f>189780+57200+5000</f>
        <v/>
      </c>
      <c r="AQ621" s="65" t="n"/>
      <c r="AR621" s="65" t="n"/>
      <c r="AS621" s="65" t="n"/>
      <c r="AT621" s="69">
        <f>432000/3</f>
        <v/>
      </c>
      <c r="AU621" s="65" t="n"/>
      <c r="AV621" s="65" t="n"/>
      <c r="AW621" s="65" t="n"/>
      <c r="AX621" s="65" t="n"/>
      <c r="AY621" s="65" t="n"/>
      <c r="AZ621" s="65" t="n"/>
      <c r="BA621" s="65" t="n"/>
      <c r="BB621" s="65" t="n"/>
      <c r="BC621" s="65" t="n"/>
      <c r="BD621" s="65" t="n"/>
      <c r="BE621" s="65" t="n"/>
      <c r="BF621" s="65" t="n"/>
      <c r="BG621" s="65" t="n"/>
    </row>
    <row r="622">
      <c r="B622" s="1" t="inlineStr">
        <is>
          <t>コージーアレイB205</t>
        </is>
      </c>
      <c r="C622" s="1" t="inlineStr">
        <is>
          <t>積水</t>
        </is>
      </c>
      <c r="D622" s="1" t="inlineStr">
        <is>
          <t>キッチン・UB・ドアホン</t>
        </is>
      </c>
      <c r="E622" s="2" t="inlineStr">
        <is>
          <t>8月</t>
        </is>
      </c>
      <c r="F622" s="68" t="n">
        <v>1278020</v>
      </c>
      <c r="G622" s="68">
        <f>IF(B622="","",F622-I622 )</f>
        <v/>
      </c>
      <c r="H622" s="5">
        <f>IF(G622="","",G622/F622)</f>
        <v/>
      </c>
      <c r="I622" s="62">
        <f>SUM(テーブル9[[#This Row],[五大]:[工場材]])</f>
        <v/>
      </c>
      <c r="J622" s="65" t="n"/>
      <c r="K622" s="65" t="n"/>
      <c r="L622" s="65" t="n"/>
      <c r="M622" s="65" t="n"/>
      <c r="N622" s="65" t="n"/>
      <c r="O622" s="65" t="n"/>
      <c r="P622" s="65" t="n"/>
      <c r="Q622" s="65" t="n"/>
      <c r="R622" s="65" t="n"/>
      <c r="S622" s="65" t="n"/>
      <c r="T622" s="65" t="n"/>
      <c r="U622" s="65" t="n"/>
      <c r="V622" s="65" t="n"/>
      <c r="W622" s="69">
        <f>70000+30000+24000</f>
        <v/>
      </c>
      <c r="X622" s="66" t="n">
        <v>8779</v>
      </c>
      <c r="Y622" s="65" t="n"/>
      <c r="Z622" s="65" t="n"/>
      <c r="AA622" s="69" t="n">
        <v>80000</v>
      </c>
      <c r="AB622" s="65" t="n"/>
      <c r="AC622" s="69" t="n">
        <v>132000</v>
      </c>
      <c r="AD622" s="69" t="n"/>
      <c r="AE622" s="65" t="n"/>
      <c r="AF622" s="65" t="n"/>
      <c r="AG622" s="65" t="n"/>
      <c r="AH622" s="69" t="n">
        <v>148593</v>
      </c>
      <c r="AI622" s="65" t="n"/>
      <c r="AJ622" s="69" t="n">
        <v>14000</v>
      </c>
      <c r="AK622" s="65" t="n"/>
      <c r="AL622" s="65" t="n"/>
      <c r="AM622" s="65" t="n"/>
      <c r="AN622" s="65" t="n"/>
      <c r="AO622" s="65" t="n"/>
      <c r="AP622" s="69">
        <f>189780+57200+5000</f>
        <v/>
      </c>
      <c r="AQ622" s="65" t="n"/>
      <c r="AR622" s="65" t="n"/>
      <c r="AS622" s="65" t="n"/>
      <c r="AT622" s="69">
        <f>432000/3</f>
        <v/>
      </c>
      <c r="AU622" s="65" t="n"/>
      <c r="AV622" s="65" t="n"/>
      <c r="AW622" s="65" t="n"/>
      <c r="AX622" s="65" t="n"/>
      <c r="AY622" s="65" t="n"/>
      <c r="AZ622" s="65" t="n"/>
      <c r="BA622" s="65" t="n"/>
      <c r="BB622" s="65" t="n"/>
      <c r="BC622" s="65" t="n"/>
      <c r="BD622" s="65" t="n"/>
      <c r="BE622" s="65" t="n"/>
      <c r="BF622" s="65" t="n"/>
      <c r="BG622" s="65" t="n"/>
    </row>
    <row r="623">
      <c r="B623" s="1" t="inlineStr">
        <is>
          <t>美々　ひより台</t>
        </is>
      </c>
      <c r="C623" s="1" t="inlineStr">
        <is>
          <t>光和工業</t>
        </is>
      </c>
      <c r="D623" s="1" t="inlineStr">
        <is>
          <t>店舗造作</t>
        </is>
      </c>
      <c r="E623" s="2" t="inlineStr">
        <is>
          <t>8月</t>
        </is>
      </c>
      <c r="F623" s="68" t="n">
        <v>3000000</v>
      </c>
      <c r="G623" s="68">
        <f>IF(B623="","",F623-I623 )</f>
        <v/>
      </c>
      <c r="H623" s="5">
        <f>IF(G623="","",G623/F623)</f>
        <v/>
      </c>
      <c r="I623" s="62">
        <f>SUM(テーブル9[[#This Row],[五大]:[工場材]])</f>
        <v/>
      </c>
      <c r="J623" s="65" t="n"/>
      <c r="K623" s="65" t="n"/>
      <c r="L623" s="65" t="n"/>
      <c r="M623" s="65" t="n"/>
      <c r="N623" s="65" t="n">
        <v>30000</v>
      </c>
      <c r="O623" s="65" t="n"/>
      <c r="P623" s="65" t="n"/>
      <c r="Q623" s="65" t="n"/>
      <c r="R623" s="65" t="n"/>
      <c r="S623" s="65" t="n"/>
      <c r="T623" s="65" t="n"/>
      <c r="U623" s="65" t="n"/>
      <c r="V623" s="65" t="n"/>
      <c r="W623" s="69">
        <f>210000+20000</f>
        <v/>
      </c>
      <c r="X623" s="66">
        <f>96641+13881</f>
        <v/>
      </c>
      <c r="Y623" s="65" t="n"/>
      <c r="Z623" s="65" t="n"/>
      <c r="AA623" s="65" t="n"/>
      <c r="AB623" s="69" t="n">
        <v>266000</v>
      </c>
      <c r="AC623" s="65" t="n"/>
      <c r="AD623" s="65" t="n"/>
      <c r="AE623" s="69" t="n">
        <v>500000</v>
      </c>
      <c r="AF623" s="65" t="n"/>
      <c r="AG623" s="65" t="n"/>
      <c r="AH623" s="69" t="n">
        <v>467800</v>
      </c>
      <c r="AI623" s="65" t="n"/>
      <c r="AJ623" s="65" t="n"/>
      <c r="AK623" s="65" t="n"/>
      <c r="AL623" s="65" t="n"/>
      <c r="AM623" s="65" t="n"/>
      <c r="AN623" s="69" t="n">
        <v>26000</v>
      </c>
      <c r="AO623" s="65" t="n"/>
      <c r="AP623" s="69">
        <f>107070+39120+8600</f>
        <v/>
      </c>
      <c r="AQ623" s="65" t="n"/>
      <c r="AR623" s="65" t="n"/>
      <c r="AS623" s="65" t="n"/>
      <c r="AT623" s="65" t="n"/>
      <c r="AU623" s="65" t="n"/>
      <c r="AV623" s="65" t="n"/>
      <c r="AW623" s="65" t="n"/>
      <c r="AX623" s="65" t="n"/>
      <c r="AY623" s="65" t="n"/>
      <c r="AZ623" s="65" t="n"/>
      <c r="BA623" s="65" t="n"/>
      <c r="BB623" s="65" t="n"/>
      <c r="BC623" s="65" t="n"/>
      <c r="BD623" s="65" t="n"/>
      <c r="BE623" s="65" t="n"/>
      <c r="BF623" s="65" t="n"/>
      <c r="BG623" s="65" t="n"/>
    </row>
    <row r="624">
      <c r="B624" s="1" t="inlineStr">
        <is>
          <t>コーポフィオレ　B102</t>
        </is>
      </c>
      <c r="C624" s="1" t="inlineStr">
        <is>
          <t>積水</t>
        </is>
      </c>
      <c r="D624" s="1" t="inlineStr">
        <is>
          <t>トイレ・化粧台 ｲﾝﾀｰ・浴室水栓</t>
        </is>
      </c>
      <c r="E624" s="2" t="inlineStr">
        <is>
          <t>8月</t>
        </is>
      </c>
      <c r="F624" s="68" t="n">
        <v>969815</v>
      </c>
      <c r="G624" s="68">
        <f>IF(B624="","",F624-I624 )</f>
        <v/>
      </c>
      <c r="H624" s="5">
        <f>IF(G624="","",G624/F624)</f>
        <v/>
      </c>
      <c r="I624" s="62">
        <f>SUM(テーブル9[[#This Row],[五大]:[工場材]])</f>
        <v/>
      </c>
      <c r="J624" s="65" t="n"/>
      <c r="K624" s="65" t="n"/>
      <c r="L624" s="65" t="n"/>
      <c r="M624" s="65" t="n"/>
      <c r="N624" s="65" t="n"/>
      <c r="O624" s="65" t="n"/>
      <c r="P624" s="65" t="n"/>
      <c r="Q624" s="65" t="n"/>
      <c r="R624" s="65" t="n"/>
      <c r="S624" s="65" t="n"/>
      <c r="T624" s="65" t="n"/>
      <c r="U624" s="65" t="n"/>
      <c r="V624" s="65" t="n"/>
      <c r="W624" s="69">
        <f>24000+28000</f>
        <v/>
      </c>
      <c r="X624" s="66" t="n"/>
      <c r="Y624" s="65" t="n"/>
      <c r="Z624" s="65" t="n"/>
      <c r="AA624" s="65" t="n"/>
      <c r="AB624" s="65" t="n"/>
      <c r="AC624" s="69">
        <f>90000+12000+35000+5000</f>
        <v/>
      </c>
      <c r="AD624" s="69" t="n"/>
      <c r="AE624" s="65" t="n"/>
      <c r="AF624" s="65" t="n"/>
      <c r="AG624" s="65" t="n"/>
      <c r="AH624" s="65" t="n"/>
      <c r="AI624" s="65" t="n"/>
      <c r="AJ624" s="65" t="n"/>
      <c r="AK624" s="65" t="n"/>
      <c r="AL624" s="65" t="n"/>
      <c r="AM624" s="65" t="n"/>
      <c r="AN624" s="65" t="n"/>
      <c r="AO624" s="69">
        <f>74360</f>
        <v/>
      </c>
      <c r="AP624" s="69">
        <f>26000+14300+27500</f>
        <v/>
      </c>
      <c r="AQ624" s="65" t="n"/>
      <c r="AR624" s="65" t="n"/>
      <c r="AS624" s="65" t="n"/>
      <c r="AT624" s="65" t="n"/>
      <c r="AU624" s="69">
        <f>35000</f>
        <v/>
      </c>
      <c r="AV624" s="65" t="n"/>
      <c r="AW624" s="65" t="n"/>
      <c r="AX624" s="65" t="n"/>
      <c r="AY624" s="65" t="n"/>
      <c r="AZ624" s="65" t="n"/>
      <c r="BA624" s="65" t="n"/>
      <c r="BB624" s="65" t="n"/>
      <c r="BC624" s="65" t="n"/>
      <c r="BD624" s="65" t="n"/>
      <c r="BE624" s="65" t="n"/>
      <c r="BF624" s="65" t="n"/>
      <c r="BG624" s="65" t="n"/>
    </row>
    <row r="625">
      <c r="F625" s="68" t="n"/>
      <c r="G625" s="68">
        <f>IF(B625="","",F625-I625 )</f>
        <v/>
      </c>
      <c r="H625" s="5">
        <f>IF(G625="","",G625/F625)</f>
        <v/>
      </c>
      <c r="I625" s="62">
        <f>SUM(テーブル9[[#This Row],[五大]:[工場材]])</f>
        <v/>
      </c>
      <c r="J625" s="65" t="n">
        <v>0</v>
      </c>
      <c r="K625" s="65" t="n"/>
      <c r="L625" s="65" t="n"/>
      <c r="M625" s="65" t="n"/>
      <c r="N625" s="65" t="n"/>
      <c r="O625" s="65" t="n"/>
      <c r="P625" s="65" t="n"/>
      <c r="Q625" s="65" t="n"/>
      <c r="R625" s="65" t="n"/>
      <c r="S625" s="65" t="n"/>
      <c r="T625" s="65" t="n"/>
      <c r="U625" s="65" t="n"/>
      <c r="V625" s="65" t="n"/>
      <c r="W625" s="65" t="n"/>
      <c r="X625" s="66" t="n"/>
      <c r="Y625" s="65" t="n"/>
      <c r="Z625" s="65" t="n"/>
      <c r="AA625" s="65" t="n"/>
      <c r="AB625" s="65" t="n"/>
      <c r="AC625" s="65" t="n"/>
      <c r="AD625" s="65" t="n"/>
      <c r="AE625" s="65" t="n"/>
      <c r="AF625" s="65" t="n"/>
      <c r="AG625" s="65" t="n"/>
      <c r="AH625" s="65" t="n"/>
      <c r="AI625" s="65" t="n"/>
      <c r="AJ625" s="65" t="n"/>
      <c r="AK625" s="65" t="n"/>
      <c r="AL625" s="65" t="n"/>
      <c r="AM625" s="65" t="n"/>
      <c r="AN625" s="65" t="n"/>
      <c r="AO625" s="65" t="n"/>
      <c r="AP625" s="65" t="n"/>
      <c r="AQ625" s="65" t="n"/>
      <c r="AR625" s="65" t="n"/>
      <c r="AS625" s="65" t="n"/>
      <c r="AT625" s="65" t="n"/>
      <c r="AU625" s="65" t="n"/>
      <c r="AV625" s="65" t="n"/>
      <c r="AW625" s="65" t="n"/>
      <c r="AX625" s="65" t="n"/>
      <c r="AY625" s="65" t="n"/>
      <c r="AZ625" s="65" t="n"/>
      <c r="BA625" s="65" t="n"/>
      <c r="BB625" s="65" t="n"/>
      <c r="BC625" s="65" t="n"/>
      <c r="BD625" s="65" t="n"/>
      <c r="BE625" s="65" t="n"/>
      <c r="BF625" s="65" t="n"/>
      <c r="BG625" s="65" t="n"/>
    </row>
    <row r="626">
      <c r="F626" s="68" t="n"/>
      <c r="G626" s="68">
        <f>IF(B626="","",F626-I626 )</f>
        <v/>
      </c>
      <c r="H626" s="5">
        <f>IF(G626="","",G626/F626)</f>
        <v/>
      </c>
      <c r="I626" s="62">
        <f>SUM(テーブル9[[#This Row],[五大]:[工場材]])</f>
        <v/>
      </c>
      <c r="J626" s="65" t="n"/>
      <c r="K626" s="65" t="n"/>
      <c r="L626" s="65" t="n"/>
      <c r="M626" s="65" t="n"/>
      <c r="N626" s="65" t="n"/>
      <c r="O626" s="65" t="n"/>
      <c r="P626" s="65" t="n"/>
      <c r="Q626" s="65" t="n"/>
      <c r="R626" s="65" t="n"/>
      <c r="S626" s="65" t="n"/>
      <c r="T626" s="65" t="n"/>
      <c r="U626" s="65" t="n"/>
      <c r="V626" s="65" t="n"/>
      <c r="W626" s="65" t="n"/>
      <c r="X626" s="66" t="n"/>
      <c r="Y626" s="65" t="n"/>
      <c r="Z626" s="65" t="n"/>
      <c r="AA626" s="65" t="n"/>
      <c r="AB626" s="65" t="n"/>
      <c r="AC626" s="65" t="n"/>
      <c r="AD626" s="65" t="n"/>
      <c r="AE626" s="65" t="n"/>
      <c r="AF626" s="65" t="n"/>
      <c r="AG626" s="65" t="n"/>
      <c r="AH626" s="65" t="n"/>
      <c r="AI626" s="65" t="n"/>
      <c r="AJ626" s="65" t="n"/>
      <c r="AK626" s="65" t="n"/>
      <c r="AL626" s="65" t="n"/>
      <c r="AM626" s="65" t="n"/>
      <c r="AN626" s="65" t="n"/>
      <c r="AO626" s="65" t="n"/>
      <c r="AP626" s="65" t="n"/>
      <c r="AQ626" s="65" t="n"/>
      <c r="AR626" s="65" t="n"/>
      <c r="AS626" s="65" t="n"/>
      <c r="AT626" s="65" t="n"/>
      <c r="AU626" s="65" t="n"/>
      <c r="AV626" s="65" t="n"/>
      <c r="AW626" s="65" t="n"/>
      <c r="AX626" s="65" t="n"/>
      <c r="AY626" s="65" t="n"/>
      <c r="AZ626" s="65" t="n"/>
      <c r="BA626" s="65" t="n"/>
      <c r="BB626" s="65" t="n"/>
      <c r="BC626" s="65" t="n"/>
      <c r="BD626" s="65" t="n"/>
      <c r="BE626" s="65" t="n"/>
      <c r="BF626" s="65" t="n"/>
      <c r="BG626" s="65" t="n"/>
    </row>
    <row r="627">
      <c r="B627" s="1" t="inlineStr">
        <is>
          <t>ふれあい　ｺﾝｾﾝﾄ移設工事</t>
        </is>
      </c>
      <c r="C627" s="1" t="inlineStr">
        <is>
          <t>光和工業</t>
        </is>
      </c>
      <c r="D627" s="1" t="inlineStr">
        <is>
          <t>コンセント移設工事</t>
        </is>
      </c>
      <c r="E627" s="2" t="inlineStr">
        <is>
          <t>8月</t>
        </is>
      </c>
      <c r="F627" s="68" t="n">
        <v>15000</v>
      </c>
      <c r="G627" s="68">
        <f>IF(B627="","",F627-I627 )</f>
        <v/>
      </c>
      <c r="H627" s="5">
        <f>IF(G627="","",G627/F627)</f>
        <v/>
      </c>
      <c r="I627" s="62">
        <f>SUM(テーブル9[[#This Row],[五大]:[工場材]])</f>
        <v/>
      </c>
      <c r="J627" s="65" t="n"/>
      <c r="K627" s="65" t="n"/>
      <c r="L627" s="65" t="n"/>
      <c r="M627" s="65" t="n"/>
      <c r="N627" s="65" t="n"/>
      <c r="O627" s="65" t="n"/>
      <c r="P627" s="65" t="n"/>
      <c r="Q627" s="65" t="n"/>
      <c r="R627" s="65" t="n"/>
      <c r="S627" s="65" t="n"/>
      <c r="T627" s="65" t="n"/>
      <c r="U627" s="65" t="n"/>
      <c r="V627" s="65" t="n"/>
      <c r="W627" s="65" t="n"/>
      <c r="X627" s="66" t="n"/>
      <c r="Y627" s="65" t="n"/>
      <c r="Z627" s="65" t="n"/>
      <c r="AA627" s="69" t="n">
        <v>15000</v>
      </c>
      <c r="AB627" s="65" t="n"/>
      <c r="AC627" s="65" t="n"/>
      <c r="AD627" s="65" t="n"/>
      <c r="AE627" s="65" t="n"/>
      <c r="AF627" s="65" t="n"/>
      <c r="AG627" s="65" t="n"/>
      <c r="AH627" s="65" t="n"/>
      <c r="AI627" s="65" t="n"/>
      <c r="AJ627" s="65" t="n"/>
      <c r="AK627" s="65" t="n"/>
      <c r="AL627" s="65" t="n"/>
      <c r="AM627" s="65" t="n"/>
      <c r="AN627" s="65" t="n"/>
      <c r="AO627" s="65" t="n"/>
      <c r="AP627" s="65" t="n"/>
      <c r="AQ627" s="65" t="n"/>
      <c r="AR627" s="65" t="n"/>
      <c r="AS627" s="65" t="n"/>
      <c r="AT627" s="65" t="n"/>
      <c r="AU627" s="65" t="n"/>
      <c r="AV627" s="65" t="n"/>
      <c r="AW627" s="65" t="n"/>
      <c r="AX627" s="65" t="n"/>
      <c r="AY627" s="65" t="n"/>
      <c r="AZ627" s="65" t="n"/>
      <c r="BA627" s="65" t="n"/>
      <c r="BB627" s="65" t="n"/>
      <c r="BC627" s="65" t="n"/>
      <c r="BD627" s="65" t="n"/>
      <c r="BE627" s="65" t="n"/>
      <c r="BF627" s="65" t="n"/>
      <c r="BG627" s="65" t="n"/>
    </row>
    <row r="628">
      <c r="B628" s="1" t="inlineStr">
        <is>
          <t>コージーアレイB206</t>
        </is>
      </c>
      <c r="C628" s="1" t="inlineStr">
        <is>
          <t>積水</t>
        </is>
      </c>
      <c r="D628" s="1" t="inlineStr">
        <is>
          <t>キッチン・UB・インターホン</t>
        </is>
      </c>
      <c r="E628" s="2" t="inlineStr">
        <is>
          <t>8月</t>
        </is>
      </c>
      <c r="F628" s="68" t="n">
        <v>1336800</v>
      </c>
      <c r="G628" s="68">
        <f>IF(B628="","",F628-I628 )</f>
        <v/>
      </c>
      <c r="H628" s="5">
        <f>IF(G628="","",G628/F628)</f>
        <v/>
      </c>
      <c r="I628" s="62">
        <f>SUM(テーブル9[[#This Row],[五大]:[工場材]])</f>
        <v/>
      </c>
      <c r="J628" s="65" t="n"/>
      <c r="K628" s="65" t="n"/>
      <c r="L628" s="65" t="n"/>
      <c r="M628" s="65" t="n"/>
      <c r="N628" s="65" t="n"/>
      <c r="O628" s="65" t="n"/>
      <c r="P628" s="65" t="n"/>
      <c r="Q628" s="65" t="n"/>
      <c r="R628" s="65" t="n"/>
      <c r="S628" s="65" t="n"/>
      <c r="T628" s="65" t="n"/>
      <c r="U628" s="65" t="n"/>
      <c r="V628" s="65" t="n"/>
      <c r="W628" s="69">
        <f>70000+30000+24000</f>
        <v/>
      </c>
      <c r="X628" s="66" t="n"/>
      <c r="Y628" s="65" t="n"/>
      <c r="Z628" s="65" t="n"/>
      <c r="AA628" s="69" t="n">
        <v>80000</v>
      </c>
      <c r="AB628" s="65" t="n"/>
      <c r="AC628" s="69" t="n">
        <v>67200</v>
      </c>
      <c r="AD628" s="69" t="n"/>
      <c r="AE628" s="65" t="n"/>
      <c r="AF628" s="65" t="n"/>
      <c r="AG628" s="65" t="n"/>
      <c r="AH628" s="65" t="n"/>
      <c r="AI628" s="65" t="n"/>
      <c r="AJ628" s="65" t="n"/>
      <c r="AK628" s="65" t="n"/>
      <c r="AL628" s="65" t="n"/>
      <c r="AM628" s="65" t="n"/>
      <c r="AN628" s="65" t="n"/>
      <c r="AO628" s="65" t="n"/>
      <c r="AP628" s="69">
        <f>189780+57200+5000</f>
        <v/>
      </c>
      <c r="AQ628" s="65" t="n"/>
      <c r="AR628" s="65" t="n"/>
      <c r="AS628" s="65" t="n"/>
      <c r="AT628" s="65" t="n"/>
      <c r="AU628" s="65" t="n"/>
      <c r="AV628" s="65" t="n"/>
      <c r="AW628" s="65" t="n"/>
      <c r="AX628" s="65" t="n"/>
      <c r="AY628" s="65" t="n"/>
      <c r="AZ628" s="65" t="n"/>
      <c r="BA628" s="65" t="n"/>
      <c r="BB628" s="65" t="n"/>
      <c r="BC628" s="65" t="n"/>
      <c r="BD628" s="65" t="n"/>
      <c r="BE628" s="65" t="n"/>
      <c r="BF628" s="65" t="n"/>
      <c r="BG628" s="65" t="n"/>
    </row>
    <row r="629">
      <c r="B629" s="1" t="inlineStr">
        <is>
          <t>グループホームやまてまち104</t>
        </is>
      </c>
      <c r="C629" s="1" t="inlineStr">
        <is>
          <t>光和工業</t>
        </is>
      </c>
      <c r="D629" s="1" t="inlineStr">
        <is>
          <t>内装工事</t>
        </is>
      </c>
      <c r="E629" s="2" t="inlineStr">
        <is>
          <t>8月</t>
        </is>
      </c>
      <c r="F629" s="68" t="n">
        <v>216000</v>
      </c>
      <c r="G629" s="68">
        <f>IF(B629="","",F629-I629 )</f>
        <v/>
      </c>
      <c r="H629" s="5">
        <f>IF(G629="","",G629/F629)</f>
        <v/>
      </c>
      <c r="I629" s="62">
        <f>SUM(テーブル9[[#This Row],[五大]:[工場材]])</f>
        <v/>
      </c>
      <c r="J629" s="65" t="n"/>
      <c r="K629" s="65" t="n"/>
      <c r="L629" s="65" t="n"/>
      <c r="M629" s="65" t="n"/>
      <c r="N629" s="65" t="n"/>
      <c r="O629" s="65" t="n"/>
      <c r="P629" s="65" t="n"/>
      <c r="Q629" s="65" t="n"/>
      <c r="R629" s="65" t="n"/>
      <c r="S629" s="65" t="n"/>
      <c r="T629" s="65" t="n"/>
      <c r="U629" s="65" t="n"/>
      <c r="V629" s="65" t="n"/>
      <c r="W629" s="69" t="n">
        <v>50000</v>
      </c>
      <c r="X629" s="66" t="n">
        <v>5859</v>
      </c>
      <c r="Y629" s="69" t="n"/>
      <c r="Z629" s="69" t="n"/>
      <c r="AA629" s="69" t="n"/>
      <c r="AB629" s="69" t="n"/>
      <c r="AC629" s="65" t="n"/>
      <c r="AD629" s="65" t="n"/>
      <c r="AE629" s="65" t="n"/>
      <c r="AF629" s="65" t="n"/>
      <c r="AG629" s="65" t="n"/>
      <c r="AH629" s="69" t="n">
        <v>66400</v>
      </c>
      <c r="AI629" s="65" t="n"/>
      <c r="AJ629" s="69" t="n">
        <v>14000</v>
      </c>
      <c r="AK629" s="64" t="n">
        <v>10500</v>
      </c>
      <c r="AL629" s="65" t="n"/>
      <c r="AM629" s="65" t="n"/>
      <c r="AN629" s="65" t="n"/>
      <c r="AO629" s="65" t="n"/>
      <c r="AP629" s="65" t="n"/>
      <c r="AQ629" s="65" t="n"/>
      <c r="AR629" s="65" t="n"/>
      <c r="AS629" s="65" t="n"/>
      <c r="AT629" s="65" t="n"/>
      <c r="AU629" s="65" t="n"/>
      <c r="AV629" s="65" t="n"/>
      <c r="AW629" s="65" t="n"/>
      <c r="AX629" s="65" t="n"/>
      <c r="AY629" s="65" t="n"/>
      <c r="AZ629" s="65" t="n"/>
      <c r="BA629" s="65" t="n"/>
      <c r="BB629" s="65" t="n"/>
      <c r="BC629" s="65" t="n"/>
      <c r="BD629" s="65" t="n"/>
      <c r="BE629" s="65" t="n"/>
      <c r="BF629" s="65" t="n"/>
      <c r="BG629" s="65" t="n"/>
    </row>
    <row r="630">
      <c r="B630" s="1" t="inlineStr">
        <is>
          <t>パークアベニュー八乙女ガーデン305</t>
        </is>
      </c>
      <c r="C630" s="1" t="inlineStr">
        <is>
          <t>LIXIL</t>
        </is>
      </c>
      <c r="D630" s="1" t="inlineStr">
        <is>
          <t>内装工事</t>
        </is>
      </c>
      <c r="F630" s="68" t="n">
        <v>49950</v>
      </c>
      <c r="G630" s="68">
        <f>IF(B630="","",F630-I630 )</f>
        <v/>
      </c>
      <c r="H630" s="5">
        <f>IF(G630="","",G630/F630)</f>
        <v/>
      </c>
      <c r="I630" s="62">
        <f>SUM(テーブル9[[#This Row],[五大]:[工場材]])</f>
        <v/>
      </c>
      <c r="J630" s="65" t="n"/>
      <c r="K630" s="65" t="n"/>
      <c r="L630" s="65" t="n"/>
      <c r="M630" s="65" t="n"/>
      <c r="N630" s="65" t="n"/>
      <c r="O630" s="65" t="n"/>
      <c r="P630" s="65" t="n"/>
      <c r="Q630" s="65" t="n"/>
      <c r="R630" s="65" t="n"/>
      <c r="S630" s="65" t="n"/>
      <c r="T630" s="65" t="n"/>
      <c r="U630" s="65" t="n"/>
      <c r="V630" s="65" t="n"/>
      <c r="W630" s="69" t="n"/>
      <c r="X630" s="66" t="n"/>
      <c r="Y630" s="69" t="n"/>
      <c r="Z630" s="69" t="n"/>
      <c r="AA630" s="69" t="n"/>
      <c r="AB630" s="69" t="n"/>
      <c r="AC630" s="65" t="n"/>
      <c r="AD630" s="65" t="n"/>
      <c r="AE630" s="65" t="n"/>
      <c r="AF630" s="65" t="n"/>
      <c r="AG630" s="65" t="n"/>
      <c r="AH630" s="69" t="n">
        <v>55000</v>
      </c>
      <c r="AI630" s="65" t="n"/>
      <c r="AJ630" s="65" t="n"/>
      <c r="AK630" s="65" t="n"/>
      <c r="AL630" s="65" t="n"/>
      <c r="AM630" s="65" t="n"/>
      <c r="AN630" s="65" t="n"/>
      <c r="AO630" s="65" t="n"/>
      <c r="AP630" s="65" t="n"/>
      <c r="AQ630" s="65" t="n"/>
      <c r="AR630" s="65" t="n"/>
      <c r="AS630" s="65" t="n"/>
      <c r="AT630" s="65" t="n"/>
      <c r="AU630" s="65" t="n"/>
      <c r="AV630" s="65" t="n"/>
      <c r="AW630" s="65" t="n"/>
      <c r="AX630" s="65" t="n"/>
      <c r="AY630" s="65" t="n"/>
      <c r="AZ630" s="65" t="n"/>
      <c r="BA630" s="65" t="n"/>
      <c r="BB630" s="65" t="n"/>
      <c r="BC630" s="65" t="n"/>
      <c r="BD630" s="65" t="n"/>
      <c r="BE630" s="65" t="n"/>
      <c r="BF630" s="65" t="n"/>
      <c r="BG630" s="65" t="n"/>
    </row>
    <row r="631">
      <c r="B631" s="1" t="inlineStr">
        <is>
          <t>GHかみやがり</t>
        </is>
      </c>
      <c r="C631" s="1" t="inlineStr">
        <is>
          <t>光和工業</t>
        </is>
      </c>
      <c r="D631" s="1" t="inlineStr">
        <is>
          <t>部品交換</t>
        </is>
      </c>
      <c r="E631" s="2" t="inlineStr">
        <is>
          <t>9月</t>
        </is>
      </c>
      <c r="F631" s="68" t="n">
        <v>62700</v>
      </c>
      <c r="G631" s="68">
        <f>IF(B631="","",F631-I631 )</f>
        <v/>
      </c>
      <c r="H631" s="5">
        <f>IF(G631="","",G631/F631)</f>
        <v/>
      </c>
      <c r="I631" s="62">
        <f>SUM(テーブル9[[#This Row],[五大]:[工場材]])</f>
        <v/>
      </c>
      <c r="J631" s="65" t="n"/>
      <c r="K631" s="65" t="n"/>
      <c r="L631" s="65" t="n"/>
      <c r="M631" s="65" t="n"/>
      <c r="N631" s="65" t="n"/>
      <c r="O631" s="65" t="n"/>
      <c r="P631" s="65" t="n"/>
      <c r="Q631" s="65" t="n"/>
      <c r="R631" s="65" t="n"/>
      <c r="S631" s="65" t="n"/>
      <c r="T631" s="65" t="n"/>
      <c r="U631" s="65" t="n"/>
      <c r="V631" s="65" t="n"/>
      <c r="W631" s="69" t="n"/>
      <c r="X631" s="66" t="n"/>
      <c r="Y631" s="69" t="n"/>
      <c r="Z631" s="69" t="n"/>
      <c r="AA631" s="69" t="n"/>
      <c r="AB631" s="69" t="n"/>
      <c r="AC631" s="65" t="n"/>
      <c r="AD631" s="65" t="n"/>
      <c r="AE631" s="65" t="n"/>
      <c r="AF631" s="65" t="n"/>
      <c r="AG631" s="65" t="n"/>
      <c r="AH631" s="65" t="n"/>
      <c r="AI631" s="65" t="n"/>
      <c r="AJ631" s="65" t="n"/>
      <c r="AK631" s="65" t="n"/>
      <c r="AL631" s="65" t="n"/>
      <c r="AM631" s="65" t="n"/>
      <c r="AN631" s="65" t="n"/>
      <c r="AO631" s="65" t="n"/>
      <c r="AP631" s="69">
        <f>3450+1400+12740+1800+3381+882+2000</f>
        <v/>
      </c>
      <c r="AQ631" s="65" t="n"/>
      <c r="AR631" s="65" t="n"/>
      <c r="AS631" s="65" t="n"/>
      <c r="AT631" s="65" t="n"/>
      <c r="AU631" s="65" t="n"/>
      <c r="AV631" s="65" t="n"/>
      <c r="AW631" s="65" t="n"/>
      <c r="AX631" s="65" t="n"/>
      <c r="AY631" s="65" t="n"/>
      <c r="AZ631" s="65" t="n"/>
      <c r="BA631" s="65" t="n"/>
      <c r="BB631" s="65" t="n"/>
      <c r="BC631" s="65" t="n"/>
      <c r="BD631" s="65" t="n"/>
      <c r="BE631" s="65" t="n"/>
      <c r="BF631" s="65" t="n"/>
      <c r="BG631" s="65" t="n"/>
    </row>
    <row r="632">
      <c r="B632" s="1" t="inlineStr">
        <is>
          <t>GHきくたまち</t>
        </is>
      </c>
      <c r="C632" s="1" t="inlineStr">
        <is>
          <t>光和工業</t>
        </is>
      </c>
      <c r="D632" s="1" t="inlineStr">
        <is>
          <t>水栓交換</t>
        </is>
      </c>
      <c r="E632" s="2" t="inlineStr">
        <is>
          <t>9月</t>
        </is>
      </c>
      <c r="F632" s="68" t="n">
        <v>42000</v>
      </c>
      <c r="G632" s="68">
        <f>IF(B632="","",F632-I632 )</f>
        <v/>
      </c>
      <c r="H632" s="5">
        <f>IF(G632="","",G632/F632)</f>
        <v/>
      </c>
      <c r="I632" s="62">
        <f>SUM(テーブル9[[#This Row],[五大]:[工場材]])</f>
        <v/>
      </c>
      <c r="J632" s="65" t="n"/>
      <c r="K632" s="65" t="n"/>
      <c r="L632" s="65" t="n"/>
      <c r="M632" s="65" t="n"/>
      <c r="N632" s="65" t="n"/>
      <c r="O632" s="65" t="n"/>
      <c r="P632" s="65" t="n"/>
      <c r="Q632" s="65" t="n"/>
      <c r="R632" s="65" t="n"/>
      <c r="S632" s="65" t="n"/>
      <c r="T632" s="65" t="n"/>
      <c r="U632" s="65" t="n"/>
      <c r="V632" s="65" t="n"/>
      <c r="W632" s="69" t="n"/>
      <c r="X632" s="66" t="n"/>
      <c r="Y632" s="69" t="n"/>
      <c r="Z632" s="69" t="n"/>
      <c r="AA632" s="69" t="n"/>
      <c r="AB632" s="69" t="n"/>
      <c r="AC632" s="65" t="n"/>
      <c r="AD632" s="65" t="n"/>
      <c r="AE632" s="65" t="n"/>
      <c r="AF632" s="65" t="n"/>
      <c r="AG632" s="65" t="n"/>
      <c r="AH632" s="65" t="n"/>
      <c r="AI632" s="65" t="n"/>
      <c r="AJ632" s="65" t="n"/>
      <c r="AK632" s="65" t="n"/>
      <c r="AL632" s="65" t="n"/>
      <c r="AM632" s="65" t="n"/>
      <c r="AN632" s="65" t="n"/>
      <c r="AO632" s="65" t="n"/>
      <c r="AP632" s="65" t="n"/>
      <c r="AQ632" s="65" t="n"/>
      <c r="AR632" s="65" t="n"/>
      <c r="AS632" s="65" t="n"/>
      <c r="AT632" s="65" t="n"/>
      <c r="AU632" s="65" t="n"/>
      <c r="AV632" s="65" t="n"/>
      <c r="AW632" s="65" t="n"/>
      <c r="AX632" s="65" t="n"/>
      <c r="AY632" s="65" t="n"/>
      <c r="AZ632" s="65" t="n"/>
      <c r="BA632" s="65" t="n"/>
      <c r="BB632" s="65" t="n"/>
      <c r="BC632" s="65" t="n"/>
      <c r="BD632" s="65" t="n"/>
      <c r="BE632" s="65" t="n"/>
      <c r="BF632" s="65" t="n"/>
      <c r="BG632" s="65" t="n"/>
    </row>
    <row r="633">
      <c r="F633" s="68" t="n"/>
      <c r="G633" s="68">
        <f>IF(B633="","",F633-I633 )</f>
        <v/>
      </c>
      <c r="H633" s="5">
        <f>IF(G633="","",G633/F633)</f>
        <v/>
      </c>
      <c r="I633" s="62">
        <f>SUM(テーブル9[[#This Row],[五大]:[工場材]])</f>
        <v/>
      </c>
      <c r="J633" s="65" t="n"/>
      <c r="K633" s="65" t="n"/>
      <c r="L633" s="65" t="n"/>
      <c r="M633" s="65" t="n"/>
      <c r="N633" s="65" t="n"/>
      <c r="O633" s="65" t="n"/>
      <c r="P633" s="65" t="n"/>
      <c r="Q633" s="65" t="n"/>
      <c r="R633" s="65" t="n"/>
      <c r="S633" s="65" t="n"/>
      <c r="T633" s="65" t="n"/>
      <c r="U633" s="65" t="n"/>
      <c r="V633" s="65" t="n"/>
      <c r="W633" s="69" t="n"/>
      <c r="X633" s="66" t="n"/>
      <c r="Y633" s="69" t="n"/>
      <c r="Z633" s="69" t="n"/>
      <c r="AA633" s="69" t="n"/>
      <c r="AB633" s="69" t="n"/>
      <c r="AC633" s="65" t="n"/>
      <c r="AD633" s="65" t="n"/>
      <c r="AE633" s="65" t="n"/>
      <c r="AF633" s="65" t="n"/>
      <c r="AG633" s="65" t="n"/>
      <c r="AH633" s="65" t="n"/>
      <c r="AI633" s="65" t="n"/>
      <c r="AJ633" s="65" t="n"/>
      <c r="AK633" s="65" t="n"/>
      <c r="AL633" s="65" t="n"/>
      <c r="AM633" s="65" t="n"/>
      <c r="AN633" s="65" t="n"/>
      <c r="AO633" s="65" t="n"/>
      <c r="AP633" s="65" t="n"/>
      <c r="AQ633" s="65" t="n"/>
      <c r="AR633" s="65" t="n"/>
      <c r="AS633" s="65" t="n"/>
      <c r="AT633" s="65" t="n"/>
      <c r="AU633" s="65" t="n"/>
      <c r="AV633" s="65" t="n"/>
      <c r="AW633" s="65" t="n"/>
      <c r="AX633" s="65" t="n"/>
      <c r="AY633" s="65" t="n"/>
      <c r="AZ633" s="65" t="n"/>
      <c r="BA633" s="65" t="n"/>
      <c r="BB633" s="65" t="n"/>
      <c r="BC633" s="65" t="n"/>
      <c r="BD633" s="65" t="n"/>
      <c r="BE633" s="65" t="n"/>
      <c r="BF633" s="65" t="n"/>
      <c r="BG633" s="65" t="n"/>
    </row>
    <row r="634">
      <c r="B634" s="1" t="inlineStr">
        <is>
          <t>藤本邸</t>
        </is>
      </c>
      <c r="C634" s="1" t="inlineStr">
        <is>
          <t>光和工業</t>
        </is>
      </c>
      <c r="D634" s="1" t="inlineStr">
        <is>
          <t>屋根塗装</t>
        </is>
      </c>
      <c r="E634" s="2" t="inlineStr">
        <is>
          <t>9月</t>
        </is>
      </c>
      <c r="F634" s="68" t="n">
        <v>580000</v>
      </c>
      <c r="G634" s="68">
        <f>IF(B634="","",F634-I634 )</f>
        <v/>
      </c>
      <c r="H634" s="5">
        <f>IF(G634="","",G634/F634)</f>
        <v/>
      </c>
      <c r="I634" s="62">
        <f>SUM(テーブル9[[#This Row],[五大]:[工場材]])</f>
        <v/>
      </c>
      <c r="J634" s="69" t="n">
        <v>110000</v>
      </c>
      <c r="K634" s="65" t="n"/>
      <c r="L634" s="65" t="n"/>
      <c r="M634" s="65" t="n"/>
      <c r="N634" s="65" t="n">
        <v>240000</v>
      </c>
      <c r="O634" s="65" t="n"/>
      <c r="P634" s="65" t="n"/>
      <c r="Q634" s="65" t="n"/>
      <c r="R634" s="65" t="n"/>
      <c r="S634" s="65" t="n"/>
      <c r="T634" s="65" t="n"/>
      <c r="U634" s="69" t="n">
        <v>78400</v>
      </c>
      <c r="V634" s="65" t="n"/>
      <c r="W634" s="69" t="n"/>
      <c r="X634" s="66" t="n"/>
      <c r="Y634" s="69" t="n"/>
      <c r="Z634" s="69" t="n"/>
      <c r="AA634" s="69" t="n"/>
      <c r="AB634" s="69" t="n"/>
      <c r="AC634" s="65" t="n"/>
      <c r="AD634" s="65" t="n"/>
      <c r="AE634" s="65" t="n"/>
      <c r="AF634" s="65" t="n"/>
      <c r="AG634" s="65" t="n"/>
      <c r="AH634" s="65" t="n"/>
      <c r="AI634" s="65" t="n"/>
      <c r="AJ634" s="65" t="n"/>
      <c r="AK634" s="65" t="n"/>
      <c r="AL634" s="65" t="n"/>
      <c r="AM634" s="65" t="n"/>
      <c r="AN634" s="65" t="n"/>
      <c r="AO634" s="65" t="n"/>
      <c r="AP634" s="65" t="n"/>
      <c r="AQ634" s="65" t="n"/>
      <c r="AR634" s="65" t="n"/>
      <c r="AS634" s="65" t="n"/>
      <c r="AT634" s="65" t="n"/>
      <c r="AU634" s="65" t="n"/>
      <c r="AV634" s="65" t="n"/>
      <c r="AW634" s="65" t="n"/>
      <c r="AX634" s="65" t="n"/>
      <c r="AY634" s="65" t="n"/>
      <c r="AZ634" s="65" t="n"/>
      <c r="BA634" s="65" t="n"/>
      <c r="BB634" s="65" t="n"/>
      <c r="BC634" s="65" t="n"/>
      <c r="BD634" s="65" t="n"/>
      <c r="BE634" s="65" t="n"/>
      <c r="BF634" s="65" t="n"/>
      <c r="BG634" s="65" t="n"/>
    </row>
    <row r="635">
      <c r="B635" s="1" t="inlineStr">
        <is>
          <t>紫山　中野邸</t>
        </is>
      </c>
      <c r="C635" s="1" t="inlineStr">
        <is>
          <t>LIXIL</t>
        </is>
      </c>
      <c r="D635" s="1" t="inlineStr">
        <is>
          <t>UB・化粧台工事</t>
        </is>
      </c>
      <c r="E635" s="2" t="inlineStr">
        <is>
          <t>9月</t>
        </is>
      </c>
      <c r="F635" s="68" t="n">
        <v>432090</v>
      </c>
      <c r="G635" s="68">
        <f>IF(B635="","",F635-I635 )</f>
        <v/>
      </c>
      <c r="H635" s="5">
        <f>IF(G635="","",G635/F635)</f>
        <v/>
      </c>
      <c r="I635" s="62">
        <f>SUM(テーブル9[[#This Row],[五大]:[工場材]])</f>
        <v/>
      </c>
      <c r="J635" s="65" t="n"/>
      <c r="K635" s="65" t="n"/>
      <c r="L635" s="65" t="n"/>
      <c r="M635" s="65" t="n"/>
      <c r="N635" s="65" t="n"/>
      <c r="O635" s="65" t="n"/>
      <c r="P635" s="65" t="n"/>
      <c r="Q635" s="65" t="n"/>
      <c r="R635" s="65" t="n"/>
      <c r="S635" s="65" t="n"/>
      <c r="T635" s="65" t="n"/>
      <c r="U635" s="65" t="n"/>
      <c r="V635" s="65" t="n"/>
      <c r="W635" s="69">
        <f>116000*0.8</f>
        <v/>
      </c>
      <c r="X635" s="66" t="n"/>
      <c r="Y635" s="69" t="n"/>
      <c r="Z635" s="69" t="n"/>
      <c r="AA635" s="69">
        <f>83000*0.8</f>
        <v/>
      </c>
      <c r="AB635" s="69" t="n">
        <v>120000</v>
      </c>
      <c r="AC635" s="65" t="n"/>
      <c r="AD635" s="65" t="n"/>
      <c r="AE635" s="65" t="n"/>
      <c r="AF635" s="65" t="n"/>
      <c r="AG635" s="65" t="n"/>
      <c r="AH635" s="69">
        <f>55000*0.8</f>
        <v/>
      </c>
      <c r="AI635" s="65" t="n"/>
      <c r="AJ635" s="65" t="n"/>
      <c r="AK635" s="65" t="n"/>
      <c r="AL635" s="65" t="n"/>
      <c r="AM635" s="65" t="n"/>
      <c r="AN635" s="65" t="n"/>
      <c r="AO635" s="65" t="n"/>
      <c r="AP635" s="65" t="n"/>
      <c r="AQ635" s="65" t="n"/>
      <c r="AR635" s="65" t="n"/>
      <c r="AS635" s="65" t="n"/>
      <c r="AT635" s="65" t="n"/>
      <c r="AU635" s="65" t="n"/>
      <c r="AV635" s="65" t="n"/>
      <c r="AW635" s="65" t="n"/>
      <c r="AX635" s="65" t="n"/>
      <c r="AY635" s="65" t="n"/>
      <c r="AZ635" s="65" t="n"/>
      <c r="BA635" s="65" t="n"/>
      <c r="BB635" s="65" t="n"/>
      <c r="BC635" s="65" t="n"/>
      <c r="BD635" s="65" t="n"/>
      <c r="BE635" s="65" t="n"/>
      <c r="BF635" s="65" t="n"/>
      <c r="BG635" s="65" t="n"/>
    </row>
    <row r="636">
      <c r="B636" s="1" t="inlineStr">
        <is>
          <t>桜ヶ丘　武田様</t>
        </is>
      </c>
      <c r="C636" s="1" t="inlineStr">
        <is>
          <t>LIXIL</t>
        </is>
      </c>
      <c r="D636" s="1" t="inlineStr">
        <is>
          <t>インプラス枠</t>
        </is>
      </c>
      <c r="E636" s="2" t="inlineStr">
        <is>
          <t>9月</t>
        </is>
      </c>
      <c r="F636" s="68" t="n">
        <v>107670</v>
      </c>
      <c r="G636" s="68">
        <f>IF(B636="","",F636-I636 )</f>
        <v/>
      </c>
      <c r="H636" s="5">
        <f>IF(G636="","",G636/F636)</f>
        <v/>
      </c>
      <c r="I636" s="62">
        <f>SUM(テーブル9[[#This Row],[五大]:[工場材]])</f>
        <v/>
      </c>
      <c r="J636" s="65" t="n"/>
      <c r="K636" s="65" t="n"/>
      <c r="L636" s="65" t="n"/>
      <c r="M636" s="65" t="n"/>
      <c r="N636" s="65" t="n"/>
      <c r="O636" s="65" t="n"/>
      <c r="P636" s="65" t="n"/>
      <c r="Q636" s="65" t="n"/>
      <c r="R636" s="65" t="n"/>
      <c r="S636" s="65" t="n"/>
      <c r="T636" s="65" t="n"/>
      <c r="U636" s="65" t="n"/>
      <c r="V636" s="65" t="n"/>
      <c r="W636" s="69">
        <f>97000*0.8</f>
        <v/>
      </c>
      <c r="X636" s="66" t="n"/>
      <c r="Y636" s="69" t="n"/>
      <c r="Z636" s="69" t="n"/>
      <c r="AA636" s="69" t="n"/>
      <c r="AB636" s="69" t="n"/>
      <c r="AC636" s="65" t="n"/>
      <c r="AD636" s="65" t="n"/>
      <c r="AE636" s="65" t="n"/>
      <c r="AF636" s="65" t="n"/>
      <c r="AG636" s="65" t="n"/>
      <c r="AH636" s="65" t="n"/>
      <c r="AI636" s="65" t="n"/>
      <c r="AJ636" s="65" t="n"/>
      <c r="AK636" s="65" t="n"/>
      <c r="AL636" s="65" t="n"/>
      <c r="AM636" s="65" t="n"/>
      <c r="AN636" s="65" t="n"/>
      <c r="AO636" s="65" t="n"/>
      <c r="AP636" s="65" t="n"/>
      <c r="AQ636" s="65" t="n"/>
      <c r="AR636" s="65" t="n"/>
      <c r="AS636" s="65" t="n"/>
      <c r="AT636" s="65" t="n"/>
      <c r="AU636" s="65" t="n"/>
      <c r="AV636" s="65" t="n"/>
      <c r="AW636" s="65" t="n"/>
      <c r="AX636" s="65" t="n"/>
      <c r="AY636" s="65" t="n"/>
      <c r="AZ636" s="65" t="n"/>
      <c r="BA636" s="65" t="n"/>
      <c r="BB636" s="65" t="n"/>
      <c r="BC636" s="65" t="n"/>
      <c r="BD636" s="65" t="n"/>
      <c r="BE636" s="65" t="n"/>
      <c r="BF636" s="65" t="n"/>
      <c r="BG636" s="65" t="n"/>
    </row>
    <row r="637">
      <c r="B637" s="1" t="inlineStr">
        <is>
          <t>パークアベニュー八乙女ガーデン　512木村邸</t>
        </is>
      </c>
      <c r="C637" s="1" t="inlineStr">
        <is>
          <t>LIXIL</t>
        </is>
      </c>
      <c r="D637" s="1" t="inlineStr">
        <is>
          <t>キッチン水栓・ガスコンロ　エコカラット工事</t>
        </is>
      </c>
      <c r="E637" s="2" t="inlineStr">
        <is>
          <t>9月</t>
        </is>
      </c>
      <c r="F637" s="68" t="n">
        <v>108780</v>
      </c>
      <c r="G637" s="68">
        <f>IF(B637="","",F637-I637 )</f>
        <v/>
      </c>
      <c r="H637" s="5">
        <f>IF(G637="","",G637/F637)</f>
        <v/>
      </c>
      <c r="I637" s="62">
        <f>SUM(テーブル9[[#This Row],[五大]:[工場材]])</f>
        <v/>
      </c>
      <c r="J637" s="65" t="n"/>
      <c r="K637" s="65" t="n"/>
      <c r="L637" s="65" t="n"/>
      <c r="M637" s="65" t="n"/>
      <c r="N637" s="65" t="n"/>
      <c r="O637" s="65" t="n"/>
      <c r="P637" s="65" t="n"/>
      <c r="Q637" s="65" t="n"/>
      <c r="R637" s="65" t="n"/>
      <c r="S637" s="65" t="n"/>
      <c r="T637" s="65" t="n"/>
      <c r="U637" s="65" t="n"/>
      <c r="V637" s="65" t="n"/>
      <c r="W637" s="69">
        <f>25000+18000</f>
        <v/>
      </c>
      <c r="X637" s="66" t="n"/>
      <c r="Y637" s="69" t="n"/>
      <c r="Z637" s="69" t="n"/>
      <c r="AA637" s="69" t="n"/>
      <c r="AB637" s="69" t="n">
        <v>45000</v>
      </c>
      <c r="AC637" s="65" t="n"/>
      <c r="AD637" s="65" t="n"/>
      <c r="AE637" s="65" t="n"/>
      <c r="AF637" s="65" t="n"/>
      <c r="AG637" s="65" t="n"/>
      <c r="AH637" s="65" t="n"/>
      <c r="AI637" s="65" t="n"/>
      <c r="AJ637" s="65" t="n"/>
      <c r="AK637" s="65" t="n"/>
      <c r="AL637" s="65" t="n"/>
      <c r="AM637" s="65" t="n"/>
      <c r="AN637" s="65" t="n"/>
      <c r="AO637" s="65" t="n"/>
      <c r="AP637" s="65" t="n"/>
      <c r="AQ637" s="65" t="n"/>
      <c r="AR637" s="65" t="n"/>
      <c r="AS637" s="65" t="n"/>
      <c r="AT637" s="65" t="n"/>
      <c r="AU637" s="65" t="n"/>
      <c r="AV637" s="65" t="n"/>
      <c r="AW637" s="65" t="n"/>
      <c r="AX637" s="65" t="n"/>
      <c r="AY637" s="65" t="n"/>
      <c r="AZ637" s="65" t="n"/>
      <c r="BA637" s="65" t="n"/>
      <c r="BB637" s="65" t="n"/>
      <c r="BC637" s="65" t="n"/>
      <c r="BD637" s="65" t="n"/>
      <c r="BE637" s="65" t="n"/>
      <c r="BF637" s="65" t="n"/>
      <c r="BG637" s="65" t="n"/>
    </row>
    <row r="638">
      <c r="B638" s="1" t="inlineStr">
        <is>
          <t>パークアベニュー八乙女ガーデン　513小嶋</t>
        </is>
      </c>
      <c r="C638" s="1" t="inlineStr">
        <is>
          <t>LIXIL</t>
        </is>
      </c>
      <c r="D638" s="1" t="inlineStr">
        <is>
          <t>トイレ交換　キッチン床</t>
        </is>
      </c>
      <c r="E638" s="2" t="inlineStr">
        <is>
          <t>9月</t>
        </is>
      </c>
      <c r="F638" s="68" t="n">
        <v>124320</v>
      </c>
      <c r="G638" s="68">
        <f>IF(B638="","",F638-I638 )</f>
        <v/>
      </c>
      <c r="H638" s="5">
        <f>IF(G638="","",G638/F638)</f>
        <v/>
      </c>
      <c r="I638" s="62">
        <f>SUM(テーブル9[[#This Row],[五大]:[工場材]])</f>
        <v/>
      </c>
      <c r="J638" s="65" t="n"/>
      <c r="K638" s="65" t="n"/>
      <c r="L638" s="65" t="n"/>
      <c r="M638" s="65" t="n"/>
      <c r="N638" s="65" t="n"/>
      <c r="O638" s="65" t="n"/>
      <c r="P638" s="65" t="n"/>
      <c r="Q638" s="65" t="n"/>
      <c r="R638" s="65" t="n"/>
      <c r="S638" s="65" t="n"/>
      <c r="T638" s="65" t="n"/>
      <c r="U638" s="65" t="n"/>
      <c r="V638" s="65" t="n"/>
      <c r="W638" s="69" t="n">
        <v>20000</v>
      </c>
      <c r="X638" s="66" t="n"/>
      <c r="Y638" s="69" t="n"/>
      <c r="Z638" s="69" t="n"/>
      <c r="AA638" s="69" t="n">
        <v>12000</v>
      </c>
      <c r="AB638" s="69" t="n">
        <v>20000</v>
      </c>
      <c r="AC638" s="65" t="n"/>
      <c r="AD638" s="65" t="n"/>
      <c r="AE638" s="65" t="n"/>
      <c r="AF638" s="65" t="n"/>
      <c r="AG638" s="65" t="n"/>
      <c r="AH638" s="69" t="n">
        <v>40000</v>
      </c>
      <c r="AI638" s="65" t="n"/>
      <c r="AJ638" s="65" t="n"/>
      <c r="AK638" s="65" t="n"/>
      <c r="AL638" s="65" t="n"/>
      <c r="AM638" s="65" t="n"/>
      <c r="AN638" s="65" t="n"/>
      <c r="AO638" s="65" t="n"/>
      <c r="AP638" s="65" t="n"/>
      <c r="AQ638" s="65" t="n"/>
      <c r="AR638" s="65" t="n"/>
      <c r="AS638" s="65" t="n"/>
      <c r="AT638" s="65" t="n"/>
      <c r="AU638" s="65" t="n"/>
      <c r="AV638" s="65" t="n"/>
      <c r="AW638" s="65" t="n"/>
      <c r="AX638" s="65" t="n"/>
      <c r="AY638" s="65" t="n"/>
      <c r="AZ638" s="65" t="n"/>
      <c r="BA638" s="65" t="n"/>
      <c r="BB638" s="65" t="n"/>
      <c r="BC638" s="65" t="n"/>
      <c r="BD638" s="65" t="n"/>
      <c r="BE638" s="65" t="n"/>
      <c r="BF638" s="65" t="n"/>
      <c r="BG638" s="65" t="n"/>
    </row>
    <row r="639">
      <c r="F639" s="68" t="n"/>
      <c r="G639" s="68">
        <f>IF(B639="","",F639-I639 )</f>
        <v/>
      </c>
      <c r="H639" s="5">
        <f>IF(G639="","",G639/F639)</f>
        <v/>
      </c>
      <c r="I639" s="62">
        <f>SUM(テーブル9[[#This Row],[五大]:[工場材]])</f>
        <v/>
      </c>
      <c r="J639" s="65" t="n"/>
      <c r="K639" s="65" t="n"/>
      <c r="L639" s="65" t="n"/>
      <c r="M639" s="65" t="n"/>
      <c r="N639" s="65" t="n"/>
      <c r="O639" s="65" t="n"/>
      <c r="P639" s="65" t="n"/>
      <c r="Q639" s="65" t="n"/>
      <c r="R639" s="65" t="n"/>
      <c r="S639" s="65" t="n"/>
      <c r="T639" s="65" t="n"/>
      <c r="U639" s="65" t="n"/>
      <c r="V639" s="65" t="n"/>
      <c r="W639" s="69" t="n"/>
      <c r="X639" s="66" t="n"/>
      <c r="Y639" s="69" t="n"/>
      <c r="Z639" s="69" t="n"/>
      <c r="AA639" s="69" t="n"/>
      <c r="AB639" s="69" t="n"/>
      <c r="AC639" s="65" t="n"/>
      <c r="AD639" s="65" t="n"/>
      <c r="AE639" s="65" t="n"/>
      <c r="AF639" s="65" t="n"/>
      <c r="AG639" s="65" t="n"/>
      <c r="AH639" s="65" t="n"/>
      <c r="AI639" s="65" t="n"/>
      <c r="AJ639" s="65" t="n"/>
      <c r="AK639" s="65" t="n"/>
      <c r="AL639" s="65" t="n"/>
      <c r="AM639" s="65" t="n"/>
      <c r="AN639" s="65" t="n"/>
      <c r="AO639" s="65" t="n"/>
      <c r="AP639" s="65" t="n"/>
      <c r="AQ639" s="65" t="n"/>
      <c r="AR639" s="65" t="n"/>
      <c r="AS639" s="65" t="n"/>
      <c r="AT639" s="65" t="n"/>
      <c r="AU639" s="65" t="n"/>
      <c r="AV639" s="65" t="n"/>
      <c r="AW639" s="65" t="n"/>
      <c r="AX639" s="65" t="n"/>
      <c r="AY639" s="65" t="n"/>
      <c r="AZ639" s="65" t="n"/>
      <c r="BA639" s="65" t="n"/>
      <c r="BB639" s="65" t="n"/>
      <c r="BC639" s="65" t="n"/>
      <c r="BD639" s="65" t="n"/>
      <c r="BE639" s="65" t="n"/>
      <c r="BF639" s="65" t="n"/>
      <c r="BG639" s="65" t="n"/>
    </row>
    <row r="640">
      <c r="B640" s="1" t="inlineStr">
        <is>
          <t>パークアベニュー八乙女306</t>
        </is>
      </c>
      <c r="C640" s="1" t="inlineStr">
        <is>
          <t>LIXIL</t>
        </is>
      </c>
      <c r="D640" s="1" t="inlineStr">
        <is>
          <t>トイレ交換　照明・エコカラット</t>
        </is>
      </c>
      <c r="E640" s="2" t="inlineStr">
        <is>
          <t>10月</t>
        </is>
      </c>
      <c r="F640" s="68" t="n">
        <v>250833</v>
      </c>
      <c r="G640" s="68">
        <f>IF(B640="","",F640-I640 )</f>
        <v/>
      </c>
      <c r="H640" s="5">
        <f>IF(G640="","",G640/F640)</f>
        <v/>
      </c>
      <c r="I640" s="62">
        <f>SUM(テーブル9[[#This Row],[五大]:[工場材]])</f>
        <v/>
      </c>
      <c r="J640" s="65" t="n"/>
      <c r="K640" s="65" t="n"/>
      <c r="L640" s="65" t="n"/>
      <c r="M640" s="65" t="n"/>
      <c r="N640" s="65" t="n"/>
      <c r="O640" s="65" t="n"/>
      <c r="P640" s="65" t="n"/>
      <c r="Q640" s="65" t="n"/>
      <c r="R640" s="65" t="n"/>
      <c r="S640" s="65" t="n"/>
      <c r="T640" s="65" t="n"/>
      <c r="U640" s="65" t="n"/>
      <c r="V640" s="65" t="n"/>
      <c r="W640" s="69" t="n">
        <v>40000</v>
      </c>
      <c r="X640" s="66" t="n">
        <v>11942</v>
      </c>
      <c r="Y640" s="69" t="n"/>
      <c r="Z640" s="69" t="n"/>
      <c r="AA640" s="69" t="n">
        <v>50000</v>
      </c>
      <c r="AB640" s="69">
        <f>46000+17000</f>
        <v/>
      </c>
      <c r="AC640" s="65" t="n"/>
      <c r="AD640" s="65" t="n"/>
      <c r="AE640" s="65" t="n"/>
      <c r="AF640" s="65" t="n"/>
      <c r="AG640" s="65" t="n"/>
      <c r="AH640" s="69" t="n">
        <v>87000</v>
      </c>
      <c r="AI640" s="65" t="n"/>
      <c r="AJ640" s="65" t="n"/>
      <c r="AK640" s="65" t="n"/>
      <c r="AL640" s="65" t="n"/>
      <c r="AM640" s="65" t="n"/>
      <c r="AN640" s="65" t="n"/>
      <c r="AO640" s="65" t="n"/>
      <c r="AP640" s="65" t="n"/>
      <c r="AQ640" s="65" t="n"/>
      <c r="AR640" s="65" t="n"/>
      <c r="AS640" s="65" t="n"/>
      <c r="AT640" s="65" t="n"/>
      <c r="AU640" s="65" t="n"/>
      <c r="AV640" s="65" t="n"/>
      <c r="AW640" s="65" t="n"/>
      <c r="AX640" s="65" t="n"/>
      <c r="AY640" s="65" t="n"/>
      <c r="AZ640" s="65" t="n"/>
      <c r="BA640" s="65" t="n"/>
      <c r="BB640" s="65" t="n"/>
      <c r="BC640" s="65" t="n"/>
      <c r="BD640" s="65" t="n"/>
      <c r="BE640" s="65" t="n"/>
      <c r="BF640" s="65" t="n"/>
      <c r="BG640" s="65" t="n"/>
    </row>
    <row r="641">
      <c r="B641" s="1" t="inlineStr">
        <is>
          <t>パークハウスリシェルテ409</t>
        </is>
      </c>
      <c r="C641" s="1" t="inlineStr">
        <is>
          <t>LIXIL</t>
        </is>
      </c>
      <c r="D641" s="1" t="inlineStr">
        <is>
          <t>UB・洗面所工事</t>
        </is>
      </c>
      <c r="E641" s="2" t="inlineStr">
        <is>
          <t>10月</t>
        </is>
      </c>
      <c r="F641" s="68" t="n">
        <v>463290</v>
      </c>
      <c r="G641" s="68">
        <f>IF(B641="","",F641-I641 )</f>
        <v/>
      </c>
      <c r="H641" s="5">
        <f>IF(G641="","",G641/F641)</f>
        <v/>
      </c>
      <c r="I641" s="62">
        <f>SUM(テーブル9[[#This Row],[五大]:[工場材]])</f>
        <v/>
      </c>
      <c r="J641" s="65" t="n"/>
      <c r="K641" s="65" t="n"/>
      <c r="L641" s="65" t="n"/>
      <c r="M641" s="65" t="n"/>
      <c r="N641" s="65" t="n"/>
      <c r="O641" s="65" t="n"/>
      <c r="P641" s="65" t="n"/>
      <c r="Q641" s="65" t="n"/>
      <c r="R641" s="65" t="n"/>
      <c r="S641" s="65" t="n"/>
      <c r="T641" s="65" t="n"/>
      <c r="U641" s="65" t="n"/>
      <c r="V641" s="65" t="n"/>
      <c r="W641" s="69">
        <f>76000+15000</f>
        <v/>
      </c>
      <c r="X641" s="66" t="n">
        <v>26039</v>
      </c>
      <c r="Y641" s="69" t="n"/>
      <c r="Z641" s="69" t="n"/>
      <c r="AA641" s="69" t="n">
        <v>80000</v>
      </c>
      <c r="AB641" s="69" t="n">
        <v>173000</v>
      </c>
      <c r="AC641" s="65" t="n"/>
      <c r="AD641" s="65" t="n"/>
      <c r="AE641" s="65" t="n"/>
      <c r="AF641" s="65" t="n"/>
      <c r="AG641" s="65" t="n"/>
      <c r="AH641" s="69" t="n">
        <v>75000</v>
      </c>
      <c r="AI641" s="65" t="n"/>
      <c r="AJ641" s="65" t="n"/>
      <c r="AK641" s="65" t="n"/>
      <c r="AL641" s="65" t="n"/>
      <c r="AM641" s="65" t="n"/>
      <c r="AN641" s="65" t="n"/>
      <c r="AO641" s="65" t="n"/>
      <c r="AP641" s="65" t="n"/>
      <c r="AQ641" s="65" t="n"/>
      <c r="AR641" s="65" t="n"/>
      <c r="AS641" s="65" t="n"/>
      <c r="AT641" s="65" t="n"/>
      <c r="AU641" s="65" t="n"/>
      <c r="AV641" s="65" t="n"/>
      <c r="AW641" s="65" t="n"/>
      <c r="AX641" s="65" t="n"/>
      <c r="AY641" s="65" t="n"/>
      <c r="AZ641" s="65" t="n"/>
      <c r="BA641" s="65" t="n"/>
      <c r="BB641" s="65" t="n"/>
      <c r="BC641" s="65" t="n"/>
      <c r="BD641" s="65" t="n"/>
      <c r="BE641" s="65" t="n"/>
      <c r="BF641" s="65" t="n"/>
      <c r="BG641" s="65" t="n"/>
    </row>
    <row r="642">
      <c r="B642" s="1" t="inlineStr">
        <is>
          <t>光和工業サウナ施設</t>
        </is>
      </c>
      <c r="C642" s="1" t="inlineStr">
        <is>
          <t>自社工事</t>
        </is>
      </c>
      <c r="E642" s="2" t="inlineStr">
        <is>
          <t>10月</t>
        </is>
      </c>
      <c r="F642" s="68" t="n"/>
      <c r="G642" s="68">
        <f>IF(B642="","",F642-I642 )</f>
        <v/>
      </c>
      <c r="H642" s="5">
        <f>IF(OR(G642="",F642=0),"",G642/F642)</f>
        <v/>
      </c>
      <c r="I642" s="62">
        <f>SUM(テーブル9[[#This Row],[五大]:[工場材]])</f>
        <v/>
      </c>
      <c r="J642" s="65" t="n"/>
      <c r="K642" s="65" t="n"/>
      <c r="L642" s="65" t="n"/>
      <c r="M642" s="65" t="n"/>
      <c r="N642" s="65" t="n"/>
      <c r="O642" s="65" t="n"/>
      <c r="P642" s="65" t="n"/>
      <c r="Q642" s="65" t="n"/>
      <c r="R642" s="65" t="n"/>
      <c r="S642" s="65" t="n"/>
      <c r="T642" s="65" t="n"/>
      <c r="U642" s="65" t="n"/>
      <c r="V642" s="65" t="n"/>
      <c r="W642" s="69">
        <f>360000+300000+40000+280000</f>
        <v/>
      </c>
      <c r="X642" s="66">
        <f>377104+172869+88893</f>
        <v/>
      </c>
      <c r="Y642" s="69" t="n"/>
      <c r="Z642" s="69" t="n"/>
      <c r="AA642" s="69">
        <f>168000+15000+98000+15000+80000+385000+248000</f>
        <v/>
      </c>
      <c r="AB642" s="69">
        <f>358000+130000</f>
        <v/>
      </c>
      <c r="AC642" s="65" t="n"/>
      <c r="AD642" s="65" t="n"/>
      <c r="AE642" s="65" t="n"/>
      <c r="AF642" s="65" t="n"/>
      <c r="AG642" s="65" t="n"/>
      <c r="AH642" s="64" t="n">
        <v>273500</v>
      </c>
      <c r="AI642" s="65" t="n"/>
      <c r="AJ642" s="65" t="n"/>
      <c r="AK642" s="65" t="n"/>
      <c r="AL642" s="65" t="n"/>
      <c r="AM642" s="65" t="n"/>
      <c r="AN642" s="65" t="n"/>
      <c r="AO642" s="65" t="n"/>
      <c r="AP642" s="65" t="n"/>
      <c r="AQ642" s="65" t="n"/>
      <c r="AR642" s="65" t="n"/>
      <c r="AS642" s="65" t="n"/>
      <c r="AT642" s="65" t="n"/>
      <c r="AU642" s="65" t="n"/>
      <c r="AV642" s="65" t="n"/>
      <c r="AW642" s="65" t="n"/>
      <c r="AX642" s="65" t="n"/>
      <c r="AY642" s="65" t="n"/>
      <c r="AZ642" s="65">
        <f>2450000*0.7</f>
        <v/>
      </c>
      <c r="BA642" s="65" t="n"/>
      <c r="BB642" s="65" t="n"/>
      <c r="BC642" s="65" t="n"/>
      <c r="BD642" s="65" t="n">
        <v>300909</v>
      </c>
      <c r="BE642" s="65" t="n"/>
      <c r="BF642" s="65" t="n"/>
      <c r="BG642" s="65" t="n"/>
    </row>
    <row r="643">
      <c r="B643" s="1" t="inlineStr">
        <is>
          <t>福田町倉庫</t>
        </is>
      </c>
      <c r="C643" s="1" t="inlineStr">
        <is>
          <t>自社工事</t>
        </is>
      </c>
      <c r="E643" s="2" t="inlineStr">
        <is>
          <t>10月</t>
        </is>
      </c>
      <c r="F643" s="68" t="n"/>
      <c r="G643" s="68">
        <f>IF(B643="","",F643-I643 )</f>
        <v/>
      </c>
      <c r="H643" s="5">
        <f>IF(OR(G643="",F643=0),"",G643/F643)</f>
        <v/>
      </c>
      <c r="I643" s="62">
        <f>SUM(テーブル9[[#This Row],[五大]:[工場材]])</f>
        <v/>
      </c>
      <c r="J643" s="65" t="n"/>
      <c r="K643" s="65" t="n"/>
      <c r="L643" s="65" t="n"/>
      <c r="M643" s="65" t="n"/>
      <c r="N643" s="65" t="n"/>
      <c r="O643" s="65" t="n"/>
      <c r="P643" s="65" t="n"/>
      <c r="Q643" s="65" t="n"/>
      <c r="R643" s="65" t="n"/>
      <c r="S643" s="65" t="n"/>
      <c r="T643" s="65" t="n"/>
      <c r="U643" s="65" t="n"/>
      <c r="V643" s="65" t="n"/>
      <c r="W643" s="65" t="n"/>
      <c r="X643" s="66" t="n"/>
      <c r="Y643" s="65" t="n"/>
      <c r="Z643" s="65" t="n"/>
      <c r="AA643" s="69" t="n">
        <v>120000</v>
      </c>
      <c r="AB643" s="65" t="n"/>
      <c r="AC643" s="65" t="n"/>
      <c r="AD643" s="65" t="n"/>
      <c r="AE643" s="65" t="n"/>
      <c r="AF643" s="65" t="n"/>
      <c r="AG643" s="65" t="n"/>
      <c r="AH643" s="65" t="n"/>
      <c r="AI643" s="65" t="n"/>
      <c r="AJ643" s="65" t="n"/>
      <c r="AK643" s="65" t="n"/>
      <c r="AL643" s="65" t="n"/>
      <c r="AM643" s="65" t="n"/>
      <c r="AN643" s="65" t="n"/>
      <c r="AO643" s="65" t="n"/>
      <c r="AP643" s="65" t="n"/>
      <c r="AQ643" s="65" t="n"/>
      <c r="AR643" s="65" t="n"/>
      <c r="AS643" s="65" t="n"/>
      <c r="AT643" s="65" t="n"/>
      <c r="AU643" s="65" t="n"/>
      <c r="AV643" s="65" t="n"/>
      <c r="AW643" s="65" t="n"/>
      <c r="AX643" s="65" t="n"/>
      <c r="AY643" s="65" t="n"/>
      <c r="AZ643" s="65" t="n"/>
      <c r="BA643" s="65" t="n"/>
      <c r="BB643" s="65" t="n"/>
      <c r="BC643" s="65" t="n"/>
      <c r="BD643" s="65" t="n"/>
      <c r="BE643" s="65" t="n"/>
      <c r="BF643" s="65" t="n"/>
      <c r="BG643" s="65" t="n"/>
    </row>
    <row r="644">
      <c r="B644" s="1" t="inlineStr">
        <is>
          <t>メゾンエスポワール</t>
        </is>
      </c>
      <c r="C644" s="1" t="inlineStr">
        <is>
          <t>自社工事</t>
        </is>
      </c>
      <c r="D644" s="1" t="inlineStr">
        <is>
          <t>ガードポール交換　清野</t>
        </is>
      </c>
      <c r="E644" s="2" t="inlineStr">
        <is>
          <t>10月</t>
        </is>
      </c>
      <c r="F644" s="68" t="n"/>
      <c r="G644" s="68">
        <f>IF(B644="","",F644-I644 )</f>
        <v/>
      </c>
      <c r="H644" s="5">
        <f>IF(OR(G644="",F644=0),"",G644/F644)</f>
        <v/>
      </c>
      <c r="I644" s="62">
        <f>SUM(テーブル9[[#This Row],[五大]:[工場材]])</f>
        <v/>
      </c>
      <c r="J644" s="65" t="n"/>
      <c r="K644" s="65" t="n"/>
      <c r="L644" s="65" t="n"/>
      <c r="M644" s="65" t="n"/>
      <c r="N644" s="65" t="n"/>
      <c r="O644" s="65" t="n"/>
      <c r="P644" s="65" t="n"/>
      <c r="Q644" s="65" t="n"/>
      <c r="R644" s="65" t="n"/>
      <c r="S644" s="65" t="n"/>
      <c r="T644" s="65" t="n"/>
      <c r="U644" s="65" t="n"/>
      <c r="V644" s="65" t="n"/>
      <c r="W644" s="65" t="n"/>
      <c r="X644" s="66" t="n"/>
      <c r="Y644" s="65" t="n"/>
      <c r="Z644" s="65" t="n"/>
      <c r="AA644" s="65" t="n"/>
      <c r="AB644" s="65" t="n"/>
      <c r="AC644" s="65" t="n"/>
      <c r="AD644" s="65" t="n"/>
      <c r="AE644" s="65" t="n"/>
      <c r="AF644" s="65" t="n"/>
      <c r="AG644" s="65" t="n"/>
      <c r="AH644" s="65" t="n"/>
      <c r="AI644" s="65" t="n"/>
      <c r="AJ644" s="65" t="n"/>
      <c r="AK644" s="65" t="n"/>
      <c r="AL644" s="65" t="n"/>
      <c r="AM644" s="65" t="n"/>
      <c r="AN644" s="65" t="n"/>
      <c r="AO644" s="65" t="n"/>
      <c r="AP644" s="65" t="n"/>
      <c r="AQ644" s="65" t="n"/>
      <c r="AR644" s="65" t="n"/>
      <c r="AS644" s="65" t="n"/>
      <c r="AT644" s="65" t="n"/>
      <c r="AU644" s="65" t="n"/>
      <c r="AV644" s="65" t="n"/>
      <c r="AW644" s="65" t="n"/>
      <c r="AX644" s="65" t="n"/>
      <c r="AY644" s="65" t="n"/>
      <c r="AZ644" s="65" t="n"/>
      <c r="BA644" s="65" t="n">
        <v>55000</v>
      </c>
      <c r="BB644" s="65" t="n"/>
      <c r="BC644" s="65" t="n"/>
      <c r="BD644" s="65" t="n"/>
      <c r="BE644" s="65" t="n"/>
      <c r="BF644" s="65" t="n"/>
      <c r="BG644" s="65" t="n"/>
    </row>
    <row r="645">
      <c r="B645" s="1" t="inlineStr">
        <is>
          <t>事務所床貼替</t>
        </is>
      </c>
      <c r="C645" s="1" t="inlineStr">
        <is>
          <t>自社工事</t>
        </is>
      </c>
      <c r="E645" s="2" t="inlineStr">
        <is>
          <t>10月</t>
        </is>
      </c>
      <c r="F645" s="68" t="n"/>
      <c r="G645" s="68">
        <f>IF(B645="","",F645-I645 )</f>
        <v/>
      </c>
      <c r="H645" s="5">
        <f>IF(OR(G645="",F645=0),"",G645/F645)</f>
        <v/>
      </c>
      <c r="I645" s="62">
        <f>SUM(テーブル9[[#This Row],[五大]:[工場材]])</f>
        <v/>
      </c>
      <c r="J645" s="65" t="n"/>
      <c r="K645" s="65" t="n"/>
      <c r="L645" s="65" t="n"/>
      <c r="M645" s="65" t="n"/>
      <c r="N645" s="65" t="n"/>
      <c r="O645" s="65" t="n"/>
      <c r="P645" s="65" t="n"/>
      <c r="Q645" s="65" t="n"/>
      <c r="R645" s="65" t="n"/>
      <c r="S645" s="65" t="n"/>
      <c r="T645" s="65" t="n"/>
      <c r="U645" s="65" t="n"/>
      <c r="V645" s="65" t="n"/>
      <c r="W645" s="65" t="n"/>
      <c r="X645" s="66" t="n"/>
      <c r="Y645" s="65" t="n"/>
      <c r="Z645" s="65" t="n"/>
      <c r="AA645" s="65" t="n"/>
      <c r="AB645" s="65" t="n"/>
      <c r="AC645" s="65" t="n"/>
      <c r="AD645" s="65" t="n"/>
      <c r="AE645" s="65" t="n"/>
      <c r="AF645" s="65" t="n"/>
      <c r="AG645" s="65" t="n"/>
      <c r="AH645" s="69" t="n">
        <v>120000</v>
      </c>
      <c r="AI645" s="65" t="n"/>
      <c r="AJ645" s="65" t="n"/>
      <c r="AK645" s="65" t="n"/>
      <c r="AL645" s="65" t="n"/>
      <c r="AM645" s="65" t="n"/>
      <c r="AN645" s="65" t="n"/>
      <c r="AO645" s="65" t="n"/>
      <c r="AP645" s="65" t="n"/>
      <c r="AQ645" s="65" t="n"/>
      <c r="AR645" s="65" t="n"/>
      <c r="AS645" s="65" t="n"/>
      <c r="AT645" s="65" t="n"/>
      <c r="AU645" s="65" t="n"/>
      <c r="AV645" s="65" t="n"/>
      <c r="AW645" s="65" t="n"/>
      <c r="AX645" s="65" t="n"/>
      <c r="AY645" s="65" t="n"/>
      <c r="AZ645" s="65" t="n"/>
      <c r="BA645" s="65" t="n"/>
      <c r="BB645" s="65" t="n"/>
      <c r="BC645" s="65" t="n"/>
      <c r="BD645" s="65" t="n"/>
      <c r="BE645" s="65" t="n"/>
      <c r="BF645" s="65" t="n"/>
      <c r="BG645" s="65" t="n"/>
    </row>
    <row r="646">
      <c r="B646" s="1" t="inlineStr">
        <is>
          <t>ホライゾン学園</t>
        </is>
      </c>
      <c r="C646" s="1" t="inlineStr">
        <is>
          <t>ライフアップ</t>
        </is>
      </c>
      <c r="D646" s="1" t="inlineStr">
        <is>
          <t>体育館工事　テナント外壁補修</t>
        </is>
      </c>
      <c r="E646" s="2" t="inlineStr">
        <is>
          <t>10月</t>
        </is>
      </c>
      <c r="F646" s="68" t="n">
        <v>521000</v>
      </c>
      <c r="G646" s="68">
        <f>IF(B646="","",F646-I646 )</f>
        <v/>
      </c>
      <c r="H646" s="5">
        <f>IF(G646="","",G646/F646)</f>
        <v/>
      </c>
      <c r="I646" s="62">
        <f>SUM(テーブル9[[#This Row],[五大]:[工場材]])</f>
        <v/>
      </c>
      <c r="J646" s="65" t="n"/>
      <c r="K646" s="65" t="n"/>
      <c r="L646" s="65" t="n"/>
      <c r="M646" s="65" t="n"/>
      <c r="N646" s="65" t="n"/>
      <c r="O646" s="65" t="n"/>
      <c r="P646" s="65" t="n"/>
      <c r="Q646" s="65" t="n"/>
      <c r="R646" s="65" t="n"/>
      <c r="S646" s="65" t="n"/>
      <c r="T646" s="65" t="n"/>
      <c r="U646" s="65" t="n"/>
      <c r="V646" s="65" t="n"/>
      <c r="W646" s="65" t="n"/>
      <c r="X646" s="66" t="n"/>
      <c r="Y646" s="65" t="n"/>
      <c r="Z646" s="65" t="n"/>
      <c r="AA646" s="65" t="n"/>
      <c r="AB646" s="65" t="n"/>
      <c r="AC646" s="65" t="n"/>
      <c r="AD646" s="65" t="n"/>
      <c r="AE646" s="65" t="n"/>
      <c r="AF646" s="65" t="n"/>
      <c r="AG646" s="65" t="n"/>
      <c r="AH646" s="65" t="n"/>
      <c r="AI646" s="65" t="n"/>
      <c r="AJ646" s="65" t="n"/>
      <c r="AK646" s="65" t="n"/>
      <c r="AL646" s="65" t="n"/>
      <c r="AM646" s="65" t="n"/>
      <c r="AN646" s="65" t="n"/>
      <c r="AO646" s="65" t="n"/>
      <c r="AP646" s="65" t="n">
        <v>340000</v>
      </c>
      <c r="AQ646" s="65" t="n"/>
      <c r="AR646" s="65" t="n"/>
      <c r="AS646" s="65" t="n"/>
      <c r="AT646" s="65" t="n"/>
      <c r="AU646" s="65" t="n"/>
      <c r="AV646" s="65" t="n"/>
      <c r="AW646" s="65" t="n"/>
      <c r="AX646" s="65" t="n"/>
      <c r="AY646" s="65" t="n"/>
      <c r="AZ646" s="65" t="n"/>
      <c r="BA646" s="65" t="n"/>
      <c r="BB646" s="65" t="n"/>
      <c r="BC646" s="65" t="n"/>
      <c r="BD646" s="65" t="n"/>
      <c r="BE646" s="65" t="n"/>
      <c r="BF646" s="65" t="n"/>
      <c r="BG646" s="65" t="n"/>
    </row>
    <row r="647">
      <c r="B647" s="1" t="inlineStr">
        <is>
          <t>アップルタワー</t>
        </is>
      </c>
      <c r="C647" s="1" t="inlineStr">
        <is>
          <t>LIXIL</t>
        </is>
      </c>
      <c r="D647" s="1" t="inlineStr">
        <is>
          <t>ブラインド取付</t>
        </is>
      </c>
      <c r="E647" s="2" t="inlineStr">
        <is>
          <t>10月</t>
        </is>
      </c>
      <c r="F647" s="68">
        <f>2420+22000+42845</f>
        <v/>
      </c>
      <c r="G647" s="68">
        <f>IF(B647="","",F647-I647 )</f>
        <v/>
      </c>
      <c r="H647" s="5">
        <f>IF(G647="","",G647/F647)</f>
        <v/>
      </c>
      <c r="I647" s="62">
        <f>SUM(テーブル9[[#This Row],[五大]:[工場材]])</f>
        <v/>
      </c>
      <c r="J647" s="65" t="n"/>
      <c r="K647" s="65" t="n"/>
      <c r="L647" s="65" t="n"/>
      <c r="M647" s="65" t="n"/>
      <c r="N647" s="65" t="n"/>
      <c r="O647" s="65" t="n"/>
      <c r="P647" s="65" t="n"/>
      <c r="Q647" s="65" t="n"/>
      <c r="R647" s="65" t="n"/>
      <c r="S647" s="65" t="n"/>
      <c r="T647" s="65" t="n"/>
      <c r="U647" s="65" t="n"/>
      <c r="V647" s="65" t="n"/>
      <c r="W647" s="65" t="n">
        <v>15000</v>
      </c>
      <c r="X647" s="66" t="n"/>
      <c r="Y647" s="65" t="n"/>
      <c r="Z647" s="65" t="n"/>
      <c r="AA647" s="65" t="n"/>
      <c r="AB647" s="65" t="n"/>
      <c r="AC647" s="65" t="n"/>
      <c r="AD647" s="65" t="n"/>
      <c r="AE647" s="65" t="n"/>
      <c r="AF647" s="65" t="n"/>
      <c r="AG647" s="65" t="n"/>
      <c r="AH647" s="65" t="n"/>
      <c r="AI647" s="65" t="n"/>
      <c r="AJ647" s="65" t="n"/>
      <c r="AK647" s="65" t="n"/>
      <c r="AL647" s="65" t="n"/>
      <c r="AM647" s="65" t="n"/>
      <c r="AN647" s="65" t="n"/>
      <c r="AO647" s="65" t="n"/>
      <c r="AP647" s="65" t="n"/>
      <c r="AQ647" s="65" t="n"/>
      <c r="AR647" s="65" t="n"/>
      <c r="AS647" s="65" t="n"/>
      <c r="AT647" s="65" t="n"/>
      <c r="AU647" s="65" t="n"/>
      <c r="AV647" s="65" t="n"/>
      <c r="AW647" s="65" t="n"/>
      <c r="AX647" s="65" t="n"/>
      <c r="AY647" s="65" t="n"/>
      <c r="AZ647" s="65" t="n">
        <v>33540</v>
      </c>
      <c r="BA647" s="65" t="n"/>
      <c r="BB647" s="65" t="n"/>
      <c r="BC647" s="65" t="n"/>
      <c r="BD647" s="65" t="n"/>
      <c r="BE647" s="65" t="n"/>
      <c r="BF647" s="65" t="n"/>
      <c r="BG647" s="65" t="n"/>
    </row>
    <row r="648">
      <c r="B648" s="1" t="inlineStr">
        <is>
          <t>サニーハイツ西原103</t>
        </is>
      </c>
      <c r="C648" s="1" t="inlineStr">
        <is>
          <t>積水</t>
        </is>
      </c>
      <c r="D648" s="1" t="inlineStr">
        <is>
          <t>UB・キッチン　リノベ</t>
        </is>
      </c>
      <c r="E648" s="2" t="inlineStr">
        <is>
          <t>10月</t>
        </is>
      </c>
      <c r="F648" s="68" t="n">
        <v>1425400</v>
      </c>
      <c r="G648" s="68">
        <f>IF(B648="","",F648-I648 )</f>
        <v/>
      </c>
      <c r="H648" s="5">
        <f>IF(G648="","",G648/F648)</f>
        <v/>
      </c>
      <c r="I648" s="62">
        <f>SUM(テーブル9[[#This Row],[五大]:[工場材]])</f>
        <v/>
      </c>
      <c r="J648" s="65" t="n"/>
      <c r="K648" s="65" t="n"/>
      <c r="L648" s="65" t="n"/>
      <c r="M648" s="65" t="n"/>
      <c r="N648" s="65" t="n"/>
      <c r="O648" s="65" t="n"/>
      <c r="P648" s="65" t="n"/>
      <c r="Q648" s="65" t="n"/>
      <c r="R648" s="65" t="n"/>
      <c r="S648" s="65" t="n"/>
      <c r="T648" s="65" t="n"/>
      <c r="U648" s="65" t="n"/>
      <c r="V648" s="65" t="n"/>
      <c r="W648" s="69">
        <f>30000+12000+70000+10000</f>
        <v/>
      </c>
      <c r="X648" s="66" t="n">
        <v>18682</v>
      </c>
      <c r="Y648" s="65" t="n"/>
      <c r="Z648" s="65" t="n"/>
      <c r="AA648" s="69" t="n">
        <v>60000</v>
      </c>
      <c r="AB648" s="65" t="n"/>
      <c r="AC648" s="69">
        <f>23000+5000+14000+7200+23000+12000+8000</f>
        <v/>
      </c>
      <c r="AD648" s="69" t="n"/>
      <c r="AE648" s="65" t="n"/>
      <c r="AF648" s="65" t="n"/>
      <c r="AG648" s="65" t="n"/>
      <c r="AH648" s="65" t="n"/>
      <c r="AI648" s="65" t="n"/>
      <c r="AJ648" s="65" t="n"/>
      <c r="AK648" s="65" t="n"/>
      <c r="AL648" s="65" t="n"/>
      <c r="AM648" s="65" t="n"/>
      <c r="AN648" s="65" t="n"/>
      <c r="AO648" s="65" t="n"/>
      <c r="AP648" s="69">
        <f>254286+57200+4000</f>
        <v/>
      </c>
      <c r="AQ648" s="65" t="n"/>
      <c r="AR648" s="65" t="n"/>
      <c r="AS648" s="65" t="n"/>
      <c r="AT648" s="69">
        <f>20456+35340+16373+15375+23750+19020+3168+6118+2822+578</f>
        <v/>
      </c>
      <c r="AU648" s="65" t="n"/>
      <c r="AV648" s="65" t="n"/>
      <c r="AW648" s="65" t="n"/>
      <c r="AX648" s="65" t="n"/>
      <c r="AY648" s="65" t="n"/>
      <c r="AZ648" s="65" t="n"/>
      <c r="BA648" s="65" t="n"/>
      <c r="BB648" s="65" t="n"/>
      <c r="BC648" s="65" t="n"/>
      <c r="BD648" s="65" t="n"/>
      <c r="BE648" s="65" t="n"/>
      <c r="BF648" s="65" t="n"/>
      <c r="BG648" s="65" t="n"/>
    </row>
    <row r="649">
      <c r="B649" s="1" t="inlineStr">
        <is>
          <t>エコープラザⅡ105</t>
        </is>
      </c>
      <c r="C649" s="1" t="inlineStr">
        <is>
          <t>積水</t>
        </is>
      </c>
      <c r="D649" s="1" t="inlineStr">
        <is>
          <t>キッチン入替 インターホン ジャック</t>
        </is>
      </c>
      <c r="E649" s="2" t="inlineStr">
        <is>
          <t>10月</t>
        </is>
      </c>
      <c r="F649" s="68">
        <f>1591000+55200</f>
        <v/>
      </c>
      <c r="G649" s="68">
        <f>IF(B649="","",F649-I649 )</f>
        <v/>
      </c>
      <c r="H649" s="5">
        <f>IF(G649="","",G649/F649)</f>
        <v/>
      </c>
      <c r="I649" s="62">
        <f>SUM(テーブル9[[#This Row],[五大]:[工場材]])</f>
        <v/>
      </c>
      <c r="J649" s="65" t="n"/>
      <c r="K649" s="65" t="n"/>
      <c r="L649" s="65" t="n"/>
      <c r="M649" s="65" t="n"/>
      <c r="N649" s="69" t="n">
        <v>44600</v>
      </c>
      <c r="O649" s="65" t="n"/>
      <c r="P649" s="65" t="n"/>
      <c r="Q649" s="65" t="n"/>
      <c r="R649" s="65" t="n"/>
      <c r="S649" s="65" t="n"/>
      <c r="T649" s="65" t="n"/>
      <c r="U649" s="65" t="n"/>
      <c r="V649" s="65" t="n"/>
      <c r="W649" s="65">
        <f>70000+6400+10000+5000+2000</f>
        <v/>
      </c>
      <c r="X649" s="66" t="n"/>
      <c r="Y649" s="65" t="n"/>
      <c r="Z649" s="65" t="n"/>
      <c r="AA649" s="69" t="n">
        <v>77000</v>
      </c>
      <c r="AB649" s="65" t="n"/>
      <c r="AC649" s="69">
        <f>23000+14000+7200+12000+10000</f>
        <v/>
      </c>
      <c r="AD649" s="69" t="n"/>
      <c r="AE649" s="65" t="n"/>
      <c r="AF649" s="65" t="n"/>
      <c r="AG649" s="65" t="n"/>
      <c r="AH649" s="69" t="n">
        <v>353185</v>
      </c>
      <c r="AI649" s="65" t="n"/>
      <c r="AJ649" s="69">
        <f>21600+6000+23800</f>
        <v/>
      </c>
      <c r="AK649" s="65" t="n"/>
      <c r="AL649" s="65" t="n"/>
      <c r="AM649" s="65" t="n"/>
      <c r="AN649" s="65" t="n"/>
      <c r="AO649" s="65" t="n"/>
      <c r="AP649" s="65" t="n"/>
      <c r="AQ649" s="65" t="n"/>
      <c r="AR649" s="65" t="n"/>
      <c r="AS649" s="65" t="n"/>
      <c r="AT649" s="69" t="n">
        <v>147000</v>
      </c>
      <c r="AU649" s="69">
        <f>22000+47000</f>
        <v/>
      </c>
      <c r="AV649" s="65" t="n"/>
      <c r="AW649" s="65" t="n"/>
      <c r="AX649" s="65" t="n"/>
      <c r="AY649" s="65" t="n"/>
      <c r="AZ649" s="65" t="n"/>
      <c r="BA649" s="65" t="n"/>
      <c r="BB649" s="65" t="n"/>
      <c r="BC649" s="65" t="n"/>
      <c r="BD649" s="65" t="n"/>
      <c r="BE649" s="65" t="n"/>
      <c r="BF649" s="65" t="n"/>
      <c r="BG649" s="65" t="n"/>
    </row>
    <row r="650">
      <c r="B650" s="1" t="inlineStr">
        <is>
          <t>グリーンヒルズ　chida-F101</t>
        </is>
      </c>
      <c r="C650" s="1" t="inlineStr">
        <is>
          <t>積水</t>
        </is>
      </c>
      <c r="D650" s="1" t="inlineStr">
        <is>
          <t>リフォーム工事</t>
        </is>
      </c>
      <c r="E650" s="2" t="inlineStr">
        <is>
          <t>10月</t>
        </is>
      </c>
      <c r="F650" s="68" t="n">
        <v>1303000</v>
      </c>
      <c r="G650" s="68">
        <f>IF(B650="","",F650-I650 )</f>
        <v/>
      </c>
      <c r="H650" s="5">
        <f>IF(G650="","",G650/F650)</f>
        <v/>
      </c>
      <c r="I650" s="62">
        <f>SUM(テーブル9[[#This Row],[五大]:[工場材]])</f>
        <v/>
      </c>
      <c r="J650" s="65" t="n"/>
      <c r="K650" s="65" t="n"/>
      <c r="L650" s="65" t="n"/>
      <c r="M650" s="65" t="n"/>
      <c r="N650" s="65" t="n"/>
      <c r="O650" s="65" t="n"/>
      <c r="P650" s="65" t="n"/>
      <c r="Q650" s="65" t="n"/>
      <c r="R650" s="65" t="n"/>
      <c r="S650" s="65" t="n"/>
      <c r="T650" s="65" t="n"/>
      <c r="U650" s="65" t="n"/>
      <c r="V650" s="65" t="n"/>
      <c r="W650" s="69" t="n">
        <v>140000</v>
      </c>
      <c r="X650" s="66" t="n">
        <v>30802</v>
      </c>
      <c r="Y650" s="65" t="n"/>
      <c r="Z650" s="65" t="n"/>
      <c r="AA650" s="65" t="n"/>
      <c r="AB650" s="65" t="n"/>
      <c r="AC650" s="65" t="n"/>
      <c r="AD650" s="65" t="n"/>
      <c r="AE650" s="65" t="n"/>
      <c r="AF650" s="65" t="n"/>
      <c r="AG650" s="65" t="n"/>
      <c r="AH650" s="69" t="n">
        <v>215570</v>
      </c>
      <c r="AI650" s="65" t="n"/>
      <c r="AJ650" s="69" t="n">
        <v>21000</v>
      </c>
      <c r="AK650" s="65" t="n"/>
      <c r="AL650" s="65" t="n"/>
      <c r="AM650" s="65" t="n"/>
      <c r="AN650" s="65" t="n"/>
      <c r="AO650" s="65" t="n"/>
      <c r="AP650" s="69">
        <f>22608+10800+17000+23000+21000</f>
        <v/>
      </c>
      <c r="AQ650" s="65" t="n"/>
      <c r="AR650" s="65" t="n"/>
      <c r="AS650" s="65" t="n"/>
      <c r="AT650" s="65" t="n"/>
      <c r="AU650" s="69">
        <f>136000</f>
        <v/>
      </c>
      <c r="AV650" s="65" t="n"/>
      <c r="AW650" s="65" t="n"/>
      <c r="AX650" s="65" t="n"/>
      <c r="AY650" s="65" t="n"/>
      <c r="AZ650" s="65" t="n"/>
      <c r="BA650" s="65" t="n"/>
      <c r="BB650" s="65" t="n"/>
      <c r="BC650" s="65" t="n"/>
      <c r="BD650" s="65" t="n"/>
      <c r="BE650" s="65" t="n"/>
      <c r="BF650" s="65" t="n"/>
      <c r="BG650" s="65" t="n"/>
    </row>
    <row r="651">
      <c r="B651" s="1" t="inlineStr">
        <is>
          <t>ドエルタカショー</t>
        </is>
      </c>
      <c r="C651" s="1" t="inlineStr">
        <is>
          <t>積水</t>
        </is>
      </c>
      <c r="D651" s="1" t="inlineStr">
        <is>
          <t>洗浄・シール・玄関ドアシート</t>
        </is>
      </c>
      <c r="E651" s="2" t="inlineStr">
        <is>
          <t>10月</t>
        </is>
      </c>
      <c r="F651" s="68" t="n">
        <v>925000</v>
      </c>
      <c r="G651" s="68">
        <f>IF(B651="","",F651-I651 )</f>
        <v/>
      </c>
      <c r="H651" s="5">
        <f>IF(G651="","",G651/F651)</f>
        <v/>
      </c>
      <c r="I651" s="62">
        <f>SUM(テーブル9[[#This Row],[五大]:[工場材]])</f>
        <v/>
      </c>
      <c r="J651" s="65" t="n"/>
      <c r="K651" s="65" t="n"/>
      <c r="L651" s="65" t="n"/>
      <c r="M651" s="65" t="n"/>
      <c r="N651" s="65" t="n"/>
      <c r="O651" s="65" t="n"/>
      <c r="P651" s="65" t="n"/>
      <c r="Q651" s="65" t="n"/>
      <c r="R651" s="69" t="n">
        <v>108000</v>
      </c>
      <c r="S651" s="65" t="n"/>
      <c r="T651" s="65" t="n"/>
      <c r="U651" s="65" t="n"/>
      <c r="V651" s="65" t="n"/>
      <c r="W651" s="65" t="n"/>
      <c r="X651" s="66" t="n"/>
      <c r="Y651" s="65" t="n"/>
      <c r="Z651" s="65" t="n"/>
      <c r="AA651" s="65" t="n"/>
      <c r="AB651" s="65" t="n"/>
      <c r="AC651" s="65" t="n"/>
      <c r="AD651" s="65" t="n"/>
      <c r="AE651" s="65" t="n"/>
      <c r="AF651" s="65" t="n"/>
      <c r="AG651" s="65" t="n"/>
      <c r="AH651" s="65" t="n"/>
      <c r="AI651" s="65" t="n"/>
      <c r="AJ651" s="65" t="n"/>
      <c r="AK651" s="65" t="n"/>
      <c r="AL651" s="65" t="n"/>
      <c r="AM651" s="65" t="n"/>
      <c r="AN651" s="65" t="n"/>
      <c r="AO651" s="65" t="n"/>
      <c r="AP651" s="65" t="n"/>
      <c r="AQ651" s="65" t="n"/>
      <c r="AR651" s="65" t="n"/>
      <c r="AS651" s="65" t="n"/>
      <c r="AT651" s="65" t="n"/>
      <c r="AU651" s="69" t="n">
        <v>408000</v>
      </c>
      <c r="AV651" s="65" t="n"/>
      <c r="AW651" s="65" t="n"/>
      <c r="AX651" s="65" t="n"/>
      <c r="AY651" s="65" t="n"/>
      <c r="AZ651" s="65" t="n"/>
      <c r="BA651" s="65" t="n"/>
      <c r="BB651" s="65" t="n"/>
      <c r="BC651" s="65" t="n"/>
      <c r="BD651" s="65" t="n"/>
      <c r="BE651" s="65" t="n"/>
      <c r="BF651" s="65" t="n"/>
      <c r="BG651" s="65" t="n"/>
    </row>
    <row r="652">
      <c r="F652" s="68" t="n"/>
      <c r="G652" s="68">
        <f>IF(B652="","",F652-I652 )</f>
        <v/>
      </c>
      <c r="H652" s="5">
        <f>IF(G652="","",G652/F652)</f>
        <v/>
      </c>
      <c r="I652" s="62">
        <f>SUM(テーブル9[[#This Row],[五大]:[工場材]])</f>
        <v/>
      </c>
      <c r="J652" s="65" t="n"/>
      <c r="K652" s="65" t="n"/>
      <c r="L652" s="65" t="n"/>
      <c r="M652" s="65" t="n"/>
      <c r="N652" s="65" t="n"/>
      <c r="O652" s="65" t="n"/>
      <c r="P652" s="65" t="n"/>
      <c r="Q652" s="65" t="n"/>
      <c r="R652" s="65" t="n"/>
      <c r="S652" s="65" t="n"/>
      <c r="T652" s="65" t="n"/>
      <c r="U652" s="65" t="n"/>
      <c r="V652" s="65" t="n"/>
      <c r="W652" s="65" t="n"/>
      <c r="X652" s="66" t="n"/>
      <c r="Y652" s="65" t="n"/>
      <c r="Z652" s="65" t="n"/>
      <c r="AA652" s="65" t="n"/>
      <c r="AB652" s="65" t="n"/>
      <c r="AC652" s="65" t="n"/>
      <c r="AD652" s="65" t="n"/>
      <c r="AE652" s="65" t="n"/>
      <c r="AF652" s="65" t="n"/>
      <c r="AG652" s="65" t="n"/>
      <c r="AH652" s="65" t="n"/>
      <c r="AI652" s="65" t="n"/>
      <c r="AJ652" s="65" t="n"/>
      <c r="AK652" s="65" t="n"/>
      <c r="AL652" s="65" t="n"/>
      <c r="AM652" s="65" t="n"/>
      <c r="AN652" s="65" t="n"/>
      <c r="AO652" s="65" t="n"/>
      <c r="AP652" s="65" t="n"/>
      <c r="AQ652" s="65" t="n"/>
      <c r="AR652" s="65" t="n"/>
      <c r="AS652" s="65" t="n"/>
      <c r="AT652" s="65" t="n"/>
      <c r="AU652" s="65" t="n"/>
      <c r="AV652" s="65" t="n"/>
      <c r="AW652" s="65" t="n"/>
      <c r="AX652" s="65" t="n"/>
      <c r="AY652" s="65" t="n"/>
      <c r="AZ652" s="65" t="n"/>
      <c r="BA652" s="65" t="n"/>
      <c r="BB652" s="65" t="n"/>
      <c r="BC652" s="65" t="n"/>
      <c r="BD652" s="65" t="n"/>
      <c r="BE652" s="65" t="n"/>
      <c r="BF652" s="65" t="n"/>
      <c r="BG652" s="65" t="n"/>
    </row>
    <row r="653">
      <c r="B653" s="1" t="inlineStr">
        <is>
          <t>パークアベニュー八乙女811</t>
        </is>
      </c>
      <c r="C653" s="1" t="inlineStr">
        <is>
          <t>LIXIL</t>
        </is>
      </c>
      <c r="D653" s="1" t="inlineStr">
        <is>
          <t>UB・便器交換</t>
        </is>
      </c>
      <c r="E653" s="2" t="inlineStr">
        <is>
          <t>10月</t>
        </is>
      </c>
      <c r="F653" s="68" t="n">
        <v>239939</v>
      </c>
      <c r="G653" s="68">
        <f>IF(B653="","",F653-I653 )</f>
        <v/>
      </c>
      <c r="H653" s="5">
        <f>IF(G653="","",G653/F653)</f>
        <v/>
      </c>
      <c r="I653" s="62">
        <f>SUM(テーブル9[[#This Row],[五大]:[工場材]])</f>
        <v/>
      </c>
      <c r="J653" s="65" t="n"/>
      <c r="K653" s="65" t="n"/>
      <c r="L653" s="65" t="n"/>
      <c r="M653" s="65" t="n"/>
      <c r="N653" s="65" t="n"/>
      <c r="O653" s="65" t="n"/>
      <c r="P653" s="65" t="n"/>
      <c r="Q653" s="65" t="n"/>
      <c r="R653" s="65" t="n"/>
      <c r="S653" s="65" t="n"/>
      <c r="T653" s="65" t="n"/>
      <c r="U653" s="65" t="n"/>
      <c r="V653" s="65" t="n"/>
      <c r="W653" s="69" t="n">
        <v>60000</v>
      </c>
      <c r="X653" s="66" t="n">
        <v>19699</v>
      </c>
      <c r="Y653" s="65" t="n"/>
      <c r="Z653" s="65" t="n"/>
      <c r="AA653" s="65" t="n"/>
      <c r="AB653" s="69" t="n">
        <v>156000</v>
      </c>
      <c r="AC653" s="65" t="n"/>
      <c r="AD653" s="65" t="n"/>
      <c r="AE653" s="65" t="n"/>
      <c r="AF653" s="65" t="n"/>
      <c r="AG653" s="65" t="n"/>
      <c r="AH653" s="69" t="n">
        <v>70000</v>
      </c>
      <c r="AI653" s="65" t="n"/>
      <c r="AJ653" s="65" t="n"/>
      <c r="AK653" s="65" t="n"/>
      <c r="AL653" s="65" t="n"/>
      <c r="AM653" s="65" t="n"/>
      <c r="AN653" s="65" t="n"/>
      <c r="AO653" s="65" t="n"/>
      <c r="AP653" s="65" t="n"/>
      <c r="AQ653" s="65" t="n"/>
      <c r="AR653" s="65" t="n"/>
      <c r="AS653" s="65" t="n"/>
      <c r="AT653" s="65" t="n"/>
      <c r="AU653" s="65" t="n"/>
      <c r="AV653" s="65" t="n"/>
      <c r="AW653" s="65" t="n"/>
      <c r="AX653" s="65" t="n"/>
      <c r="AY653" s="65" t="n"/>
      <c r="AZ653" s="65" t="n"/>
      <c r="BA653" s="65" t="n"/>
      <c r="BB653" s="65" t="n"/>
      <c r="BC653" s="65" t="n"/>
      <c r="BD653" s="65" t="n"/>
      <c r="BE653" s="65" t="n"/>
      <c r="BF653" s="65" t="n"/>
      <c r="BG653" s="65" t="n"/>
    </row>
    <row r="654">
      <c r="B654" s="1" t="inlineStr">
        <is>
          <t xml:space="preserve">　</t>
        </is>
      </c>
      <c r="F654" s="68" t="n"/>
      <c r="G654" s="68">
        <f>IF(B654="","",F654-I654 )</f>
        <v/>
      </c>
      <c r="H654" s="5">
        <f>IF(OR(G654="",F654=0),"",G654/F654)</f>
        <v/>
      </c>
      <c r="I654" s="62">
        <f>SUM(テーブル9[[#This Row],[五大]:[工場材]])</f>
        <v/>
      </c>
      <c r="J654" s="65" t="n"/>
      <c r="K654" s="65" t="n"/>
      <c r="L654" s="65" t="n"/>
      <c r="M654" s="65" t="n"/>
      <c r="N654" s="65" t="n"/>
      <c r="O654" s="65" t="n"/>
      <c r="P654" s="65" t="n"/>
      <c r="Q654" s="65" t="n"/>
      <c r="R654" s="65" t="n"/>
      <c r="S654" s="65" t="n"/>
      <c r="T654" s="65" t="n"/>
      <c r="U654" s="65" t="n"/>
      <c r="V654" s="65" t="n"/>
      <c r="W654" s="65" t="n"/>
      <c r="X654" s="66" t="n"/>
      <c r="Y654" s="65" t="n"/>
      <c r="Z654" s="65" t="n"/>
      <c r="AA654" s="65" t="n"/>
      <c r="AB654" s="65" t="n"/>
      <c r="AC654" s="65" t="n"/>
      <c r="AD654" s="65" t="n"/>
      <c r="AE654" s="65" t="n"/>
      <c r="AF654" s="65" t="n"/>
      <c r="AG654" s="65" t="n"/>
      <c r="AH654" s="65" t="n"/>
      <c r="AI654" s="65" t="n"/>
      <c r="AJ654" s="65" t="n"/>
      <c r="AK654" s="65" t="n"/>
      <c r="AL654" s="65" t="n"/>
      <c r="AM654" s="65" t="n"/>
      <c r="AN654" s="65" t="n"/>
      <c r="AO654" s="65" t="n"/>
      <c r="AP654" s="65" t="n"/>
      <c r="AQ654" s="65" t="n"/>
      <c r="AR654" s="65" t="n"/>
      <c r="AS654" s="65" t="n"/>
      <c r="AT654" s="65" t="n"/>
      <c r="AU654" s="65" t="n"/>
      <c r="AV654" s="65" t="n"/>
      <c r="AW654" s="65" t="n"/>
      <c r="AX654" s="65" t="n"/>
      <c r="AY654" s="65" t="n"/>
      <c r="AZ654" s="65" t="n"/>
      <c r="BA654" s="65" t="n"/>
      <c r="BB654" s="65" t="n"/>
      <c r="BC654" s="65" t="n"/>
      <c r="BD654" s="65" t="n"/>
      <c r="BE654" s="65" t="n"/>
      <c r="BF654" s="65" t="n"/>
      <c r="BG654" s="65" t="n"/>
    </row>
    <row r="655">
      <c r="F655" s="68" t="n"/>
      <c r="G655" s="68">
        <f>IF(B655="","",F655-I655 )</f>
        <v/>
      </c>
      <c r="H655" s="5">
        <f>IF(G655="","",G655/F655)</f>
        <v/>
      </c>
      <c r="I655" s="62">
        <f>SUM(テーブル9[[#This Row],[五大]:[工場材]])</f>
        <v/>
      </c>
      <c r="J655" s="65" t="n"/>
      <c r="K655" s="65" t="n"/>
      <c r="L655" s="65" t="n"/>
      <c r="M655" s="65" t="n"/>
      <c r="N655" s="65" t="n"/>
      <c r="O655" s="65" t="n"/>
      <c r="P655" s="65" t="n"/>
      <c r="Q655" s="65" t="n"/>
      <c r="R655" s="65" t="n"/>
      <c r="S655" s="65" t="n"/>
      <c r="T655" s="65" t="n"/>
      <c r="U655" s="65" t="n"/>
      <c r="V655" s="65" t="n"/>
      <c r="W655" s="65" t="n"/>
      <c r="X655" s="66" t="n"/>
      <c r="Y655" s="65" t="n"/>
      <c r="Z655" s="65" t="n"/>
      <c r="AA655" s="65" t="n"/>
      <c r="AB655" s="65" t="n"/>
      <c r="AC655" s="65" t="n"/>
      <c r="AD655" s="65" t="n"/>
      <c r="AE655" s="65" t="n"/>
      <c r="AF655" s="65" t="n"/>
      <c r="AG655" s="65" t="n"/>
      <c r="AH655" s="65" t="n"/>
      <c r="AI655" s="65" t="n"/>
      <c r="AJ655" s="65" t="n"/>
      <c r="AK655" s="65" t="n"/>
      <c r="AL655" s="65" t="n"/>
      <c r="AM655" s="65" t="n"/>
      <c r="AN655" s="65" t="n"/>
      <c r="AO655" s="65" t="n"/>
      <c r="AP655" s="65" t="n"/>
      <c r="AQ655" s="65" t="n"/>
      <c r="AR655" s="65" t="n"/>
      <c r="AS655" s="65" t="n"/>
      <c r="AT655" s="65" t="n"/>
      <c r="AU655" s="65" t="n"/>
      <c r="AV655" s="65" t="n"/>
      <c r="AW655" s="65" t="n"/>
      <c r="AX655" s="65" t="n"/>
      <c r="AY655" s="65" t="n"/>
      <c r="AZ655" s="65" t="n"/>
      <c r="BA655" s="65" t="n"/>
      <c r="BB655" s="65" t="n"/>
      <c r="BC655" s="65" t="n"/>
      <c r="BD655" s="65" t="n"/>
      <c r="BE655" s="65" t="n"/>
      <c r="BF655" s="65" t="n"/>
      <c r="BG655" s="65" t="n"/>
    </row>
    <row r="656">
      <c r="B656" s="1" t="inlineStr">
        <is>
          <t>パークハウス上杉リシェルテ402</t>
        </is>
      </c>
      <c r="C656" s="1" t="inlineStr">
        <is>
          <t>光和工業</t>
        </is>
      </c>
      <c r="D656" s="1" t="inlineStr">
        <is>
          <t>UB,トイレ内装工事</t>
        </is>
      </c>
      <c r="E656" s="2" t="inlineStr">
        <is>
          <t>12月</t>
        </is>
      </c>
      <c r="F656" s="68" t="n">
        <v>4150000</v>
      </c>
      <c r="G656" s="68">
        <f>IF(B656="","",F656-I656 )</f>
        <v/>
      </c>
      <c r="H656" s="5">
        <f>IF(G656="","",G656/F656)</f>
        <v/>
      </c>
      <c r="I656" s="62">
        <f>SUM(テーブル9[[#This Row],[五大]:[工場材]])</f>
        <v/>
      </c>
      <c r="J656" s="65" t="n"/>
      <c r="K656" s="65" t="n"/>
      <c r="L656" s="65" t="n"/>
      <c r="M656" s="65" t="n"/>
      <c r="N656" s="65" t="n"/>
      <c r="O656" s="65" t="n"/>
      <c r="P656" s="65" t="n"/>
      <c r="Q656" s="65" t="n"/>
      <c r="R656" s="65" t="n"/>
      <c r="S656" s="65" t="n"/>
      <c r="T656" s="65" t="n"/>
      <c r="U656" s="65" t="n"/>
      <c r="V656" s="65" t="n"/>
      <c r="W656" s="69" t="n">
        <v>150000</v>
      </c>
      <c r="X656" s="66" t="n">
        <v>37263</v>
      </c>
      <c r="Y656" s="65" t="n"/>
      <c r="Z656" s="65" t="n"/>
      <c r="AA656" s="69" t="n">
        <v>170000</v>
      </c>
      <c r="AB656" s="69" t="n">
        <v>250000</v>
      </c>
      <c r="AC656" s="65" t="n"/>
      <c r="AD656" s="65" t="n"/>
      <c r="AE656" s="65" t="n"/>
      <c r="AF656" s="65" t="n"/>
      <c r="AG656" s="65" t="n"/>
      <c r="AH656" s="69">
        <f>290550+215750+250000+10000</f>
        <v/>
      </c>
      <c r="AI656" s="65" t="n"/>
      <c r="AJ656" s="65" t="n"/>
      <c r="AK656" s="65" t="n"/>
      <c r="AL656" s="65" t="n"/>
      <c r="AM656" s="65" t="n"/>
      <c r="AN656" s="65" t="n"/>
      <c r="AO656" s="65" t="n"/>
      <c r="AP656" s="69">
        <f>96800+99400+125280+9860+832060+118000+6000+489692+20468+6930+62160+1584+594</f>
        <v/>
      </c>
      <c r="AQ656" s="65" t="n"/>
      <c r="AR656" s="65" t="n"/>
      <c r="AS656" s="65" t="n"/>
      <c r="AT656" s="65" t="n"/>
      <c r="AU656" s="65" t="n"/>
      <c r="AV656" s="65" t="n"/>
      <c r="AW656" s="65" t="n"/>
      <c r="AX656" s="65" t="n"/>
      <c r="AY656" s="65" t="n"/>
      <c r="AZ656" s="65" t="n"/>
      <c r="BA656" s="65" t="n"/>
      <c r="BB656" s="65" t="n"/>
      <c r="BC656" s="65" t="n"/>
      <c r="BD656" s="65" t="n"/>
      <c r="BE656" s="65" t="n"/>
      <c r="BF656" s="65" t="n"/>
      <c r="BG656" s="65" t="n"/>
    </row>
    <row r="657">
      <c r="B657" s="1" t="inlineStr">
        <is>
          <t>福室　本田邸</t>
        </is>
      </c>
      <c r="C657" s="1" t="inlineStr">
        <is>
          <t>光和工業</t>
        </is>
      </c>
      <c r="D657" s="1" t="inlineStr">
        <is>
          <t>インプラス・化粧台・内装</t>
        </is>
      </c>
      <c r="E657" s="2" t="inlineStr">
        <is>
          <t>12月</t>
        </is>
      </c>
      <c r="F657" s="68" t="n">
        <v>3500000</v>
      </c>
      <c r="G657" s="68">
        <f>IF(B657="","",F657-I657 )</f>
        <v/>
      </c>
      <c r="H657" s="5">
        <f>IF(G657="","",G657/F657)</f>
        <v/>
      </c>
      <c r="I657" s="62">
        <f>SUM(テーブル9[[#This Row],[五大]:[工場材]])</f>
        <v/>
      </c>
      <c r="J657" s="65" t="n"/>
      <c r="K657" s="65" t="n"/>
      <c r="L657" s="65" t="n"/>
      <c r="M657" s="65" t="n"/>
      <c r="N657" s="69" t="n">
        <v>25000</v>
      </c>
      <c r="O657" s="65" t="n"/>
      <c r="P657" s="65" t="n"/>
      <c r="Q657" s="65" t="n"/>
      <c r="R657" s="65" t="n"/>
      <c r="S657" s="65" t="n"/>
      <c r="T657" s="65" t="n"/>
      <c r="U657" s="65" t="n"/>
      <c r="V657" s="65" t="n"/>
      <c r="W657" s="69" t="n">
        <v>80000</v>
      </c>
      <c r="X657" s="66" t="n">
        <v>95586</v>
      </c>
      <c r="Y657" s="65" t="n"/>
      <c r="Z657" s="65" t="n"/>
      <c r="AA657" s="69">
        <f>120000+25000</f>
        <v/>
      </c>
      <c r="AB657" s="69" t="n">
        <v>37000</v>
      </c>
      <c r="AC657" s="65" t="n"/>
      <c r="AD657" s="65" t="n"/>
      <c r="AE657" s="43" t="n">
        <v>2453845</v>
      </c>
      <c r="AF657" s="65" t="n"/>
      <c r="AG657" s="65" t="n"/>
      <c r="AH657" s="69" t="n">
        <v>35000</v>
      </c>
      <c r="AI657" s="65" t="n"/>
      <c r="AJ657" s="65" t="n"/>
      <c r="AK657" s="65" t="n"/>
      <c r="AL657" s="65" t="n"/>
      <c r="AM657" s="65" t="n"/>
      <c r="AN657" s="65" t="n"/>
      <c r="AO657" s="65" t="n"/>
      <c r="AP657" s="69">
        <f>69560+53200+34300+30450</f>
        <v/>
      </c>
      <c r="AQ657" s="65" t="n"/>
      <c r="AR657" s="65" t="n"/>
      <c r="AS657" s="65" t="n"/>
      <c r="AT657" s="65" t="n"/>
      <c r="AU657" s="65" t="n"/>
      <c r="AV657" s="65" t="n"/>
      <c r="AW657" s="65" t="n"/>
      <c r="AX657" s="65" t="n"/>
      <c r="AY657" s="65" t="n"/>
      <c r="AZ657" s="65" t="n"/>
      <c r="BA657" s="65" t="n"/>
      <c r="BB657" s="65" t="n"/>
      <c r="BC657" s="65" t="n"/>
      <c r="BD657" s="65" t="n"/>
      <c r="BE657" s="65" t="n"/>
      <c r="BF657" s="65" t="n"/>
      <c r="BG657" s="65" t="n"/>
    </row>
    <row r="658">
      <c r="B658" s="1" t="inlineStr">
        <is>
          <t>小田原　本田邸</t>
        </is>
      </c>
      <c r="C658" s="1" t="inlineStr">
        <is>
          <t>光和工業</t>
        </is>
      </c>
      <c r="D658" s="1" t="inlineStr">
        <is>
          <t>インプラス　押入</t>
        </is>
      </c>
      <c r="E658" s="2" t="inlineStr">
        <is>
          <t>11月</t>
        </is>
      </c>
      <c r="F658" s="68" t="n">
        <v>2900000</v>
      </c>
      <c r="G658" s="68">
        <f>IF(B658="","",F658-I658 )</f>
        <v/>
      </c>
      <c r="H658" s="5">
        <f>IF(G658="","",G658/F658)</f>
        <v/>
      </c>
      <c r="I658" s="62">
        <f>SUM(テーブル9[[#This Row],[五大]:[工場材]])</f>
        <v/>
      </c>
      <c r="J658" s="65" t="n"/>
      <c r="K658" s="65" t="n"/>
      <c r="L658" s="65" t="n"/>
      <c r="M658" s="65" t="n"/>
      <c r="N658" s="65" t="n"/>
      <c r="O658" s="65" t="n"/>
      <c r="P658" s="65" t="n"/>
      <c r="Q658" s="65" t="n"/>
      <c r="R658" s="65" t="n"/>
      <c r="S658" s="65" t="n"/>
      <c r="T658" s="65" t="n"/>
      <c r="U658" s="65" t="n"/>
      <c r="V658" s="65" t="n"/>
      <c r="W658" s="69" t="n">
        <v>40000</v>
      </c>
      <c r="X658" s="66" t="n">
        <v>4133</v>
      </c>
      <c r="Y658" s="65" t="n"/>
      <c r="Z658" s="65" t="n"/>
      <c r="AA658" s="69" t="n"/>
      <c r="AB658" s="69" t="n"/>
      <c r="AC658" s="65" t="n"/>
      <c r="AD658" s="65" t="n"/>
      <c r="AE658" s="43" t="n">
        <v>2172200</v>
      </c>
      <c r="AF658" s="65" t="n"/>
      <c r="AG658" s="65" t="n"/>
      <c r="AH658" s="69" t="n">
        <v>45000</v>
      </c>
      <c r="AI658" s="65" t="n"/>
      <c r="AJ658" s="65" t="n"/>
      <c r="AK658" s="65" t="n"/>
      <c r="AL658" s="65" t="n"/>
      <c r="AM658" s="65" t="n"/>
      <c r="AN658" s="65" t="n"/>
      <c r="AO658" s="65" t="n"/>
      <c r="AP658" s="69">
        <f>29056+17024</f>
        <v/>
      </c>
      <c r="AQ658" s="65" t="n"/>
      <c r="AR658" s="65" t="n"/>
      <c r="AS658" s="65" t="n"/>
      <c r="AT658" s="65" t="n"/>
      <c r="AU658" s="65" t="n"/>
      <c r="AV658" s="65" t="n"/>
      <c r="AW658" s="65" t="n"/>
      <c r="AX658" s="65" t="n"/>
      <c r="AY658" s="65" t="n"/>
      <c r="AZ658" s="65" t="n"/>
      <c r="BA658" s="65" t="n"/>
      <c r="BB658" s="65" t="n"/>
      <c r="BC658" s="65" t="n"/>
      <c r="BD658" s="65" t="n"/>
      <c r="BE658" s="65" t="n"/>
      <c r="BF658" s="65" t="n"/>
      <c r="BG658" s="65" t="n"/>
    </row>
    <row r="659">
      <c r="B659" s="1" t="inlineStr">
        <is>
          <t>パークアベニュー八乙女601</t>
        </is>
      </c>
      <c r="C659" s="1" t="inlineStr">
        <is>
          <t>LIXIL</t>
        </is>
      </c>
      <c r="D659" s="1" t="inlineStr">
        <is>
          <t>便器交換</t>
        </is>
      </c>
      <c r="E659" s="2" t="inlineStr">
        <is>
          <t>12月</t>
        </is>
      </c>
      <c r="F659" s="68">
        <f>14000+500+35000+38000+8000+500+10560+15000</f>
        <v/>
      </c>
      <c r="G659" s="68">
        <f>IF(B659="","",F659-I659 )</f>
        <v/>
      </c>
      <c r="H659" s="5">
        <f>IF(G659="","",G659/F659)</f>
        <v/>
      </c>
      <c r="I659" s="62">
        <f>SUM(テーブル9[[#This Row],[五大]:[工場材]])</f>
        <v/>
      </c>
      <c r="J659" s="65" t="n"/>
      <c r="K659" s="65" t="n"/>
      <c r="L659" s="65" t="n"/>
      <c r="M659" s="65" t="n"/>
      <c r="N659" s="65" t="n"/>
      <c r="O659" s="65" t="n"/>
      <c r="P659" s="65" t="n"/>
      <c r="Q659" s="65" t="n"/>
      <c r="R659" s="65" t="n"/>
      <c r="S659" s="65" t="n"/>
      <c r="T659" s="65" t="n"/>
      <c r="U659" s="65" t="n"/>
      <c r="V659" s="65" t="n"/>
      <c r="W659" s="69" t="n">
        <v>20000</v>
      </c>
      <c r="X659" s="66" t="n">
        <v>5752</v>
      </c>
      <c r="Y659" s="65" t="n"/>
      <c r="Z659" s="65" t="n"/>
      <c r="AA659" s="69" t="n">
        <v>22000</v>
      </c>
      <c r="AB659" s="69">
        <f>40000</f>
        <v/>
      </c>
      <c r="AC659" s="65" t="n"/>
      <c r="AD659" s="65" t="n"/>
      <c r="AE659" s="65" t="n"/>
      <c r="AF659" s="65" t="n"/>
      <c r="AG659" s="65" t="n"/>
      <c r="AH659" s="80" t="n"/>
      <c r="AI659" s="65" t="n"/>
      <c r="AJ659" s="65" t="n"/>
      <c r="AK659" s="65" t="n"/>
      <c r="AL659" s="65" t="n"/>
      <c r="AM659" s="65" t="n"/>
      <c r="AN659" s="65" t="n"/>
      <c r="AO659" s="65" t="n"/>
      <c r="AP659" s="65" t="n"/>
      <c r="AQ659" s="65" t="n"/>
      <c r="AR659" s="65" t="n"/>
      <c r="AS659" s="65" t="n"/>
      <c r="AT659" s="65" t="n"/>
      <c r="AU659" s="65" t="n"/>
      <c r="AV659" s="65" t="n"/>
      <c r="AW659" s="65" t="n"/>
      <c r="AX659" s="65" t="n"/>
      <c r="AY659" s="65" t="n"/>
      <c r="AZ659" s="65" t="n"/>
      <c r="BA659" s="65" t="n"/>
      <c r="BB659" s="65" t="n"/>
      <c r="BC659" s="65" t="n"/>
      <c r="BD659" s="65" t="n"/>
      <c r="BE659" s="65" t="n"/>
      <c r="BF659" s="65" t="n"/>
      <c r="BG659" s="65" t="n"/>
    </row>
    <row r="660">
      <c r="B660" s="1" t="inlineStr">
        <is>
          <t>ホライゾン学園</t>
        </is>
      </c>
      <c r="C660" s="1" t="inlineStr">
        <is>
          <t>ライフアップ</t>
        </is>
      </c>
      <c r="D660" s="1" t="inlineStr">
        <is>
          <t>給湯器交換</t>
        </is>
      </c>
      <c r="E660" s="2" t="inlineStr">
        <is>
          <t>12月</t>
        </is>
      </c>
      <c r="F660" s="68" t="n">
        <v>200000</v>
      </c>
      <c r="G660" s="68">
        <f>IF(B660="","",F660-I660 )</f>
        <v/>
      </c>
      <c r="H660" s="5">
        <f>IF(G660="","",G660/F660)</f>
        <v/>
      </c>
      <c r="I660" s="62">
        <f>SUM(テーブル9[[#This Row],[五大]:[工場材]])</f>
        <v/>
      </c>
      <c r="J660" s="65" t="n"/>
      <c r="K660" s="65" t="n"/>
      <c r="L660" s="65" t="n"/>
      <c r="M660" s="65" t="n"/>
      <c r="N660" s="65" t="n"/>
      <c r="O660" s="65" t="n"/>
      <c r="P660" s="65" t="n"/>
      <c r="Q660" s="65" t="n"/>
      <c r="R660" s="65" t="n"/>
      <c r="S660" s="65" t="n"/>
      <c r="T660" s="65" t="n"/>
      <c r="U660" s="65" t="n"/>
      <c r="V660" s="65" t="n"/>
      <c r="W660" s="65" t="n"/>
      <c r="X660" s="66" t="n"/>
      <c r="Y660" s="65" t="n"/>
      <c r="Z660" s="65" t="n"/>
      <c r="AA660" s="65" t="n"/>
      <c r="AB660" s="69" t="n">
        <v>90000</v>
      </c>
      <c r="AC660" s="65" t="n"/>
      <c r="AD660" s="65" t="n"/>
      <c r="AE660" s="65" t="n"/>
      <c r="AF660" s="65" t="n"/>
      <c r="AG660" s="65" t="n"/>
      <c r="AH660" s="65" t="n"/>
      <c r="AI660" s="65" t="n"/>
      <c r="AJ660" s="65" t="n"/>
      <c r="AK660" s="65" t="n"/>
      <c r="AL660" s="65" t="n"/>
      <c r="AM660" s="65" t="n"/>
      <c r="AN660" s="65" t="n"/>
      <c r="AO660" s="65" t="n"/>
      <c r="AP660" s="69">
        <f>59000+11880</f>
        <v/>
      </c>
      <c r="AQ660" s="65" t="n"/>
      <c r="AR660" s="65" t="n"/>
      <c r="AS660" s="65" t="n"/>
      <c r="AT660" s="65" t="n"/>
      <c r="AU660" s="65" t="n"/>
      <c r="AV660" s="65" t="n"/>
      <c r="AW660" s="65" t="n"/>
      <c r="AX660" s="65" t="n"/>
      <c r="AY660" s="65" t="n"/>
      <c r="AZ660" s="65" t="n"/>
      <c r="BA660" s="65" t="n"/>
      <c r="BB660" s="65" t="n"/>
      <c r="BC660" s="65" t="n"/>
      <c r="BD660" s="65" t="n"/>
      <c r="BE660" s="65" t="n"/>
      <c r="BF660" s="65" t="n"/>
      <c r="BG660" s="65" t="n"/>
    </row>
    <row r="661">
      <c r="B661" s="1" t="inlineStr">
        <is>
          <t>グループホームきくたまち</t>
        </is>
      </c>
      <c r="C661" s="1" t="inlineStr">
        <is>
          <t>光和工業</t>
        </is>
      </c>
      <c r="D661" s="1" t="inlineStr">
        <is>
          <t>エアコン交換</t>
        </is>
      </c>
      <c r="E661" s="2" t="inlineStr">
        <is>
          <t>11月</t>
        </is>
      </c>
      <c r="F661" s="68" t="n">
        <v>211000</v>
      </c>
      <c r="G661" s="68">
        <f>IF(B661="","",F661-I661 )</f>
        <v/>
      </c>
      <c r="H661" s="5">
        <f>IF(G661="","",G661/F661)</f>
        <v/>
      </c>
      <c r="I661" s="62">
        <f>SUM(テーブル9[[#This Row],[五大]:[工場材]])</f>
        <v/>
      </c>
      <c r="J661" s="65" t="n"/>
      <c r="K661" s="65" t="n"/>
      <c r="L661" s="65" t="n"/>
      <c r="M661" s="65" t="n"/>
      <c r="N661" s="65" t="n"/>
      <c r="O661" s="65" t="n"/>
      <c r="P661" s="65" t="n"/>
      <c r="Q661" s="65" t="n"/>
      <c r="R661" s="65" t="n"/>
      <c r="S661" s="65" t="n"/>
      <c r="T661" s="65" t="n"/>
      <c r="U661" s="65" t="n"/>
      <c r="V661" s="65" t="n"/>
      <c r="W661" s="65" t="n"/>
      <c r="X661" s="66" t="n"/>
      <c r="Y661" s="65" t="n"/>
      <c r="Z661" s="65" t="n"/>
      <c r="AA661" s="69" t="n">
        <v>171800</v>
      </c>
      <c r="AB661" s="65" t="n"/>
      <c r="AC661" s="65" t="n"/>
      <c r="AD661" s="65" t="n"/>
      <c r="AE661" s="65" t="n"/>
      <c r="AF661" s="65" t="n"/>
      <c r="AG661" s="65" t="n"/>
      <c r="AH661" s="65" t="n"/>
      <c r="AI661" s="65" t="n"/>
      <c r="AJ661" s="65" t="n"/>
      <c r="AK661" s="65" t="n"/>
      <c r="AL661" s="65" t="n"/>
      <c r="AM661" s="65" t="n"/>
      <c r="AN661" s="65" t="n"/>
      <c r="AO661" s="65" t="n"/>
      <c r="AP661" s="65" t="n"/>
      <c r="AQ661" s="65" t="n"/>
      <c r="AR661" s="65" t="n"/>
      <c r="AS661" s="65" t="n"/>
      <c r="AT661" s="65" t="n"/>
      <c r="AU661" s="65" t="n"/>
      <c r="AV661" s="65" t="n"/>
      <c r="AW661" s="65" t="n"/>
      <c r="AX661" s="65" t="n"/>
      <c r="AY661" s="65" t="n"/>
      <c r="AZ661" s="65" t="n"/>
      <c r="BA661" s="65" t="n"/>
      <c r="BB661" s="65" t="n"/>
      <c r="BC661" s="65" t="n"/>
      <c r="BD661" s="65" t="n"/>
      <c r="BE661" s="65" t="n"/>
      <c r="BF661" s="65" t="n"/>
      <c r="BG661" s="65" t="n"/>
    </row>
    <row r="662">
      <c r="B662" s="1" t="inlineStr">
        <is>
          <t>ホライゾン学園　テナント</t>
        </is>
      </c>
      <c r="C662" s="1" t="inlineStr">
        <is>
          <t>ライフアップ</t>
        </is>
      </c>
      <c r="D662" s="1" t="inlineStr">
        <is>
          <t>外壁</t>
        </is>
      </c>
      <c r="E662" s="2" t="inlineStr">
        <is>
          <t>11月</t>
        </is>
      </c>
      <c r="F662" s="68">
        <f>138000+15000</f>
        <v/>
      </c>
      <c r="G662" s="68">
        <f>IF(B662="","",F662-I662 )</f>
        <v/>
      </c>
      <c r="H662" s="5">
        <f>IF(G662="","",G662/F662)</f>
        <v/>
      </c>
      <c r="I662" s="62">
        <f>SUM(テーブル9[[#This Row],[五大]:[工場材]])</f>
        <v/>
      </c>
      <c r="J662" s="65" t="n"/>
      <c r="K662" s="65" t="n"/>
      <c r="L662" s="65" t="n"/>
      <c r="M662" s="65" t="n"/>
      <c r="N662" s="65" t="n"/>
      <c r="O662" s="65" t="n"/>
      <c r="P662" s="65" t="n"/>
      <c r="Q662" s="65" t="n"/>
      <c r="R662" s="65" t="n"/>
      <c r="S662" s="65" t="n"/>
      <c r="T662" s="65" t="n"/>
      <c r="U662" s="65" t="n"/>
      <c r="V662" s="65" t="n"/>
      <c r="W662" s="69" t="n">
        <v>70000</v>
      </c>
      <c r="X662" s="66" t="n">
        <v>30960</v>
      </c>
      <c r="Y662" s="65" t="n"/>
      <c r="Z662" s="65" t="n"/>
      <c r="AA662" s="65" t="n"/>
      <c r="AB662" s="65" t="n"/>
      <c r="AC662" s="65" t="n"/>
      <c r="AD662" s="65" t="n"/>
      <c r="AE662" s="65" t="n"/>
      <c r="AF662" s="65" t="n"/>
      <c r="AG662" s="65" t="n"/>
      <c r="AH662" s="65" t="n"/>
      <c r="AI662" s="65" t="n"/>
      <c r="AJ662" s="65" t="n"/>
      <c r="AK662" s="65" t="n"/>
      <c r="AL662" s="65" t="n"/>
      <c r="AM662" s="65" t="n"/>
      <c r="AN662" s="65" t="n"/>
      <c r="AO662" s="65" t="n"/>
      <c r="AP662" s="65" t="n"/>
      <c r="AQ662" s="65" t="n"/>
      <c r="AR662" s="65" t="n"/>
      <c r="AS662" s="65" t="n"/>
      <c r="AT662" s="65" t="n"/>
      <c r="AU662" s="65" t="n"/>
      <c r="AV662" s="65" t="n"/>
      <c r="AW662" s="65" t="n"/>
      <c r="AX662" s="65" t="n"/>
      <c r="AY662" s="65" t="n"/>
      <c r="AZ662" s="65" t="n"/>
      <c r="BA662" s="65" t="n"/>
      <c r="BB662" s="65" t="n"/>
      <c r="BC662" s="65" t="n"/>
      <c r="BD662" s="65" t="n"/>
      <c r="BE662" s="65" t="n"/>
      <c r="BF662" s="65" t="n"/>
      <c r="BG662" s="65" t="n"/>
    </row>
    <row r="663">
      <c r="F663" s="68" t="n"/>
      <c r="G663" s="68">
        <f>IF(B663="","",F663-I663 )</f>
        <v/>
      </c>
      <c r="H663" s="5">
        <f>IF(G663="","",G663/F663)</f>
        <v/>
      </c>
      <c r="I663" s="62">
        <f>SUM(テーブル9[[#This Row],[五大]:[工場材]])</f>
        <v/>
      </c>
      <c r="J663" s="65" t="n"/>
      <c r="K663" s="65" t="n"/>
      <c r="L663" s="65" t="n"/>
      <c r="M663" s="65" t="n"/>
      <c r="N663" s="65" t="n"/>
      <c r="O663" s="65" t="n"/>
      <c r="P663" s="65" t="n"/>
      <c r="Q663" s="65" t="n"/>
      <c r="R663" s="65" t="n"/>
      <c r="S663" s="65" t="n"/>
      <c r="T663" s="65" t="n"/>
      <c r="U663" s="65" t="n"/>
      <c r="V663" s="65" t="n"/>
      <c r="W663" s="65" t="n"/>
      <c r="X663" s="66" t="n"/>
      <c r="Y663" s="65" t="n"/>
      <c r="Z663" s="65" t="n"/>
      <c r="AA663" s="65" t="n"/>
      <c r="AB663" s="65" t="n"/>
      <c r="AC663" s="65" t="n"/>
      <c r="AD663" s="65" t="n"/>
      <c r="AE663" s="65" t="n"/>
      <c r="AF663" s="65" t="n"/>
      <c r="AG663" s="65" t="n"/>
      <c r="AH663" s="65" t="n"/>
      <c r="AI663" s="65" t="n"/>
      <c r="AJ663" s="65" t="n"/>
      <c r="AK663" s="65" t="n"/>
      <c r="AL663" s="65" t="n"/>
      <c r="AM663" s="65" t="n"/>
      <c r="AN663" s="65" t="n"/>
      <c r="AO663" s="65" t="n"/>
      <c r="AP663" s="65" t="n"/>
      <c r="AQ663" s="65" t="n"/>
      <c r="AR663" s="65" t="n"/>
      <c r="AS663" s="65" t="n"/>
      <c r="AT663" s="65" t="n"/>
      <c r="AU663" s="65" t="n"/>
      <c r="AV663" s="65" t="n"/>
      <c r="AW663" s="65" t="n"/>
      <c r="AX663" s="65" t="n"/>
      <c r="AY663" s="65" t="n"/>
      <c r="AZ663" s="65" t="n"/>
      <c r="BA663" s="65" t="n"/>
      <c r="BB663" s="65" t="n"/>
      <c r="BC663" s="65" t="n"/>
      <c r="BD663" s="65" t="n"/>
      <c r="BE663" s="65" t="n"/>
      <c r="BF663" s="65" t="n"/>
      <c r="BG663" s="65" t="n"/>
    </row>
    <row r="664">
      <c r="B664" s="1" t="inlineStr">
        <is>
          <t>ラフォーレ八木山</t>
        </is>
      </c>
      <c r="C664" s="1" t="inlineStr">
        <is>
          <t>積水</t>
        </is>
      </c>
      <c r="D664" s="1" t="inlineStr">
        <is>
          <t>101漏水復旧工事</t>
        </is>
      </c>
      <c r="E664" s="2" t="inlineStr">
        <is>
          <t>12月</t>
        </is>
      </c>
      <c r="F664" s="68">
        <f>1020000+156189</f>
        <v/>
      </c>
      <c r="G664" s="68">
        <f>IF(B664="","",F664-I664 )</f>
        <v/>
      </c>
      <c r="H664" s="5">
        <f>IF(G664="","",G664/F664)</f>
        <v/>
      </c>
      <c r="I664" s="62">
        <f>SUM(テーブル9[[#This Row],[五大]:[工場材]])</f>
        <v/>
      </c>
      <c r="J664" s="65" t="n"/>
      <c r="K664" s="65" t="n"/>
      <c r="L664" s="65" t="n"/>
      <c r="M664" s="65" t="n"/>
      <c r="N664" s="69" t="n">
        <v>8000</v>
      </c>
      <c r="O664" s="65" t="n"/>
      <c r="P664" s="65" t="n"/>
      <c r="Q664" s="65" t="n"/>
      <c r="R664" s="65" t="n"/>
      <c r="S664" s="65" t="n"/>
      <c r="T664" s="65" t="n"/>
      <c r="U664" s="65" t="n"/>
      <c r="V664" s="65" t="n"/>
      <c r="W664" s="69" t="n">
        <v>300000</v>
      </c>
      <c r="X664" s="66" t="n">
        <v>45237</v>
      </c>
      <c r="Y664" s="65" t="n"/>
      <c r="Z664" s="65" t="n"/>
      <c r="AA664" s="65" t="n"/>
      <c r="AB664" s="65">
        <f>45000</f>
        <v/>
      </c>
      <c r="AC664" s="65" t="n"/>
      <c r="AD664" s="65" t="n"/>
      <c r="AE664" s="65" t="n"/>
      <c r="AF664" s="65" t="n"/>
      <c r="AG664" s="65" t="n"/>
      <c r="AH664" s="65" t="n"/>
      <c r="AI664" s="65" t="n"/>
      <c r="AJ664" s="65" t="n"/>
      <c r="AK664" s="65" t="n"/>
      <c r="AL664" s="65" t="n"/>
      <c r="AM664" s="65" t="n"/>
      <c r="AN664" s="65" t="n"/>
      <c r="AO664" s="65" t="n"/>
      <c r="AP664" s="69">
        <f>7099+6758+2480+14074+8246+8184+4092+18000+1584+6231+15500</f>
        <v/>
      </c>
      <c r="AQ664" s="65" t="n"/>
      <c r="AR664" s="65" t="n"/>
      <c r="AS664" s="65" t="n"/>
      <c r="AT664" s="65" t="n"/>
      <c r="AU664" s="65" t="n"/>
      <c r="AV664" s="65" t="n"/>
      <c r="AW664" s="65" t="n"/>
      <c r="AX664" s="65" t="n"/>
      <c r="AY664" s="65" t="n"/>
      <c r="AZ664" s="65" t="n"/>
      <c r="BA664" s="65" t="n"/>
      <c r="BB664" s="65" t="n"/>
      <c r="BC664" s="65" t="n"/>
      <c r="BD664" s="65" t="n"/>
      <c r="BE664" s="65" t="n"/>
      <c r="BF664" s="65" t="n"/>
      <c r="BG664" s="65" t="n"/>
    </row>
    <row r="665">
      <c r="B665" s="1" t="inlineStr">
        <is>
          <t>赤間宅</t>
        </is>
      </c>
      <c r="C665" s="1" t="inlineStr">
        <is>
          <t>光和工業</t>
        </is>
      </c>
      <c r="D665" s="1" t="inlineStr">
        <is>
          <t>フローリング工事</t>
        </is>
      </c>
      <c r="E665" s="2" t="inlineStr">
        <is>
          <t>12月</t>
        </is>
      </c>
      <c r="F665" s="68" t="n">
        <v>105000</v>
      </c>
      <c r="G665" s="68">
        <f>IF(B665="","",F665-I665 )</f>
        <v/>
      </c>
      <c r="H665" s="5">
        <f>IF(G665="","",G665/F665)</f>
        <v/>
      </c>
      <c r="I665" s="62">
        <f>SUM(テーブル9[[#This Row],[五大]:[工場材]])</f>
        <v/>
      </c>
      <c r="J665" s="65" t="n"/>
      <c r="K665" s="65" t="n"/>
      <c r="L665" s="65" t="n"/>
      <c r="M665" s="65" t="n"/>
      <c r="N665" s="65" t="n"/>
      <c r="O665" s="65" t="n"/>
      <c r="P665" s="65" t="n"/>
      <c r="Q665" s="65" t="n"/>
      <c r="R665" s="65" t="n"/>
      <c r="S665" s="65" t="n"/>
      <c r="T665" s="65" t="n"/>
      <c r="U665" s="65" t="n"/>
      <c r="V665" s="65" t="n"/>
      <c r="W665" s="69" t="n">
        <v>40000</v>
      </c>
      <c r="X665" s="66" t="n">
        <v>85028</v>
      </c>
      <c r="Y665" s="65" t="n"/>
      <c r="Z665" s="65" t="n"/>
      <c r="AA665" s="65" t="n"/>
      <c r="AB665" s="65" t="n"/>
      <c r="AC665" s="65" t="n"/>
      <c r="AD665" s="65" t="n"/>
      <c r="AE665" s="65" t="n"/>
      <c r="AF665" s="65" t="n"/>
      <c r="AG665" s="65" t="n"/>
      <c r="AH665" s="65" t="n"/>
      <c r="AI665" s="65" t="n"/>
      <c r="AJ665" s="65" t="n"/>
      <c r="AK665" s="65" t="n"/>
      <c r="AL665" s="65" t="n"/>
      <c r="AM665" s="65" t="n"/>
      <c r="AN665" s="65" t="n"/>
      <c r="AO665" s="65" t="n"/>
      <c r="AP665" s="65" t="n"/>
      <c r="AQ665" s="65" t="n"/>
      <c r="AR665" s="65" t="n"/>
      <c r="AS665" s="65" t="n"/>
      <c r="AT665" s="65" t="n"/>
      <c r="AU665" s="65" t="n"/>
      <c r="AV665" s="65" t="n"/>
      <c r="AW665" s="65" t="n"/>
      <c r="AX665" s="65" t="n"/>
      <c r="AY665" s="65" t="n"/>
      <c r="AZ665" s="65" t="n"/>
      <c r="BA665" s="65" t="n"/>
      <c r="BB665" s="65" t="n"/>
      <c r="BC665" s="65" t="n"/>
      <c r="BD665" s="65" t="n"/>
      <c r="BE665" s="65" t="n"/>
      <c r="BF665" s="65" t="n"/>
      <c r="BG665" s="65" t="n"/>
    </row>
    <row r="666">
      <c r="B666" s="1" t="inlineStr">
        <is>
          <t>朝見邸</t>
        </is>
      </c>
      <c r="C666" s="1" t="inlineStr">
        <is>
          <t>光和工業</t>
        </is>
      </c>
      <c r="D666" s="1" t="inlineStr">
        <is>
          <t>フローリング工事重ね張り</t>
        </is>
      </c>
      <c r="E666" s="2" t="inlineStr">
        <is>
          <t>12月</t>
        </is>
      </c>
      <c r="F666" s="68" t="n">
        <v>145450</v>
      </c>
      <c r="G666" s="68">
        <f>IF(B666="","",F666-I666 )</f>
        <v/>
      </c>
      <c r="H666" s="5">
        <f>IF(G666="","",G666/F666)</f>
        <v/>
      </c>
      <c r="I666" s="62">
        <f>SUM(テーブル9[[#This Row],[五大]:[工場材]])</f>
        <v/>
      </c>
      <c r="J666" s="65" t="n"/>
      <c r="K666" s="65" t="n"/>
      <c r="L666" s="65" t="n"/>
      <c r="M666" s="65" t="n"/>
      <c r="N666" s="65" t="n"/>
      <c r="O666" s="65" t="n"/>
      <c r="P666" s="65" t="n"/>
      <c r="Q666" s="65" t="n"/>
      <c r="R666" s="65" t="n"/>
      <c r="S666" s="65" t="n"/>
      <c r="T666" s="65" t="n"/>
      <c r="U666" s="65" t="n"/>
      <c r="V666" s="65" t="n"/>
      <c r="W666" s="69" t="n">
        <v>45000</v>
      </c>
      <c r="X666" s="66" t="n">
        <v>44168</v>
      </c>
      <c r="Y666" s="65" t="n"/>
      <c r="Z666" s="65" t="n"/>
      <c r="AA666" s="65" t="n"/>
      <c r="AB666" s="65" t="n"/>
      <c r="AC666" s="65" t="n"/>
      <c r="AD666" s="65" t="n"/>
      <c r="AE666" s="65" t="n"/>
      <c r="AF666" s="65" t="n"/>
      <c r="AG666" s="65" t="n"/>
      <c r="AH666" s="65" t="n"/>
      <c r="AI666" s="65" t="n"/>
      <c r="AJ666" s="65" t="n"/>
      <c r="AK666" s="65" t="n"/>
      <c r="AL666" s="65" t="n"/>
      <c r="AM666" s="65" t="n"/>
      <c r="AN666" s="65" t="n"/>
      <c r="AO666" s="65" t="n"/>
      <c r="AP666" s="65" t="n"/>
      <c r="AQ666" s="65" t="n"/>
      <c r="AR666" s="65" t="n"/>
      <c r="AS666" s="65" t="n"/>
      <c r="AT666" s="65" t="n"/>
      <c r="AU666" s="65" t="n"/>
      <c r="AV666" s="65" t="n"/>
      <c r="AW666" s="65" t="n"/>
      <c r="AX666" s="65" t="n"/>
      <c r="AY666" s="65" t="n"/>
      <c r="AZ666" s="65" t="n"/>
      <c r="BA666" s="65" t="n"/>
      <c r="BB666" s="65" t="n"/>
      <c r="BC666" s="65" t="n"/>
      <c r="BD666" s="65" t="n"/>
      <c r="BE666" s="65" t="n"/>
      <c r="BF666" s="65" t="n"/>
      <c r="BG666" s="65" t="n"/>
    </row>
    <row r="667">
      <c r="B667" s="1" t="inlineStr">
        <is>
          <t>ナイスアーバンステイツ南仙台</t>
        </is>
      </c>
      <c r="C667" s="1" t="inlineStr">
        <is>
          <t>LIXIL</t>
        </is>
      </c>
      <c r="D667" s="1" t="inlineStr">
        <is>
          <t>UB入替</t>
        </is>
      </c>
      <c r="E667" s="2" t="inlineStr">
        <is>
          <t>12月</t>
        </is>
      </c>
      <c r="F667" s="68">
        <f>556510-F659</f>
        <v/>
      </c>
      <c r="G667" s="68">
        <f>IF(B667="","",F667-I667 )</f>
        <v/>
      </c>
      <c r="H667" s="5">
        <f>IF(G667="","",G667/F667)</f>
        <v/>
      </c>
      <c r="I667" s="62">
        <f>SUM(テーブル9[[#This Row],[五大]:[工場材]])</f>
        <v/>
      </c>
      <c r="J667" s="65" t="n"/>
      <c r="K667" s="65" t="n"/>
      <c r="L667" s="65" t="n"/>
      <c r="M667" s="65" t="n"/>
      <c r="N667" s="65" t="n"/>
      <c r="O667" s="65" t="n"/>
      <c r="P667" s="65" t="n"/>
      <c r="Q667" s="65" t="n"/>
      <c r="R667" s="65" t="n"/>
      <c r="S667" s="65" t="n"/>
      <c r="T667" s="65" t="n"/>
      <c r="U667" s="65" t="n"/>
      <c r="V667" s="65" t="n"/>
      <c r="W667" s="69" t="n">
        <v>60000</v>
      </c>
      <c r="X667" s="66" t="n"/>
      <c r="Y667" s="65" t="n"/>
      <c r="Z667" s="65" t="n"/>
      <c r="AA667" s="69" t="n">
        <v>45000</v>
      </c>
      <c r="AB667" s="69" t="n">
        <v>150000</v>
      </c>
      <c r="AC667" s="65" t="n"/>
      <c r="AD667" s="65" t="n"/>
      <c r="AE667" s="65" t="n"/>
      <c r="AF667" s="65" t="n"/>
      <c r="AG667" s="65" t="n"/>
      <c r="AH667" s="80" t="n"/>
      <c r="AI667" s="65" t="n"/>
      <c r="AJ667" s="65" t="n"/>
      <c r="AK667" s="65" t="n"/>
      <c r="AL667" s="65" t="n"/>
      <c r="AM667" s="65" t="n"/>
      <c r="AN667" s="65" t="n"/>
      <c r="AO667" s="65" t="n"/>
      <c r="AP667" s="65" t="n"/>
      <c r="AQ667" s="65" t="n"/>
      <c r="AR667" s="65" t="n"/>
      <c r="AS667" s="65" t="n"/>
      <c r="AT667" s="65" t="n"/>
      <c r="AU667" s="65" t="n"/>
      <c r="AV667" s="65" t="n"/>
      <c r="AW667" s="65" t="n"/>
      <c r="AX667" s="65" t="n"/>
      <c r="AY667" s="65" t="n"/>
      <c r="AZ667" s="65" t="n"/>
      <c r="BA667" s="65" t="n"/>
      <c r="BB667" s="65" t="n"/>
      <c r="BC667" s="65" t="n"/>
      <c r="BD667" s="65" t="n"/>
      <c r="BE667" s="65" t="n"/>
      <c r="BF667" s="65" t="n"/>
      <c r="BG667" s="65" t="n"/>
    </row>
    <row r="668">
      <c r="B668" s="1" t="inlineStr">
        <is>
          <t>労災病院</t>
        </is>
      </c>
      <c r="C668" s="1" t="inlineStr">
        <is>
          <t>サステム</t>
        </is>
      </c>
      <c r="D668" s="1" t="inlineStr">
        <is>
          <t>サッシ脱着</t>
        </is>
      </c>
      <c r="E668" s="2" t="inlineStr">
        <is>
          <t>1月</t>
        </is>
      </c>
      <c r="F668" s="68" t="n">
        <v>80000</v>
      </c>
      <c r="G668" s="68">
        <f>IF(B668="","",F668-I668 )</f>
        <v/>
      </c>
      <c r="H668" s="5">
        <f>IF(G668="","",G668/F668)</f>
        <v/>
      </c>
      <c r="I668" s="62">
        <f>SUM(テーブル9[[#This Row],[五大]:[工場材]])</f>
        <v/>
      </c>
      <c r="J668" s="65" t="n"/>
      <c r="K668" s="65" t="n"/>
      <c r="L668" s="65" t="n"/>
      <c r="M668" s="65" t="n"/>
      <c r="N668" s="65" t="n"/>
      <c r="O668" s="65" t="n"/>
      <c r="P668" s="65" t="n"/>
      <c r="Q668" s="65" t="n"/>
      <c r="R668" s="65" t="n"/>
      <c r="S668" s="65" t="n"/>
      <c r="T668" s="65" t="n"/>
      <c r="U668" s="65" t="n"/>
      <c r="V668" s="65" t="n"/>
      <c r="W668" s="65" t="n"/>
      <c r="X668" s="66" t="n"/>
      <c r="Y668" s="65" t="n"/>
      <c r="Z668" s="65" t="n"/>
      <c r="AA668" s="65" t="n"/>
      <c r="AB668" s="65" t="n"/>
      <c r="AC668" s="65" t="n"/>
      <c r="AD668" s="65" t="n"/>
      <c r="AE668" s="65" t="n"/>
      <c r="AF668" s="65" t="n"/>
      <c r="AG668" s="65" t="n"/>
      <c r="AH668" s="65" t="n"/>
      <c r="AI668" s="65" t="n"/>
      <c r="AJ668" s="65" t="n"/>
      <c r="AK668" s="65" t="n"/>
      <c r="AL668" s="65" t="n"/>
      <c r="AM668" s="65" t="n"/>
      <c r="AN668" s="65" t="n"/>
      <c r="AO668" s="65" t="n"/>
      <c r="AP668" s="65" t="n"/>
      <c r="AQ668" s="65" t="n"/>
      <c r="AR668" s="65" t="n"/>
      <c r="AS668" s="65" t="n"/>
      <c r="AT668" s="65" t="n"/>
      <c r="AU668" s="65" t="n"/>
      <c r="AV668" s="65" t="n"/>
      <c r="AW668" s="65" t="n"/>
      <c r="AX668" s="65" t="n"/>
      <c r="AY668" s="65" t="n"/>
      <c r="AZ668" s="65" t="n"/>
      <c r="BA668" s="65" t="n"/>
      <c r="BB668" s="65" t="n"/>
      <c r="BC668" s="65" t="n"/>
      <c r="BD668" s="65" t="n"/>
      <c r="BE668" s="65" t="n"/>
      <c r="BF668" s="65" t="n"/>
      <c r="BG668" s="65" t="n"/>
    </row>
    <row r="669">
      <c r="B669" s="1" t="inlineStr">
        <is>
          <t>東急ドエルアルス雨宮B208</t>
        </is>
      </c>
      <c r="C669" s="1" t="inlineStr">
        <is>
          <t>光和工業</t>
        </is>
      </c>
      <c r="D669" s="1" t="inlineStr">
        <is>
          <t>便器交換</t>
        </is>
      </c>
      <c r="E669" s="2" t="inlineStr">
        <is>
          <t>12月</t>
        </is>
      </c>
      <c r="F669" s="68" t="n">
        <v>185000</v>
      </c>
      <c r="G669" s="68">
        <f>IF(B669="","",F669-I669 )</f>
        <v/>
      </c>
      <c r="H669" s="5">
        <f>IF(G669="","",G669/F669)</f>
        <v/>
      </c>
      <c r="I669" s="62">
        <f>SUM(テーブル9[[#This Row],[五大]:[工場材]])</f>
        <v/>
      </c>
      <c r="J669" s="65" t="n"/>
      <c r="K669" s="65" t="n"/>
      <c r="L669" s="65" t="n"/>
      <c r="M669" s="65" t="n"/>
      <c r="N669" s="65" t="n"/>
      <c r="O669" s="65" t="n"/>
      <c r="P669" s="65" t="n"/>
      <c r="Q669" s="65" t="n"/>
      <c r="R669" s="65" t="n"/>
      <c r="S669" s="65" t="n"/>
      <c r="T669" s="65" t="n"/>
      <c r="U669" s="65" t="n"/>
      <c r="V669" s="65" t="n"/>
      <c r="W669" s="65" t="n"/>
      <c r="X669" s="66" t="n"/>
      <c r="Y669" s="65" t="n"/>
      <c r="Z669" s="65" t="n"/>
      <c r="AA669" s="65" t="n"/>
      <c r="AB669" s="69" t="n">
        <v>27000</v>
      </c>
      <c r="AC669" s="65" t="n"/>
      <c r="AD669" s="65" t="n"/>
      <c r="AE669" s="65" t="n"/>
      <c r="AF669" s="65" t="n"/>
      <c r="AG669" s="65" t="n"/>
      <c r="AH669" s="65" t="n"/>
      <c r="AI669" s="65" t="n"/>
      <c r="AJ669" s="65" t="n"/>
      <c r="AK669" s="65" t="n"/>
      <c r="AL669" s="65" t="n"/>
      <c r="AM669" s="65" t="n"/>
      <c r="AN669" s="65" t="n"/>
      <c r="AO669" s="65" t="n"/>
      <c r="AP669" s="69">
        <f>17010+57180</f>
        <v/>
      </c>
      <c r="AQ669" s="65" t="n"/>
      <c r="AR669" s="65" t="n"/>
      <c r="AS669" s="65" t="n"/>
      <c r="AT669" s="65" t="n"/>
      <c r="AU669" s="65" t="n"/>
      <c r="AV669" s="65" t="n"/>
      <c r="AW669" s="65" t="n"/>
      <c r="AX669" s="65" t="n"/>
      <c r="AY669" s="65" t="n"/>
      <c r="AZ669" s="65" t="n"/>
      <c r="BA669" s="65" t="n"/>
      <c r="BB669" s="65" t="n"/>
      <c r="BC669" s="65" t="n"/>
      <c r="BD669" s="65" t="n"/>
      <c r="BE669" s="65" t="n"/>
      <c r="BF669" s="65" t="n"/>
      <c r="BG669" s="65" t="n"/>
    </row>
    <row r="670">
      <c r="B670" s="1" t="inlineStr">
        <is>
          <t>ふれあい　とまとホーム</t>
        </is>
      </c>
      <c r="C670" s="1" t="inlineStr">
        <is>
          <t>光和工業</t>
        </is>
      </c>
      <c r="D670" s="1" t="inlineStr">
        <is>
          <t>便座交換</t>
        </is>
      </c>
      <c r="E670" s="2" t="inlineStr">
        <is>
          <t>12月</t>
        </is>
      </c>
      <c r="F670" s="68" t="n">
        <v>73000</v>
      </c>
      <c r="G670" s="68">
        <f>IF(B670="","",F670-I670 )</f>
        <v/>
      </c>
      <c r="H670" s="5">
        <f>IF(G670="","",G670/F670)</f>
        <v/>
      </c>
      <c r="I670" s="62">
        <f>SUM(テーブル9[[#This Row],[五大]:[工場材]])</f>
        <v/>
      </c>
      <c r="J670" s="65" t="n"/>
      <c r="K670" s="65" t="n"/>
      <c r="L670" s="65" t="n"/>
      <c r="M670" s="65" t="n"/>
      <c r="N670" s="65" t="n"/>
      <c r="O670" s="65" t="n"/>
      <c r="P670" s="65" t="n"/>
      <c r="Q670" s="65" t="n"/>
      <c r="R670" s="65" t="n"/>
      <c r="S670" s="65" t="n"/>
      <c r="T670" s="65" t="n"/>
      <c r="U670" s="65" t="n"/>
      <c r="V670" s="65" t="n"/>
      <c r="W670" s="65" t="n"/>
      <c r="X670" s="66" t="n"/>
      <c r="Y670" s="65" t="n"/>
      <c r="Z670" s="65" t="n"/>
      <c r="AA670" s="65" t="n"/>
      <c r="AB670" s="69" t="n">
        <v>24000</v>
      </c>
      <c r="AC670" s="65" t="n"/>
      <c r="AD670" s="65" t="n"/>
      <c r="AE670" s="65" t="n"/>
      <c r="AF670" s="65" t="n"/>
      <c r="AG670" s="65" t="n"/>
      <c r="AH670" s="65" t="n"/>
      <c r="AI670" s="65" t="n"/>
      <c r="AJ670" s="65" t="n"/>
      <c r="AK670" s="65" t="n"/>
      <c r="AL670" s="65" t="n"/>
      <c r="AM670" s="65" t="n"/>
      <c r="AN670" s="65" t="n"/>
      <c r="AO670" s="65" t="n"/>
      <c r="AP670" s="69">
        <f>18000*2</f>
        <v/>
      </c>
      <c r="AQ670" s="65" t="n"/>
      <c r="AR670" s="65" t="n"/>
      <c r="AS670" s="65" t="n"/>
      <c r="AT670" s="65" t="n"/>
      <c r="AU670" s="65" t="n"/>
      <c r="AV670" s="65" t="n"/>
      <c r="AW670" s="65" t="n"/>
      <c r="AX670" s="65" t="n"/>
      <c r="AY670" s="65" t="n"/>
      <c r="AZ670" s="65" t="n"/>
      <c r="BA670" s="65" t="n"/>
      <c r="BB670" s="65" t="n"/>
      <c r="BC670" s="65" t="n"/>
      <c r="BD670" s="65" t="n"/>
      <c r="BE670" s="65" t="n"/>
      <c r="BF670" s="65" t="n"/>
      <c r="BG670" s="65" t="n"/>
    </row>
    <row r="671">
      <c r="B671" s="1" t="inlineStr">
        <is>
          <t>油谷邸</t>
        </is>
      </c>
      <c r="C671" s="1" t="inlineStr">
        <is>
          <t>光和工業</t>
        </is>
      </c>
      <c r="D671" s="1" t="inlineStr">
        <is>
          <t>リビングクロス工事</t>
        </is>
      </c>
      <c r="E671" s="2" t="inlineStr">
        <is>
          <t>12月</t>
        </is>
      </c>
      <c r="F671" s="68" t="n">
        <v>139000</v>
      </c>
      <c r="G671" s="68">
        <f>IF(B671="","",F671-I671 )</f>
        <v/>
      </c>
      <c r="H671" s="5">
        <f>IF(G671="","",G671/F671)</f>
        <v/>
      </c>
      <c r="I671" s="62">
        <f>SUM(テーブル9[[#This Row],[五大]:[工場材]])</f>
        <v/>
      </c>
      <c r="J671" s="65" t="n"/>
      <c r="K671" s="65" t="n"/>
      <c r="L671" s="65" t="n"/>
      <c r="M671" s="65" t="n"/>
      <c r="N671" s="65" t="n"/>
      <c r="O671" s="65" t="n"/>
      <c r="P671" s="65" t="n"/>
      <c r="Q671" s="65" t="n"/>
      <c r="R671" s="65" t="n"/>
      <c r="S671" s="65" t="n"/>
      <c r="T671" s="65" t="n"/>
      <c r="U671" s="65" t="n"/>
      <c r="V671" s="65" t="n"/>
      <c r="W671" s="65" t="n"/>
      <c r="X671" s="66" t="n"/>
      <c r="Y671" s="65" t="n"/>
      <c r="Z671" s="65" t="n"/>
      <c r="AA671" s="65" t="n"/>
      <c r="AB671" s="65" t="n"/>
      <c r="AC671" s="65" t="n"/>
      <c r="AD671" s="65" t="n"/>
      <c r="AE671" s="65" t="n"/>
      <c r="AF671" s="65" t="n"/>
      <c r="AG671" s="65" t="n"/>
      <c r="AH671" s="65" t="n"/>
      <c r="AI671" s="65" t="n"/>
      <c r="AJ671" s="65" t="n"/>
      <c r="AK671" s="65" t="n"/>
      <c r="AL671" s="65" t="n"/>
      <c r="AM671" s="65" t="n"/>
      <c r="AN671" s="65" t="n"/>
      <c r="AO671" s="65" t="n"/>
      <c r="AP671" s="65" t="n"/>
      <c r="AQ671" s="65" t="n"/>
      <c r="AR671" s="65" t="n"/>
      <c r="AS671" s="65" t="n"/>
      <c r="AT671" s="65" t="n"/>
      <c r="AU671" s="65" t="n"/>
      <c r="AV671" s="65" t="n"/>
      <c r="AW671" s="65" t="n"/>
      <c r="AX671" s="69" t="n">
        <v>27000</v>
      </c>
      <c r="AY671" s="65" t="n"/>
      <c r="AZ671" s="65" t="n"/>
      <c r="BA671" s="65" t="n"/>
      <c r="BB671" s="65" t="n"/>
      <c r="BC671" s="65" t="n"/>
      <c r="BD671" s="65" t="n"/>
      <c r="BE671" s="65" t="n"/>
      <c r="BF671" s="65" t="n"/>
      <c r="BG671" s="65" t="n"/>
    </row>
    <row r="672">
      <c r="B672" s="1" t="inlineStr">
        <is>
          <t>グループホームきくたまち</t>
        </is>
      </c>
      <c r="C672" s="1" t="inlineStr">
        <is>
          <t>光和工業</t>
        </is>
      </c>
      <c r="D672" s="1" t="inlineStr">
        <is>
          <t>脱衣所エアコン交換</t>
        </is>
      </c>
      <c r="E672" s="2" t="inlineStr">
        <is>
          <t>12月</t>
        </is>
      </c>
      <c r="F672" s="68" t="n">
        <v>116000</v>
      </c>
      <c r="G672" s="68">
        <f>IF(B672="","",F672-I672 )</f>
        <v/>
      </c>
      <c r="H672" s="5">
        <f>IF(G672="","",G672/F672)</f>
        <v/>
      </c>
      <c r="I672" s="62">
        <f>SUM(テーブル9[[#This Row],[五大]:[工場材]])</f>
        <v/>
      </c>
      <c r="J672" s="65" t="n"/>
      <c r="K672" s="65" t="n"/>
      <c r="L672" s="65" t="n"/>
      <c r="M672" s="65" t="n"/>
      <c r="N672" s="65" t="n"/>
      <c r="O672" s="65" t="n"/>
      <c r="P672" s="65" t="n"/>
      <c r="Q672" s="65" t="n"/>
      <c r="R672" s="65" t="n"/>
      <c r="S672" s="65" t="n"/>
      <c r="T672" s="65" t="n"/>
      <c r="U672" s="65" t="n"/>
      <c r="V672" s="65" t="n"/>
      <c r="W672" s="65" t="n"/>
      <c r="X672" s="66" t="n"/>
      <c r="Y672" s="65" t="n"/>
      <c r="Z672" s="65" t="n"/>
      <c r="AA672" s="69" t="n">
        <v>90000</v>
      </c>
      <c r="AB672" s="65" t="n"/>
      <c r="AC672" s="65" t="n"/>
      <c r="AD672" s="65" t="n"/>
      <c r="AE672" s="65" t="n"/>
      <c r="AF672" s="65" t="n"/>
      <c r="AG672" s="65" t="n"/>
      <c r="AH672" s="65" t="n"/>
      <c r="AI672" s="65" t="n"/>
      <c r="AJ672" s="65" t="n"/>
      <c r="AK672" s="65" t="n"/>
      <c r="AL672" s="65" t="n"/>
      <c r="AM672" s="65" t="n"/>
      <c r="AN672" s="65" t="n"/>
      <c r="AO672" s="65" t="n"/>
      <c r="AP672" s="65" t="n"/>
      <c r="AQ672" s="65" t="n"/>
      <c r="AR672" s="65" t="n"/>
      <c r="AS672" s="65" t="n"/>
      <c r="AT672" s="65" t="n"/>
      <c r="AU672" s="65" t="n"/>
      <c r="AV672" s="65" t="n"/>
      <c r="AW672" s="65" t="n"/>
      <c r="AX672" s="65" t="n"/>
      <c r="AY672" s="65" t="n"/>
      <c r="AZ672" s="65" t="n"/>
      <c r="BA672" s="65" t="n"/>
      <c r="BB672" s="65" t="n"/>
      <c r="BC672" s="65" t="n"/>
      <c r="BD672" s="65" t="n"/>
      <c r="BE672" s="65" t="n"/>
      <c r="BF672" s="65" t="n"/>
      <c r="BG672" s="65" t="n"/>
    </row>
    <row r="673">
      <c r="B673" s="1" t="inlineStr">
        <is>
          <t>パークハウスリシェルテ1504</t>
        </is>
      </c>
      <c r="C673" s="1" t="inlineStr">
        <is>
          <t>LIXIL</t>
        </is>
      </c>
      <c r="D673" s="1" t="inlineStr">
        <is>
          <t>UBキッチントイレ洗面　居室床</t>
        </is>
      </c>
      <c r="E673" s="2" t="inlineStr">
        <is>
          <t>2月</t>
        </is>
      </c>
      <c r="F673" s="68" t="n">
        <v>1333499</v>
      </c>
      <c r="G673" s="68">
        <f>IF(B673="","",F673-I673 )</f>
        <v/>
      </c>
      <c r="H673" s="5">
        <f>IF(G673="","",G673/F673)</f>
        <v/>
      </c>
      <c r="I673" s="62">
        <f>SUM(テーブル9[[#This Row],[五大]:[工場材]])</f>
        <v/>
      </c>
      <c r="J673" s="65" t="n"/>
      <c r="K673" s="65" t="n"/>
      <c r="L673" s="65" t="n"/>
      <c r="M673" s="65" t="n"/>
      <c r="N673" s="65" t="n"/>
      <c r="O673" s="65" t="n"/>
      <c r="P673" s="65" t="n"/>
      <c r="Q673" s="65" t="n"/>
      <c r="R673" s="65" t="n"/>
      <c r="S673" s="65" t="n"/>
      <c r="T673" s="65" t="n"/>
      <c r="U673" s="65" t="n"/>
      <c r="V673" s="65" t="n"/>
      <c r="W673" s="64">
        <f>537600*0.8</f>
        <v/>
      </c>
      <c r="X673" s="66" t="n"/>
      <c r="Y673" s="65" t="n"/>
      <c r="Z673" s="65" t="n"/>
      <c r="AA673" s="64">
        <f>120000*0.8</f>
        <v/>
      </c>
      <c r="AB673" s="64">
        <f>200700</f>
        <v/>
      </c>
      <c r="AC673" s="65" t="n"/>
      <c r="AD673" s="65" t="n"/>
      <c r="AE673" s="65" t="n"/>
      <c r="AF673" s="65" t="n"/>
      <c r="AG673" s="65" t="n"/>
      <c r="AH673" s="64">
        <f>285750*0.8</f>
        <v/>
      </c>
      <c r="AI673" s="65" t="n"/>
      <c r="AJ673" s="65" t="n"/>
      <c r="AK673" s="65" t="n"/>
      <c r="AL673" s="65" t="n"/>
      <c r="AM673" s="65" t="n"/>
      <c r="AN673" s="65" t="n"/>
      <c r="AO673" s="65" t="n"/>
      <c r="AP673" s="65" t="n"/>
      <c r="AQ673" s="65" t="n"/>
      <c r="AR673" s="65" t="n"/>
      <c r="AS673" s="65" t="n"/>
      <c r="AT673" s="65" t="n"/>
      <c r="AU673" s="65" t="n"/>
      <c r="AV673" s="65" t="n"/>
      <c r="AW673" s="65" t="n"/>
      <c r="AX673" s="65" t="n"/>
      <c r="AY673" s="65" t="n"/>
      <c r="AZ673" s="65" t="n"/>
      <c r="BA673" s="65" t="n"/>
      <c r="BB673" s="65" t="n"/>
      <c r="BC673" s="65" t="n"/>
      <c r="BD673" s="65" t="n"/>
      <c r="BE673" s="65" t="n"/>
      <c r="BF673" s="65" t="n"/>
      <c r="BG673" s="65" t="n"/>
    </row>
    <row r="674">
      <c r="B674" s="1" t="inlineStr">
        <is>
          <t>町屋ミュージアム　1期　STAY TOYOMA</t>
        </is>
      </c>
      <c r="C674" s="1" t="inlineStr">
        <is>
          <t>あいホーム</t>
        </is>
      </c>
      <c r="D674" s="1" t="inlineStr">
        <is>
          <t>UBキッチントイレ洗面　床重ね張り</t>
        </is>
      </c>
      <c r="E674" s="2" t="inlineStr">
        <is>
          <t>2月</t>
        </is>
      </c>
      <c r="F674" s="68" t="n">
        <v>1750000</v>
      </c>
      <c r="G674" s="68">
        <f>IF(B674="","",F674-I674 )</f>
        <v/>
      </c>
      <c r="H674" s="5">
        <f>IF(G674="","",G674/F674)</f>
        <v/>
      </c>
      <c r="I674" s="62">
        <f>SUM(テーブル9[[#This Row],[五大]:[工場材]])</f>
        <v/>
      </c>
      <c r="J674" s="65" t="n"/>
      <c r="K674" s="65" t="n"/>
      <c r="L674" s="65" t="n"/>
      <c r="M674" s="65" t="n"/>
      <c r="N674" s="65" t="n"/>
      <c r="O674" s="65" t="n"/>
      <c r="P674" s="65" t="n"/>
      <c r="Q674" s="65" t="n"/>
      <c r="R674" s="65" t="n"/>
      <c r="S674" s="65" t="n"/>
      <c r="T674" s="65" t="n"/>
      <c r="U674" s="65" t="n"/>
      <c r="V674" s="65" t="n"/>
      <c r="W674" s="65" t="n"/>
      <c r="X674" s="66" t="n"/>
      <c r="Y674" s="65" t="n"/>
      <c r="Z674" s="65" t="n"/>
      <c r="AA674" s="64">
        <f>288000+40000</f>
        <v/>
      </c>
      <c r="AB674" s="64">
        <f>175000+470000</f>
        <v/>
      </c>
      <c r="AC674" s="65" t="n"/>
      <c r="AD674" s="65" t="n"/>
      <c r="AE674" s="65" t="n"/>
      <c r="AF674" s="65" t="n"/>
      <c r="AG674" s="65" t="n"/>
      <c r="AH674" s="64" t="n">
        <v>82000</v>
      </c>
      <c r="AI674" s="65" t="n"/>
      <c r="AJ674" s="65" t="n"/>
      <c r="AK674" s="65" t="n"/>
      <c r="AL674" s="65" t="n"/>
      <c r="AM674" s="65" t="n"/>
      <c r="AN674" s="65" t="n"/>
      <c r="AO674" s="65" t="n"/>
      <c r="AP674" s="64">
        <f>11377+14632+17767+2000+25200</f>
        <v/>
      </c>
      <c r="AQ674" s="65" t="n"/>
      <c r="AR674" s="65" t="n"/>
      <c r="AS674" s="65" t="n"/>
      <c r="AT674" s="65" t="n"/>
      <c r="AU674" s="65" t="n"/>
      <c r="AV674" s="65" t="n"/>
      <c r="AW674" s="65" t="n"/>
      <c r="AX674" s="65" t="n"/>
      <c r="AY674" s="65" t="n"/>
      <c r="AZ674" s="65" t="n"/>
      <c r="BA674" s="65" t="n"/>
      <c r="BB674" s="65" t="n"/>
      <c r="BC674" s="65" t="n"/>
      <c r="BD674" s="65" t="n"/>
      <c r="BE674" s="65" t="n"/>
      <c r="BF674" s="65" t="n"/>
      <c r="BG674" s="65" t="n"/>
    </row>
    <row r="675">
      <c r="B675" s="1" t="inlineStr">
        <is>
          <t>東急ドエルアルス雨宮B208</t>
        </is>
      </c>
      <c r="C675" s="1" t="inlineStr">
        <is>
          <t>光和工業</t>
        </is>
      </c>
      <c r="D675" s="1" t="inlineStr">
        <is>
          <t>ユニットバス入替</t>
        </is>
      </c>
      <c r="E675" s="2" t="inlineStr">
        <is>
          <t>1月</t>
        </is>
      </c>
      <c r="F675" s="68" t="n">
        <v>830000</v>
      </c>
      <c r="G675" s="68">
        <f>IF(B675="","",F675-I675 )</f>
        <v/>
      </c>
      <c r="H675" s="5">
        <f>IF(G675="","",G675/F675)</f>
        <v/>
      </c>
      <c r="I675" s="62">
        <f>SUM(テーブル9[[#This Row],[五大]:[工場材]])</f>
        <v/>
      </c>
      <c r="J675" s="65" t="n"/>
      <c r="K675" s="65" t="n"/>
      <c r="L675" s="65" t="n"/>
      <c r="M675" s="65" t="n"/>
      <c r="N675" s="65" t="n"/>
      <c r="O675" s="65" t="n"/>
      <c r="P675" s="65" t="n"/>
      <c r="Q675" s="65" t="n"/>
      <c r="R675" s="65" t="n"/>
      <c r="S675" s="65" t="n"/>
      <c r="T675" s="65" t="n"/>
      <c r="U675" s="65" t="n"/>
      <c r="V675" s="65" t="n"/>
      <c r="W675" s="64" t="n">
        <v>60000</v>
      </c>
      <c r="X675" s="66" t="n">
        <v>29654</v>
      </c>
      <c r="Y675" s="65" t="n"/>
      <c r="Z675" s="65" t="n"/>
      <c r="AA675" s="64" t="n">
        <v>45000</v>
      </c>
      <c r="AB675" s="64" t="n">
        <v>144000</v>
      </c>
      <c r="AC675" s="65" t="n"/>
      <c r="AD675" s="65" t="n"/>
      <c r="AE675" s="65" t="n"/>
      <c r="AF675" s="65" t="n"/>
      <c r="AG675" s="65" t="n"/>
      <c r="AH675" s="64" t="n">
        <v>35000</v>
      </c>
      <c r="AI675" s="65" t="n"/>
      <c r="AJ675" s="65" t="n"/>
      <c r="AK675" s="65" t="n"/>
      <c r="AL675" s="65" t="n"/>
      <c r="AM675" s="65" t="n"/>
      <c r="AN675" s="65" t="n"/>
      <c r="AO675" s="65" t="n"/>
      <c r="AP675" s="64">
        <f>179388+57200+5000</f>
        <v/>
      </c>
      <c r="AQ675" s="65" t="n"/>
      <c r="AR675" s="65" t="n"/>
      <c r="AS675" s="65" t="n"/>
      <c r="AT675" s="65" t="n"/>
      <c r="AU675" s="65" t="n"/>
      <c r="AV675" s="65" t="n"/>
      <c r="AW675" s="65" t="n"/>
      <c r="AX675" s="65" t="n"/>
      <c r="AY675" s="65" t="n"/>
      <c r="AZ675" s="65" t="n"/>
      <c r="BA675" s="65" t="n"/>
      <c r="BB675" s="65" t="n"/>
      <c r="BC675" s="65" t="n"/>
      <c r="BD675" s="65" t="n"/>
      <c r="BE675" s="65" t="n"/>
      <c r="BF675" s="65" t="n"/>
      <c r="BG675" s="65" t="n"/>
    </row>
    <row r="676">
      <c r="F676" s="68" t="n"/>
      <c r="G676" s="68">
        <f>IF(B676="","",F676-I676 )</f>
        <v/>
      </c>
      <c r="H676" s="5">
        <f>IF(G676="","",G676/F676)</f>
        <v/>
      </c>
      <c r="I676" s="62">
        <f>SUM(テーブル9[[#This Row],[五大]:[工場材]])</f>
        <v/>
      </c>
      <c r="J676" s="65" t="n"/>
      <c r="K676" s="65" t="n"/>
      <c r="L676" s="65" t="n"/>
      <c r="M676" s="65" t="n"/>
      <c r="N676" s="65" t="n"/>
      <c r="O676" s="65" t="n"/>
      <c r="P676" s="65" t="n"/>
      <c r="Q676" s="65" t="n"/>
      <c r="R676" s="65" t="n"/>
      <c r="S676" s="65" t="n"/>
      <c r="T676" s="65" t="n"/>
      <c r="U676" s="65" t="n"/>
      <c r="V676" s="65" t="n"/>
      <c r="W676" s="65" t="n"/>
      <c r="X676" s="66" t="n"/>
      <c r="Y676" s="65" t="n"/>
      <c r="Z676" s="65" t="n"/>
      <c r="AA676" s="64" t="n"/>
      <c r="AB676" s="64" t="n"/>
      <c r="AC676" s="65" t="n"/>
      <c r="AD676" s="65" t="n"/>
      <c r="AE676" s="65" t="n"/>
      <c r="AF676" s="65" t="n"/>
      <c r="AG676" s="65" t="n"/>
      <c r="AH676" s="65" t="n"/>
      <c r="AI676" s="65" t="n"/>
      <c r="AJ676" s="65" t="n"/>
      <c r="AK676" s="65" t="n"/>
      <c r="AL676" s="65" t="n"/>
      <c r="AM676" s="65" t="n"/>
      <c r="AN676" s="65" t="n"/>
      <c r="AO676" s="65" t="n"/>
      <c r="AP676" s="65" t="n"/>
      <c r="AQ676" s="65" t="n"/>
      <c r="AR676" s="65" t="n"/>
      <c r="AS676" s="65" t="n"/>
      <c r="AT676" s="65" t="n"/>
      <c r="AU676" s="65" t="n"/>
      <c r="AV676" s="65" t="n"/>
      <c r="AW676" s="65" t="n"/>
      <c r="AX676" s="65" t="n"/>
      <c r="AY676" s="65" t="n"/>
      <c r="AZ676" s="65" t="n"/>
      <c r="BA676" s="65" t="n"/>
      <c r="BB676" s="65" t="n"/>
      <c r="BC676" s="65" t="n"/>
      <c r="BD676" s="65" t="n"/>
      <c r="BE676" s="65" t="n"/>
      <c r="BF676" s="65" t="n"/>
      <c r="BG676" s="65" t="n"/>
    </row>
    <row r="677">
      <c r="B677" s="1" t="inlineStr">
        <is>
          <t>高森　山田邸</t>
        </is>
      </c>
      <c r="C677" s="1" t="inlineStr">
        <is>
          <t>LIXIL</t>
        </is>
      </c>
      <c r="D677" s="1" t="inlineStr">
        <is>
          <t>手摺取付け</t>
        </is>
      </c>
      <c r="E677" s="2" t="inlineStr">
        <is>
          <t>2月</t>
        </is>
      </c>
      <c r="F677" s="68" t="n">
        <v>35000</v>
      </c>
      <c r="G677" s="68">
        <f>IF(B677="","",F677-I677 )</f>
        <v/>
      </c>
      <c r="H677" s="5">
        <f>IF(G677="","",G677/F677)</f>
        <v/>
      </c>
      <c r="I677" s="62">
        <f>SUM(テーブル9[[#This Row],[五大]:[工場材]])</f>
        <v/>
      </c>
      <c r="J677" s="65" t="n"/>
      <c r="K677" s="65" t="n"/>
      <c r="L677" s="65" t="n"/>
      <c r="M677" s="65" t="n"/>
      <c r="N677" s="65" t="n"/>
      <c r="O677" s="65" t="n"/>
      <c r="P677" s="65" t="n"/>
      <c r="Q677" s="65" t="n"/>
      <c r="R677" s="65" t="n"/>
      <c r="S677" s="65" t="n"/>
      <c r="T677" s="65" t="n"/>
      <c r="U677" s="65" t="n"/>
      <c r="V677" s="65" t="n"/>
      <c r="W677" s="65" t="n"/>
      <c r="X677" s="66" t="n"/>
      <c r="Y677" s="65" t="n"/>
      <c r="Z677" s="65" t="n"/>
      <c r="AA677" s="64" t="n"/>
      <c r="AB677" s="64" t="n"/>
      <c r="AC677" s="65" t="n"/>
      <c r="AD677" s="65" t="n"/>
      <c r="AE677" s="65" t="n"/>
      <c r="AF677" s="65" t="n"/>
      <c r="AG677" s="65" t="n"/>
      <c r="AH677" s="65" t="n"/>
      <c r="AI677" s="65" t="n"/>
      <c r="AJ677" s="65" t="n"/>
      <c r="AK677" s="65" t="n"/>
      <c r="AL677" s="65" t="n"/>
      <c r="AM677" s="65" t="n"/>
      <c r="AN677" s="65" t="n"/>
      <c r="AO677" s="65" t="n"/>
      <c r="AP677" s="65" t="n"/>
      <c r="AQ677" s="65" t="n"/>
      <c r="AR677" s="65" t="n"/>
      <c r="AS677" s="65" t="n"/>
      <c r="AT677" s="65" t="n"/>
      <c r="AU677" s="65" t="n"/>
      <c r="AV677" s="65" t="n"/>
      <c r="AW677" s="65" t="n"/>
      <c r="AX677" s="65" t="n"/>
      <c r="AY677" s="65" t="n"/>
      <c r="AZ677" s="65" t="n"/>
      <c r="BA677" s="65" t="n"/>
      <c r="BB677" s="65" t="n"/>
      <c r="BC677" s="65" t="n"/>
      <c r="BD677" s="65" t="n"/>
      <c r="BE677" s="65" t="n"/>
      <c r="BF677" s="65" t="n"/>
      <c r="BG677" s="65" t="n"/>
    </row>
    <row r="678">
      <c r="B678" s="1" t="inlineStr">
        <is>
          <t>支倉　丹治様</t>
        </is>
      </c>
      <c r="C678" s="1" t="inlineStr">
        <is>
          <t>LIXIL</t>
        </is>
      </c>
      <c r="D678" s="1" t="inlineStr">
        <is>
          <t>水栓交換　二カ所</t>
        </is>
      </c>
      <c r="E678" s="2" t="inlineStr">
        <is>
          <t>2月</t>
        </is>
      </c>
      <c r="F678" s="68" t="n">
        <v>24820</v>
      </c>
      <c r="G678" s="68">
        <f>IF(B678="","",F678-I678 )</f>
        <v/>
      </c>
      <c r="H678" s="5">
        <f>IF(G678="","",G678/F678)</f>
        <v/>
      </c>
      <c r="I678" s="62">
        <f>SUM(テーブル9[[#This Row],[五大]:[工場材]])</f>
        <v/>
      </c>
      <c r="J678" s="65" t="n"/>
      <c r="K678" s="65" t="n"/>
      <c r="L678" s="65" t="n"/>
      <c r="M678" s="65" t="n"/>
      <c r="N678" s="65" t="n"/>
      <c r="O678" s="65" t="n"/>
      <c r="P678" s="65" t="n"/>
      <c r="Q678" s="65" t="n"/>
      <c r="R678" s="65" t="n"/>
      <c r="S678" s="65" t="n"/>
      <c r="T678" s="65" t="n"/>
      <c r="U678" s="65" t="n"/>
      <c r="V678" s="65" t="n"/>
      <c r="W678" s="65" t="n"/>
      <c r="X678" s="66" t="n"/>
      <c r="Y678" s="65" t="n"/>
      <c r="Z678" s="65" t="n"/>
      <c r="AA678" s="64" t="n"/>
      <c r="AB678" s="64" t="n">
        <v>18000</v>
      </c>
      <c r="AC678" s="65" t="n"/>
      <c r="AD678" s="65" t="n"/>
      <c r="AE678" s="65" t="n"/>
      <c r="AF678" s="65" t="n"/>
      <c r="AG678" s="65" t="n"/>
      <c r="AH678" s="65" t="n"/>
      <c r="AI678" s="65" t="n"/>
      <c r="AJ678" s="65" t="n"/>
      <c r="AK678" s="65" t="n"/>
      <c r="AL678" s="65" t="n"/>
      <c r="AM678" s="65" t="n"/>
      <c r="AN678" s="65" t="n"/>
      <c r="AO678" s="65" t="n"/>
      <c r="AP678" s="65" t="n"/>
      <c r="AQ678" s="65" t="n"/>
      <c r="AR678" s="65" t="n"/>
      <c r="AS678" s="65" t="n"/>
      <c r="AT678" s="65" t="n"/>
      <c r="AU678" s="65" t="n"/>
      <c r="AV678" s="65" t="n"/>
      <c r="AW678" s="65" t="n"/>
      <c r="AX678" s="65" t="n"/>
      <c r="AY678" s="65" t="n"/>
      <c r="AZ678" s="65" t="n"/>
      <c r="BA678" s="65" t="n"/>
      <c r="BB678" s="65" t="n"/>
      <c r="BC678" s="65" t="n"/>
      <c r="BD678" s="65" t="n"/>
      <c r="BE678" s="65" t="n"/>
      <c r="BF678" s="65" t="n"/>
      <c r="BG678" s="65" t="n"/>
    </row>
    <row r="679">
      <c r="B679" s="1" t="inlineStr">
        <is>
          <t xml:space="preserve">山口邸　</t>
        </is>
      </c>
      <c r="C679" s="1" t="inlineStr">
        <is>
          <t>光和工業</t>
        </is>
      </c>
      <c r="D679" s="1" t="inlineStr">
        <is>
          <t>キッチン交換</t>
        </is>
      </c>
      <c r="E679" s="2" t="inlineStr">
        <is>
          <t>1月</t>
        </is>
      </c>
      <c r="F679" s="68" t="n">
        <v>470000</v>
      </c>
      <c r="G679" s="68">
        <f>IF(B679="","",F679-I679 )</f>
        <v/>
      </c>
      <c r="H679" s="5">
        <f>IF(G679="","",G679/F679)</f>
        <v/>
      </c>
      <c r="I679" s="62">
        <f>SUM(テーブル9[[#This Row],[五大]:[工場材]])</f>
        <v/>
      </c>
      <c r="J679" s="65" t="n"/>
      <c r="K679" s="65" t="n"/>
      <c r="L679" s="65" t="n"/>
      <c r="M679" s="65" t="n"/>
      <c r="N679" s="65" t="n"/>
      <c r="O679" s="65" t="n"/>
      <c r="P679" s="65" t="n"/>
      <c r="Q679" s="65" t="n"/>
      <c r="R679" s="65" t="n"/>
      <c r="S679" s="65" t="n"/>
      <c r="T679" s="65" t="n"/>
      <c r="U679" s="65" t="n"/>
      <c r="V679" s="65" t="n"/>
      <c r="W679" s="65" t="n">
        <v>90000</v>
      </c>
      <c r="X679" s="66" t="n">
        <v>39637</v>
      </c>
      <c r="Y679" s="65" t="n"/>
      <c r="Z679" s="65" t="n"/>
      <c r="AA679" s="64" t="n">
        <v>170000</v>
      </c>
      <c r="AB679" s="64" t="n">
        <v>110000</v>
      </c>
      <c r="AC679" s="65" t="n"/>
      <c r="AD679" s="65" t="n"/>
      <c r="AE679" s="65" t="n"/>
      <c r="AF679" s="65" t="n"/>
      <c r="AG679" s="65" t="n"/>
      <c r="AH679" s="65" t="n"/>
      <c r="AI679" s="65" t="n"/>
      <c r="AJ679" s="65" t="n"/>
      <c r="AK679" s="65" t="n"/>
      <c r="AL679" s="65" t="n"/>
      <c r="AM679" s="65" t="n"/>
      <c r="AN679" s="65" t="n"/>
      <c r="AO679" s="65" t="n"/>
      <c r="AP679" s="65" t="n"/>
      <c r="AQ679" s="65" t="n"/>
      <c r="AR679" s="65" t="n"/>
      <c r="AS679" s="65" t="n"/>
      <c r="AT679" s="65" t="n"/>
      <c r="AU679" s="65" t="n"/>
      <c r="AV679" s="65" t="n"/>
      <c r="AW679" s="65" t="n"/>
      <c r="AX679" s="65" t="n"/>
      <c r="AY679" s="65" t="n"/>
      <c r="AZ679" s="65" t="n"/>
      <c r="BA679" s="65" t="n"/>
      <c r="BB679" s="65" t="n"/>
      <c r="BC679" s="65" t="n"/>
      <c r="BD679" s="65" t="n"/>
      <c r="BE679" s="65" t="n"/>
      <c r="BF679" s="65" t="n"/>
      <c r="BG679" s="65" t="n"/>
    </row>
    <row r="680">
      <c r="B680" s="1" t="inlineStr">
        <is>
          <t>コンフォーザレフィアント</t>
        </is>
      </c>
      <c r="C680" s="1" t="inlineStr">
        <is>
          <t>光和工業</t>
        </is>
      </c>
      <c r="D680" s="1" t="inlineStr">
        <is>
          <t>レフィアント70000コンフォーザ110000</t>
        </is>
      </c>
      <c r="E680" s="2" t="inlineStr">
        <is>
          <t>1月</t>
        </is>
      </c>
      <c r="F680" s="68" t="n">
        <v>180000</v>
      </c>
      <c r="G680" s="68">
        <f>IF(B680="","",F680-I680 )</f>
        <v/>
      </c>
      <c r="H680" s="5">
        <f>IF(G680="","",G680/F680)</f>
        <v/>
      </c>
      <c r="I680" s="62">
        <f>SUM(テーブル9[[#This Row],[五大]:[工場材]])</f>
        <v/>
      </c>
      <c r="J680" s="65" t="n"/>
      <c r="K680" s="65" t="n"/>
      <c r="L680" s="65" t="n"/>
      <c r="M680" s="65" t="n"/>
      <c r="N680" s="65" t="n"/>
      <c r="O680" s="65" t="n"/>
      <c r="P680" s="65" t="n"/>
      <c r="Q680" s="65" t="n"/>
      <c r="R680" s="65" t="n"/>
      <c r="S680" s="65" t="n"/>
      <c r="T680" s="64">
        <f>49600+87000</f>
        <v/>
      </c>
      <c r="U680" s="65" t="n"/>
      <c r="V680" s="65" t="n"/>
      <c r="W680" s="65" t="n"/>
      <c r="X680" s="66" t="n"/>
      <c r="Y680" s="65" t="n"/>
      <c r="Z680" s="65" t="n"/>
      <c r="AA680" s="64" t="n"/>
      <c r="AB680" s="64" t="n"/>
      <c r="AC680" s="65" t="n"/>
      <c r="AD680" s="65" t="n"/>
      <c r="AE680" s="65" t="n"/>
      <c r="AF680" s="65" t="n"/>
      <c r="AG680" s="65" t="n"/>
      <c r="AH680" s="65" t="n"/>
      <c r="AI680" s="65" t="n"/>
      <c r="AJ680" s="65" t="n"/>
      <c r="AK680" s="65" t="n"/>
      <c r="AL680" s="65" t="n"/>
      <c r="AM680" s="65" t="n"/>
      <c r="AN680" s="65" t="n"/>
      <c r="AO680" s="65" t="n"/>
      <c r="AP680" s="65" t="n"/>
      <c r="AQ680" s="65" t="n"/>
      <c r="AR680" s="65" t="n"/>
      <c r="AS680" s="65" t="n"/>
      <c r="AT680" s="65" t="n"/>
      <c r="AU680" s="65" t="n"/>
      <c r="AV680" s="65" t="n"/>
      <c r="AW680" s="65" t="n"/>
      <c r="AX680" s="65" t="n"/>
      <c r="AY680" s="65" t="n"/>
      <c r="AZ680" s="65" t="n"/>
      <c r="BA680" s="65" t="n"/>
      <c r="BB680" s="65" t="n"/>
      <c r="BC680" s="65" t="n"/>
      <c r="BD680" s="65" t="n"/>
      <c r="BE680" s="65" t="n"/>
      <c r="BF680" s="65" t="n"/>
      <c r="BG680" s="65" t="n"/>
    </row>
    <row r="681">
      <c r="B681" s="1" t="inlineStr">
        <is>
          <t>中島邸</t>
        </is>
      </c>
      <c r="C681" s="1" t="inlineStr">
        <is>
          <t>光和工業</t>
        </is>
      </c>
      <c r="D681" s="1" t="inlineStr">
        <is>
          <t>充電器取付</t>
        </is>
      </c>
      <c r="E681" s="2" t="inlineStr">
        <is>
          <t>1月</t>
        </is>
      </c>
      <c r="F681" s="68" t="n">
        <v>218900</v>
      </c>
      <c r="G681" s="68">
        <f>IF(B681="","",F681-I681 )</f>
        <v/>
      </c>
      <c r="H681" s="5">
        <f>IF(G681="","",G681/F681)</f>
        <v/>
      </c>
      <c r="I681" s="62">
        <f>SUM(テーブル9[[#This Row],[五大]:[工場材]])</f>
        <v/>
      </c>
      <c r="J681" s="65" t="n"/>
      <c r="K681" s="65" t="n"/>
      <c r="L681" s="65" t="n"/>
      <c r="M681" s="65" t="n"/>
      <c r="N681" s="65" t="n"/>
      <c r="O681" s="65" t="n"/>
      <c r="P681" s="65" t="n"/>
      <c r="Q681" s="65" t="n"/>
      <c r="R681" s="65" t="n"/>
      <c r="S681" s="65" t="n"/>
      <c r="T681" s="65" t="n"/>
      <c r="U681" s="65" t="n"/>
      <c r="V681" s="65" t="n"/>
      <c r="W681" s="65" t="n"/>
      <c r="X681" s="66" t="n"/>
      <c r="Y681" s="65" t="n"/>
      <c r="Z681" s="65" t="n"/>
      <c r="AA681" s="64" t="n">
        <v>161000</v>
      </c>
      <c r="AB681" s="64" t="n"/>
      <c r="AC681" s="65" t="n"/>
      <c r="AD681" s="65" t="n"/>
      <c r="AE681" s="65" t="n"/>
      <c r="AF681" s="65" t="n"/>
      <c r="AG681" s="65" t="n"/>
      <c r="AH681" s="65" t="n"/>
      <c r="AI681" s="65" t="n"/>
      <c r="AJ681" s="65" t="n"/>
      <c r="AK681" s="65" t="n"/>
      <c r="AL681" s="65" t="n"/>
      <c r="AM681" s="65" t="n"/>
      <c r="AN681" s="65" t="n"/>
      <c r="AO681" s="65" t="n"/>
      <c r="AP681" s="65" t="n"/>
      <c r="AQ681" s="65" t="n"/>
      <c r="AR681" s="65" t="n"/>
      <c r="AS681" s="65" t="n"/>
      <c r="AT681" s="65" t="n"/>
      <c r="AU681" s="65" t="n"/>
      <c r="AV681" s="65" t="n"/>
      <c r="AW681" s="65" t="n"/>
      <c r="AX681" s="65" t="n"/>
      <c r="AY681" s="65" t="n"/>
      <c r="AZ681" s="65" t="n"/>
      <c r="BA681" s="65" t="n"/>
      <c r="BB681" s="65" t="n"/>
      <c r="BC681" s="65" t="n"/>
      <c r="BD681" s="65" t="n"/>
      <c r="BE681" s="65" t="n"/>
      <c r="BF681" s="65" t="n"/>
      <c r="BG681" s="65" t="n"/>
    </row>
    <row r="682">
      <c r="B682" s="1" t="inlineStr">
        <is>
          <t>あいタウン福浦　戸建て</t>
        </is>
      </c>
      <c r="C682" s="1" t="inlineStr">
        <is>
          <t>あいホーム</t>
        </is>
      </c>
      <c r="D682" s="1" t="inlineStr">
        <is>
          <t>ウッドフェンス取付</t>
        </is>
      </c>
      <c r="E682" s="2" t="inlineStr">
        <is>
          <t>1月</t>
        </is>
      </c>
      <c r="F682" s="68" t="n">
        <v>420000</v>
      </c>
      <c r="G682" s="68">
        <f>IF(B682="","",F682-I682 )</f>
        <v/>
      </c>
      <c r="H682" s="5">
        <f>IF(G682="","",G682/F682)</f>
        <v/>
      </c>
      <c r="I682" s="62">
        <f>SUM(テーブル9[[#This Row],[五大]:[工場材]])</f>
        <v/>
      </c>
      <c r="J682" s="65" t="n"/>
      <c r="K682" s="65" t="n"/>
      <c r="L682" s="65" t="n"/>
      <c r="M682" s="65" t="n"/>
      <c r="N682" s="65" t="n"/>
      <c r="O682" s="65" t="n"/>
      <c r="P682" s="65" t="n"/>
      <c r="Q682" s="65" t="n"/>
      <c r="R682" s="65" t="n"/>
      <c r="S682" s="65" t="n"/>
      <c r="T682" s="65" t="n"/>
      <c r="U682" s="65" t="n"/>
      <c r="V682" s="65" t="n"/>
      <c r="W682" s="64" t="n">
        <v>300000</v>
      </c>
      <c r="X682" s="66" t="n">
        <v>58334</v>
      </c>
      <c r="Y682" s="65" t="n"/>
      <c r="Z682" s="65" t="n"/>
      <c r="AA682" s="64" t="n"/>
      <c r="AB682" s="64" t="n"/>
      <c r="AC682" s="65" t="n"/>
      <c r="AD682" s="65" t="n"/>
      <c r="AE682" s="65" t="n"/>
      <c r="AF682" s="65" t="n"/>
      <c r="AG682" s="65" t="n"/>
      <c r="AH682" s="65" t="n"/>
      <c r="AI682" s="65" t="n"/>
      <c r="AJ682" s="65" t="n"/>
      <c r="AK682" s="65" t="n"/>
      <c r="AL682" s="65" t="n"/>
      <c r="AM682" s="65" t="n"/>
      <c r="AN682" s="65" t="n"/>
      <c r="AO682" s="65" t="n"/>
      <c r="AP682" s="65" t="n"/>
      <c r="AQ682" s="65" t="n"/>
      <c r="AR682" s="65" t="n"/>
      <c r="AS682" s="65" t="n"/>
      <c r="AT682" s="65" t="n"/>
      <c r="AU682" s="65" t="n"/>
      <c r="AV682" s="65" t="n"/>
      <c r="AW682" s="65" t="n"/>
      <c r="AX682" s="65" t="n"/>
      <c r="AY682" s="65" t="n"/>
      <c r="AZ682" s="65" t="n"/>
      <c r="BA682" s="65" t="n"/>
      <c r="BB682" s="65" t="n"/>
      <c r="BC682" s="65" t="n"/>
      <c r="BD682" s="65" t="n"/>
      <c r="BE682" s="65" t="n"/>
      <c r="BF682" s="65" t="n"/>
      <c r="BG682" s="65" t="n"/>
    </row>
    <row r="683">
      <c r="F683" s="68" t="n"/>
      <c r="G683" s="68">
        <f>IF(B683="","",F683-I683 )</f>
        <v/>
      </c>
      <c r="H683" s="5">
        <f>IF(G683="","",G683/F683)</f>
        <v/>
      </c>
      <c r="I683" s="62">
        <f>SUM(テーブル9[[#This Row],[五大]:[工場材]])</f>
        <v/>
      </c>
      <c r="J683" s="65" t="n"/>
      <c r="K683" s="65" t="n"/>
      <c r="L683" s="65" t="n"/>
      <c r="M683" s="65" t="n"/>
      <c r="N683" s="65" t="n"/>
      <c r="O683" s="65" t="n"/>
      <c r="P683" s="65" t="n"/>
      <c r="Q683" s="65" t="n"/>
      <c r="R683" s="65" t="n"/>
      <c r="S683" s="65" t="n"/>
      <c r="T683" s="65" t="n"/>
      <c r="U683" s="65" t="n"/>
      <c r="V683" s="65" t="n"/>
      <c r="W683" s="65" t="n"/>
      <c r="X683" s="66" t="n"/>
      <c r="Y683" s="65" t="n"/>
      <c r="Z683" s="65" t="n"/>
      <c r="AA683" s="64" t="n"/>
      <c r="AB683" s="64" t="n"/>
      <c r="AC683" s="65" t="n"/>
      <c r="AD683" s="65" t="n"/>
      <c r="AE683" s="65" t="n"/>
      <c r="AF683" s="65" t="n"/>
      <c r="AG683" s="65" t="n"/>
      <c r="AH683" s="65" t="n"/>
      <c r="AI683" s="65" t="n"/>
      <c r="AJ683" s="65" t="n"/>
      <c r="AK683" s="65" t="n"/>
      <c r="AL683" s="65" t="n"/>
      <c r="AM683" s="65" t="n"/>
      <c r="AN683" s="65" t="n"/>
      <c r="AO683" s="65" t="n"/>
      <c r="AP683" s="65" t="n"/>
      <c r="AQ683" s="65" t="n"/>
      <c r="AR683" s="65" t="n"/>
      <c r="AS683" s="65" t="n"/>
      <c r="AT683" s="65" t="n"/>
      <c r="AU683" s="65" t="n"/>
      <c r="AV683" s="65" t="n"/>
      <c r="AW683" s="65" t="n"/>
      <c r="AX683" s="65" t="n"/>
      <c r="AY683" s="65" t="n"/>
      <c r="AZ683" s="65" t="n"/>
      <c r="BA683" s="65" t="n"/>
      <c r="BB683" s="65" t="n"/>
      <c r="BC683" s="65" t="n"/>
      <c r="BD683" s="65" t="n"/>
      <c r="BE683" s="65" t="n"/>
      <c r="BF683" s="65" t="n"/>
      <c r="BG683" s="65" t="n"/>
    </row>
    <row r="684">
      <c r="B684" s="1" t="inlineStr">
        <is>
          <t>パークハウスリシェルテ1504　横橋</t>
        </is>
      </c>
      <c r="C684" s="1" t="inlineStr">
        <is>
          <t>LIXIL</t>
        </is>
      </c>
      <c r="D684" s="1" t="inlineStr">
        <is>
          <t>キッチン、UB、トイレ洗面　床重ね張り</t>
        </is>
      </c>
      <c r="E684" s="2" t="inlineStr">
        <is>
          <t>2月</t>
        </is>
      </c>
      <c r="F684" s="68" t="n">
        <v>1418860</v>
      </c>
      <c r="G684" s="68">
        <f>IF(B684="","",F684-I684 )</f>
        <v/>
      </c>
      <c r="H684" s="5">
        <f>IF(G684="","",G684/F684)</f>
        <v/>
      </c>
      <c r="I684" s="62">
        <f>SUM(テーブル9[[#This Row],[五大]:[工場材]])</f>
        <v/>
      </c>
      <c r="J684" s="65" t="n"/>
      <c r="K684" s="65" t="n"/>
      <c r="L684" s="65" t="n"/>
      <c r="M684" s="65" t="n"/>
      <c r="N684" s="65" t="n"/>
      <c r="O684" s="65" t="n"/>
      <c r="P684" s="65" t="n"/>
      <c r="Q684" s="65" t="n"/>
      <c r="R684" s="65" t="n"/>
      <c r="S684" s="65" t="n"/>
      <c r="T684" s="65" t="n"/>
      <c r="U684" s="65" t="n"/>
      <c r="V684" s="65" t="n"/>
      <c r="W684" s="65">
        <f>569200*0.8</f>
        <v/>
      </c>
      <c r="X684" s="66" t="n"/>
      <c r="Y684" s="65" t="n"/>
      <c r="Z684" s="65" t="n"/>
      <c r="AA684" s="64" t="n">
        <v>125000</v>
      </c>
      <c r="AB684" s="64">
        <f>223000*0.9</f>
        <v/>
      </c>
      <c r="AC684" s="65" t="n"/>
      <c r="AD684" s="65" t="n"/>
      <c r="AE684" s="65" t="n"/>
      <c r="AF684" s="65" t="n"/>
      <c r="AG684" s="65" t="n"/>
      <c r="AH684" s="64" t="n">
        <v>196600</v>
      </c>
      <c r="AI684" s="65" t="n"/>
      <c r="AJ684" s="65" t="n"/>
      <c r="AK684" s="65" t="n"/>
      <c r="AL684" s="65" t="n"/>
      <c r="AM684" s="65" t="n"/>
      <c r="AN684" s="65" t="n"/>
      <c r="AO684" s="65" t="n"/>
      <c r="AP684" s="65" t="n"/>
      <c r="AQ684" s="65" t="n"/>
      <c r="AR684" s="65" t="n"/>
      <c r="AS684" s="65" t="n"/>
      <c r="AT684" s="65" t="n"/>
      <c r="AU684" s="65" t="n"/>
      <c r="AV684" s="64" t="n">
        <v>40000</v>
      </c>
      <c r="AW684" s="65" t="n"/>
      <c r="AX684" s="65" t="n"/>
      <c r="AY684" s="65" t="n"/>
      <c r="AZ684" s="65" t="n"/>
      <c r="BA684" s="65" t="n"/>
      <c r="BB684" s="65" t="n"/>
      <c r="BC684" s="65" t="n"/>
      <c r="BD684" s="65" t="n"/>
      <c r="BE684" s="65" t="n"/>
      <c r="BF684" s="65" t="n"/>
      <c r="BG684" s="65" t="n"/>
    </row>
    <row r="685">
      <c r="B685" s="1" t="inlineStr">
        <is>
          <t>東仙台　富田邸</t>
        </is>
      </c>
      <c r="C685" s="1" t="inlineStr">
        <is>
          <t>LIXIL</t>
        </is>
      </c>
      <c r="D685" s="1" t="inlineStr">
        <is>
          <t>CF張替</t>
        </is>
      </c>
      <c r="E685" s="2" t="inlineStr">
        <is>
          <t>4月</t>
        </is>
      </c>
      <c r="F685" s="68" t="n">
        <v>25000</v>
      </c>
      <c r="G685" s="68">
        <f>IF(B685="","",F685-I685 )</f>
        <v/>
      </c>
      <c r="H685" s="5">
        <f>IF(G685="","",G685/F685)</f>
        <v/>
      </c>
      <c r="I685" s="62">
        <f>SUM(テーブル9[[#This Row],[五大]:[工場材]])</f>
        <v/>
      </c>
      <c r="J685" s="65" t="n"/>
      <c r="K685" s="65" t="n"/>
      <c r="L685" s="65" t="n"/>
      <c r="M685" s="65" t="n"/>
      <c r="N685" s="65" t="n"/>
      <c r="O685" s="65" t="n"/>
      <c r="P685" s="65" t="n"/>
      <c r="Q685" s="65" t="n"/>
      <c r="R685" s="65" t="n"/>
      <c r="S685" s="65" t="n"/>
      <c r="T685" s="65" t="n"/>
      <c r="U685" s="65" t="n"/>
      <c r="V685" s="65" t="n"/>
      <c r="W685" s="65" t="n"/>
      <c r="X685" s="66" t="n"/>
      <c r="Y685" s="65" t="n"/>
      <c r="Z685" s="65" t="n"/>
      <c r="AA685" s="65" t="n"/>
      <c r="AB685" s="65" t="n"/>
      <c r="AC685" s="65" t="n"/>
      <c r="AD685" s="65" t="n"/>
      <c r="AE685" s="65" t="n"/>
      <c r="AF685" s="65" t="n"/>
      <c r="AG685" s="65" t="n"/>
      <c r="AH685" s="65" t="n"/>
      <c r="AI685" s="65" t="n"/>
      <c r="AJ685" s="65" t="n"/>
      <c r="AK685" s="65" t="n"/>
      <c r="AL685" s="65" t="n"/>
      <c r="AM685" s="65" t="n"/>
      <c r="AN685" s="65" t="n"/>
      <c r="AO685" s="65" t="n"/>
      <c r="AP685" s="65" t="n"/>
      <c r="AQ685" s="65" t="n"/>
      <c r="AR685" s="65" t="n"/>
      <c r="AS685" s="65" t="n"/>
      <c r="AT685" s="65" t="n"/>
      <c r="AU685" s="65" t="n"/>
      <c r="AV685" s="65" t="n"/>
      <c r="AW685" s="65" t="n"/>
      <c r="AX685" s="65" t="n"/>
      <c r="AY685" s="65" t="n"/>
      <c r="AZ685" s="65" t="n"/>
      <c r="BA685" s="65" t="n"/>
      <c r="BB685" s="65" t="n"/>
      <c r="BC685" s="65" t="n"/>
      <c r="BD685" s="65" t="n"/>
      <c r="BE685" s="65" t="n"/>
      <c r="BF685" s="65" t="n"/>
      <c r="BG685" s="65" t="n"/>
    </row>
    <row r="686">
      <c r="B686" s="1" t="inlineStr">
        <is>
          <t>八乙女マンション702　原田</t>
        </is>
      </c>
      <c r="C686" s="1" t="inlineStr">
        <is>
          <t>LIXIL</t>
        </is>
      </c>
      <c r="D686" s="1" t="inlineStr">
        <is>
          <t>トイレ・洗面交換</t>
        </is>
      </c>
      <c r="E686" s="2" t="inlineStr">
        <is>
          <t>3月</t>
        </is>
      </c>
      <c r="F686" s="68" t="n">
        <v>300380</v>
      </c>
      <c r="G686" s="68">
        <f>IF(B686="","",F686-I686 )</f>
        <v/>
      </c>
      <c r="H686" s="5">
        <f>IF(G686="","",G686/F686)</f>
        <v/>
      </c>
      <c r="I686" s="62">
        <f>SUM(テーブル9[[#This Row],[五大]:[工場材]])</f>
        <v/>
      </c>
      <c r="J686" s="65" t="n"/>
      <c r="K686" s="65" t="n"/>
      <c r="L686" s="65" t="n"/>
      <c r="M686" s="65" t="n"/>
      <c r="N686" s="65" t="n"/>
      <c r="O686" s="65" t="n"/>
      <c r="P686" s="65" t="n"/>
      <c r="Q686" s="65" t="n"/>
      <c r="R686" s="65" t="n"/>
      <c r="S686" s="65" t="n"/>
      <c r="T686" s="65" t="n"/>
      <c r="U686" s="65" t="n"/>
      <c r="V686" s="65" t="n"/>
      <c r="W686" s="65" t="n"/>
      <c r="X686" s="66" t="n"/>
      <c r="Y686" s="65" t="n"/>
      <c r="Z686" s="65" t="n"/>
      <c r="AA686" s="65" t="n"/>
      <c r="AB686" s="65" t="n"/>
      <c r="AC686" s="64">
        <f>33000+5000+22000+15000</f>
        <v/>
      </c>
      <c r="AD686" s="65" t="n"/>
      <c r="AE686" s="65" t="n"/>
      <c r="AF686" s="65" t="n"/>
      <c r="AG686" s="65" t="n"/>
      <c r="AH686" s="64" t="n">
        <v>69000</v>
      </c>
      <c r="AI686" s="65" t="n"/>
      <c r="AJ686" s="65" t="n"/>
      <c r="AK686" s="64" t="n">
        <v>30000</v>
      </c>
      <c r="AL686" s="65" t="n"/>
      <c r="AM686" s="65" t="n"/>
      <c r="AN686" s="65" t="n"/>
      <c r="AO686" s="65" t="n"/>
      <c r="AP686" s="65" t="n"/>
      <c r="AQ686" s="65" t="n"/>
      <c r="AR686" s="65" t="n"/>
      <c r="AS686" s="65" t="n"/>
      <c r="AT686" s="65" t="n"/>
      <c r="AU686" s="65" t="n"/>
      <c r="AV686" s="65" t="n"/>
      <c r="AW686" s="65" t="n"/>
      <c r="AX686" s="65" t="n"/>
      <c r="AY686" s="65" t="n"/>
      <c r="AZ686" s="65" t="n"/>
      <c r="BA686" s="65" t="n"/>
      <c r="BB686" s="65" t="n"/>
      <c r="BC686" s="65" t="n"/>
      <c r="BD686" s="65" t="n"/>
      <c r="BE686" s="65" t="n"/>
      <c r="BF686" s="65" t="n"/>
      <c r="BG686" s="65" t="n"/>
    </row>
    <row r="687">
      <c r="B687" s="1" t="inlineStr">
        <is>
          <t>高森　山田邸</t>
        </is>
      </c>
      <c r="C687" s="1" t="inlineStr">
        <is>
          <t>LIXIL</t>
        </is>
      </c>
      <c r="D687" s="1" t="inlineStr">
        <is>
          <t>塗装工事</t>
        </is>
      </c>
      <c r="E687" s="2" t="inlineStr">
        <is>
          <t>3月</t>
        </is>
      </c>
      <c r="F687" s="68" t="n">
        <v>1474787</v>
      </c>
      <c r="G687" s="68">
        <f>IF(B687="","",F687-I687 )</f>
        <v/>
      </c>
      <c r="H687" s="5">
        <f>IF(G687="","",G687/F687)</f>
        <v/>
      </c>
      <c r="I687" s="62">
        <f>SUM(テーブル9[[#This Row],[五大]:[工場材]])</f>
        <v/>
      </c>
      <c r="J687" s="65" t="n"/>
      <c r="K687" s="65" t="n"/>
      <c r="L687" s="65" t="n"/>
      <c r="M687" s="65" t="n"/>
      <c r="N687" s="64" t="n">
        <v>500000</v>
      </c>
      <c r="O687" s="65" t="n"/>
      <c r="P687" s="65" t="n"/>
      <c r="Q687" s="65" t="n"/>
      <c r="R687" s="65" t="n"/>
      <c r="S687" s="65" t="n"/>
      <c r="T687" s="65" t="n"/>
      <c r="U687" s="65" t="n"/>
      <c r="V687" s="65" t="n"/>
      <c r="W687" s="65" t="n"/>
      <c r="X687" s="66" t="n"/>
      <c r="Y687" s="65" t="n"/>
      <c r="Z687" s="65" t="n"/>
      <c r="AA687" s="65" t="n"/>
      <c r="AB687" s="65" t="n"/>
      <c r="AC687" s="65" t="n"/>
      <c r="AD687" s="65" t="n"/>
      <c r="AE687" s="65" t="n"/>
      <c r="AF687" s="65" t="n"/>
      <c r="AG687" s="65" t="n"/>
      <c r="AH687" s="65" t="n"/>
      <c r="AI687" s="65" t="n"/>
      <c r="AJ687" s="65" t="n"/>
      <c r="AK687" s="65" t="n"/>
      <c r="AL687" s="65" t="n"/>
      <c r="AM687" s="65" t="n"/>
      <c r="AN687" s="65" t="n"/>
      <c r="AO687" s="65" t="n"/>
      <c r="AP687" s="65" t="n"/>
      <c r="AQ687" s="65" t="n"/>
      <c r="AR687" s="65" t="n"/>
      <c r="AS687" s="65" t="n"/>
      <c r="AT687" s="65" t="n"/>
      <c r="AU687" s="65" t="n"/>
      <c r="AV687" s="65" t="n"/>
      <c r="AW687" s="65" t="n"/>
      <c r="AX687" s="65" t="n"/>
      <c r="AY687" s="65" t="n"/>
      <c r="AZ687" s="65" t="n"/>
      <c r="BA687" s="65" t="n"/>
      <c r="BB687" s="65" t="n"/>
      <c r="BC687" s="65" t="n"/>
      <c r="BD687" s="65" t="n"/>
      <c r="BE687" s="65" t="n"/>
      <c r="BF687" s="65" t="n"/>
      <c r="BG687" s="65" t="n"/>
    </row>
    <row r="688">
      <c r="B688" s="1" t="inlineStr">
        <is>
          <t>奥山クリーニング</t>
        </is>
      </c>
      <c r="C688" s="1" t="inlineStr">
        <is>
          <t>光和工業</t>
        </is>
      </c>
      <c r="D688" s="1" t="inlineStr">
        <is>
          <t>開口塞ぎ工事</t>
        </is>
      </c>
      <c r="E688" s="2" t="inlineStr">
        <is>
          <t>3月</t>
        </is>
      </c>
      <c r="F688" s="68" t="n">
        <v>296000</v>
      </c>
      <c r="G688" s="68">
        <f>IF(B688="","",F688-I688 )</f>
        <v/>
      </c>
      <c r="H688" s="5">
        <f>IF(G688="","",G688/F688)</f>
        <v/>
      </c>
      <c r="I688" s="62">
        <f>SUM(テーブル9[[#This Row],[五大]:[工場材]])</f>
        <v/>
      </c>
      <c r="J688" s="65" t="n"/>
      <c r="K688" s="65" t="n"/>
      <c r="L688" s="65" t="n"/>
      <c r="M688" s="65" t="n"/>
      <c r="N688" s="65" t="n"/>
      <c r="O688" s="65" t="n"/>
      <c r="P688" s="65" t="n"/>
      <c r="Q688" s="65" t="n"/>
      <c r="R688" s="65" t="n"/>
      <c r="S688" s="65" t="n"/>
      <c r="T688" s="65" t="n"/>
      <c r="U688" s="65" t="n"/>
      <c r="V688" s="65" t="n"/>
      <c r="W688" s="65" t="n">
        <v>100000</v>
      </c>
      <c r="X688" s="66">
        <f>8000+8000+6000</f>
        <v/>
      </c>
      <c r="Y688" s="65" t="n"/>
      <c r="Z688" s="65" t="n"/>
      <c r="AA688" s="65" t="n"/>
      <c r="AB688" s="65" t="n"/>
      <c r="AC688" s="65" t="n"/>
      <c r="AD688" s="65" t="n"/>
      <c r="AE688" s="64" t="n">
        <v>30000</v>
      </c>
      <c r="AF688" s="65" t="n"/>
      <c r="AG688" s="65" t="n"/>
      <c r="AH688" s="65" t="n"/>
      <c r="AI688" s="65" t="n"/>
      <c r="AJ688" s="65" t="n"/>
      <c r="AK688" s="65" t="n"/>
      <c r="AL688" s="65" t="n"/>
      <c r="AM688" s="65" t="n"/>
      <c r="AN688" s="65" t="n"/>
      <c r="AO688" s="65">
        <f>20000</f>
        <v/>
      </c>
      <c r="AP688" s="65" t="n"/>
      <c r="AQ688" s="65" t="n"/>
      <c r="AR688" s="65" t="n"/>
      <c r="AS688" s="65" t="n"/>
      <c r="AT688" s="65" t="n"/>
      <c r="AU688" s="65" t="n"/>
      <c r="AV688" s="65" t="n"/>
      <c r="AW688" s="65" t="n"/>
      <c r="AX688" s="65" t="n"/>
      <c r="AY688" s="65" t="n"/>
      <c r="AZ688" s="65" t="n">
        <v>30000</v>
      </c>
      <c r="BA688" s="65" t="n"/>
      <c r="BB688" s="65" t="n"/>
      <c r="BC688" s="65" t="n"/>
      <c r="BD688" s="65" t="n"/>
      <c r="BE688" s="65" t="n"/>
      <c r="BF688" s="65" t="n"/>
      <c r="BG688" s="65" t="n"/>
    </row>
    <row r="689">
      <c r="F689" s="68" t="n"/>
      <c r="G689" s="68">
        <f>IF(B689="","",F689-I689 )</f>
        <v/>
      </c>
      <c r="H689" s="5">
        <f>IF(G689="","",G689/F689)</f>
        <v/>
      </c>
      <c r="I689" s="62">
        <f>SUM(テーブル9[[#This Row],[五大]:[工場材]])</f>
        <v/>
      </c>
      <c r="J689" s="65" t="n"/>
      <c r="K689" s="65" t="n"/>
      <c r="L689" s="65" t="n"/>
      <c r="M689" s="65" t="n"/>
      <c r="N689" s="65" t="n"/>
      <c r="O689" s="65" t="n"/>
      <c r="P689" s="65" t="n"/>
      <c r="Q689" s="65" t="n"/>
      <c r="R689" s="65" t="n"/>
      <c r="S689" s="65" t="n"/>
      <c r="T689" s="65" t="n"/>
      <c r="U689" s="65" t="n"/>
      <c r="V689" s="65" t="n"/>
      <c r="W689" s="65" t="n"/>
      <c r="X689" s="66" t="n"/>
      <c r="Y689" s="65" t="n"/>
      <c r="Z689" s="65" t="n"/>
      <c r="AA689" s="65" t="n"/>
      <c r="AB689" s="65" t="n"/>
      <c r="AC689" s="65" t="n"/>
      <c r="AD689" s="65" t="n"/>
      <c r="AE689" s="65" t="n"/>
      <c r="AF689" s="65" t="n"/>
      <c r="AG689" s="65" t="n"/>
      <c r="AH689" s="65" t="n"/>
      <c r="AI689" s="65" t="n"/>
      <c r="AJ689" s="65" t="n"/>
      <c r="AK689" s="65" t="n"/>
      <c r="AL689" s="65" t="n"/>
      <c r="AM689" s="65" t="n"/>
      <c r="AN689" s="65" t="n"/>
      <c r="AO689" s="65" t="n"/>
      <c r="AP689" s="65" t="n"/>
      <c r="AQ689" s="65" t="n"/>
      <c r="AR689" s="65" t="n"/>
      <c r="AS689" s="65" t="n"/>
      <c r="AT689" s="65" t="n"/>
      <c r="AU689" s="65" t="n"/>
      <c r="AV689" s="65" t="n"/>
      <c r="AW689" s="65" t="n"/>
      <c r="AX689" s="65" t="n"/>
      <c r="AY689" s="65" t="n"/>
      <c r="AZ689" s="65" t="n"/>
      <c r="BA689" s="65" t="n"/>
      <c r="BB689" s="65" t="n"/>
      <c r="BC689" s="65" t="n"/>
      <c r="BD689" s="65" t="n"/>
      <c r="BE689" s="65" t="n"/>
      <c r="BF689" s="65" t="n"/>
      <c r="BG689" s="65" t="n"/>
    </row>
    <row r="690">
      <c r="B690" s="1" t="inlineStr">
        <is>
          <t>塩川邸</t>
        </is>
      </c>
      <c r="C690" s="1" t="inlineStr">
        <is>
          <t>サステム</t>
        </is>
      </c>
      <c r="D690" s="1" t="inlineStr">
        <is>
          <t>トイレ交換</t>
        </is>
      </c>
      <c r="E690" s="2" t="inlineStr">
        <is>
          <t>3月</t>
        </is>
      </c>
      <c r="F690" s="68" t="n">
        <v>250000</v>
      </c>
      <c r="G690" s="68">
        <f>IF(B690="","",F690-I690 )</f>
        <v/>
      </c>
      <c r="H690" s="5">
        <f>IF(G690="","",G690/F690)</f>
        <v/>
      </c>
      <c r="I690" s="62">
        <f>SUM(テーブル9[[#This Row],[五大]:[工場材]])</f>
        <v/>
      </c>
      <c r="J690" s="65" t="n"/>
      <c r="K690" s="65" t="n"/>
      <c r="L690" s="65" t="n"/>
      <c r="M690" s="65" t="n"/>
      <c r="N690" s="65" t="n"/>
      <c r="O690" s="65" t="n"/>
      <c r="P690" s="65" t="n"/>
      <c r="Q690" s="65" t="n"/>
      <c r="R690" s="65" t="n"/>
      <c r="S690" s="65" t="n"/>
      <c r="T690" s="65" t="n"/>
      <c r="U690" s="65" t="n"/>
      <c r="V690" s="65" t="n"/>
      <c r="W690" s="64" t="n">
        <v>45000</v>
      </c>
      <c r="X690" s="66" t="n">
        <v>13386</v>
      </c>
      <c r="Y690" s="65" t="n"/>
      <c r="Z690" s="65" t="n"/>
      <c r="AA690" s="64" t="n">
        <v>15000</v>
      </c>
      <c r="AB690" s="64" t="n">
        <v>30000</v>
      </c>
      <c r="AC690" s="65" t="n"/>
      <c r="AD690" s="65" t="n">
        <v>50000</v>
      </c>
      <c r="AE690" s="65" t="n"/>
      <c r="AF690" s="65" t="n"/>
      <c r="AG690" s="65" t="n"/>
      <c r="AH690" s="65" t="n"/>
      <c r="AI690" s="65" t="n"/>
      <c r="AJ690" s="65" t="n"/>
      <c r="AK690" s="65" t="n"/>
      <c r="AL690" s="65" t="n"/>
      <c r="AM690" s="65" t="n"/>
      <c r="AN690" s="65" t="n"/>
      <c r="AO690" s="65" t="n"/>
      <c r="AP690" s="65" t="n"/>
      <c r="AQ690" s="65" t="n"/>
      <c r="AR690" s="65" t="n"/>
      <c r="AS690" s="65" t="n"/>
      <c r="AT690" s="65" t="n"/>
      <c r="AU690" s="65" t="n"/>
      <c r="AV690" s="65" t="n"/>
      <c r="AW690" s="65" t="n"/>
      <c r="AX690" s="65" t="n"/>
      <c r="AY690" s="65" t="n"/>
      <c r="AZ690" s="65" t="n"/>
      <c r="BA690" s="65" t="n"/>
      <c r="BB690" s="65" t="n"/>
      <c r="BC690" s="65" t="n"/>
      <c r="BD690" s="65" t="n"/>
      <c r="BE690" s="65" t="n"/>
      <c r="BF690" s="65" t="n"/>
      <c r="BG690" s="65" t="n"/>
    </row>
    <row r="691">
      <c r="B691" s="1" t="inlineStr">
        <is>
          <t>ONハウス</t>
        </is>
      </c>
      <c r="C691" s="1" t="inlineStr">
        <is>
          <t>ナカジマ装建</t>
        </is>
      </c>
      <c r="D691" s="1" t="inlineStr">
        <is>
          <t>通路柱交換</t>
        </is>
      </c>
      <c r="E691" s="2" t="inlineStr">
        <is>
          <t>3月</t>
        </is>
      </c>
      <c r="F691" s="68" t="n">
        <v>528000</v>
      </c>
      <c r="G691" s="68">
        <f>IF(B691="","",F691-I691 )</f>
        <v/>
      </c>
      <c r="H691" s="5">
        <f>IF(G691="","",G691/F691)</f>
        <v/>
      </c>
      <c r="I691" s="62">
        <f>SUM(テーブル9[[#This Row],[五大]:[工場材]])</f>
        <v/>
      </c>
      <c r="J691" s="65" t="n"/>
      <c r="K691" s="65" t="n"/>
      <c r="L691" s="65" t="n"/>
      <c r="M691" s="65" t="n"/>
      <c r="N691" s="65" t="n"/>
      <c r="O691" s="65" t="n"/>
      <c r="P691" s="65" t="n"/>
      <c r="Q691" s="65" t="n"/>
      <c r="R691" s="65" t="n"/>
      <c r="S691" s="65" t="n"/>
      <c r="T691" s="65" t="n"/>
      <c r="U691" s="65" t="n"/>
      <c r="V691" s="65" t="n"/>
      <c r="W691" s="65" t="n"/>
      <c r="X691" s="66" t="n"/>
      <c r="Y691" s="65" t="n"/>
      <c r="Z691" s="65" t="n">
        <v>240000</v>
      </c>
      <c r="AA691" s="65" t="n"/>
      <c r="AB691" s="65" t="n"/>
      <c r="AC691" s="65" t="n"/>
      <c r="AD691" s="65" t="n"/>
      <c r="AE691" s="65" t="n"/>
      <c r="AF691" s="65" t="n"/>
      <c r="AG691" s="65" t="n"/>
      <c r="AH691" s="65" t="n"/>
      <c r="AI691" s="65" t="n"/>
      <c r="AJ691" s="65" t="n"/>
      <c r="AK691" s="65" t="n"/>
      <c r="AL691" s="65" t="n"/>
      <c r="AM691" s="65" t="n"/>
      <c r="AN691" s="65" t="n"/>
      <c r="AO691" s="65" t="n"/>
      <c r="AP691" s="65" t="n"/>
      <c r="AQ691" s="65" t="n"/>
      <c r="AR691" s="65" t="n"/>
      <c r="AS691" s="65" t="n"/>
      <c r="AT691" s="65" t="n"/>
      <c r="AU691" s="65" t="n"/>
      <c r="AV691" s="65" t="n"/>
      <c r="AW691" s="65" t="n"/>
      <c r="AX691" s="65" t="n"/>
      <c r="AY691" s="65" t="n"/>
      <c r="AZ691" s="65" t="n">
        <v>30000</v>
      </c>
      <c r="BA691" s="65" t="n"/>
      <c r="BB691" s="65" t="n"/>
      <c r="BC691" s="65" t="n"/>
      <c r="BD691" s="65" t="n"/>
      <c r="BE691" s="65" t="n"/>
      <c r="BF691" s="65" t="n"/>
      <c r="BG691" s="65" t="n"/>
    </row>
    <row r="692">
      <c r="B692" s="1" t="inlineStr">
        <is>
          <t>山田邸</t>
        </is>
      </c>
      <c r="C692" s="1" t="inlineStr">
        <is>
          <t>LIXIL</t>
        </is>
      </c>
      <c r="D692" s="1" t="inlineStr">
        <is>
          <t>塗装工事+ポリカ屋根交換+ガラス交換</t>
        </is>
      </c>
      <c r="E692" s="2" t="inlineStr">
        <is>
          <t>3月</t>
        </is>
      </c>
      <c r="F692" s="68">
        <f>1417787+93000+83000</f>
        <v/>
      </c>
      <c r="G692" s="68">
        <f>IF(B692="","",F692-I692 )</f>
        <v/>
      </c>
      <c r="H692" s="5">
        <f>IF(G692="","",G692/F692)</f>
        <v/>
      </c>
      <c r="I692" s="62">
        <f>SUM(テーブル9[[#This Row],[五大]:[工場材]])</f>
        <v/>
      </c>
      <c r="J692" s="65" t="n">
        <v>160000</v>
      </c>
      <c r="K692" s="65" t="n"/>
      <c r="L692" s="65" t="n"/>
      <c r="M692" s="65" t="n"/>
      <c r="N692" s="64" t="n">
        <v>23000</v>
      </c>
      <c r="O692" s="65" t="n"/>
      <c r="P692" s="65" t="n"/>
      <c r="Q692" s="65" t="n"/>
      <c r="R692" s="65" t="n"/>
      <c r="S692" s="65" t="n"/>
      <c r="T692" s="65" t="n"/>
      <c r="U692" s="65" t="n">
        <v>129900</v>
      </c>
      <c r="V692" s="65" t="n"/>
      <c r="W692" s="65" t="n"/>
      <c r="X692" s="66" t="n"/>
      <c r="Y692" s="65" t="n"/>
      <c r="Z692" s="65" t="n"/>
      <c r="AA692" s="65" t="n"/>
      <c r="AB692" s="65" t="n"/>
      <c r="AC692" s="65" t="n"/>
      <c r="AD692" s="65" t="n"/>
      <c r="AE692" s="64">
        <f>124000+73000</f>
        <v/>
      </c>
      <c r="AF692" s="65" t="n"/>
      <c r="AG692" s="65" t="n"/>
      <c r="AH692" s="65" t="n"/>
      <c r="AI692" s="65" t="n"/>
      <c r="AJ692" s="65" t="n"/>
      <c r="AK692" s="65" t="n"/>
      <c r="AL692" s="65" t="n"/>
      <c r="AM692" s="65" t="n"/>
      <c r="AN692" s="65" t="n"/>
      <c r="AO692" s="65" t="n"/>
      <c r="AP692" s="65" t="n"/>
      <c r="AQ692" s="65" t="n"/>
      <c r="AR692" s="65" t="n"/>
      <c r="AS692" s="65" t="n"/>
      <c r="AT692" s="65" t="n"/>
      <c r="AU692" s="65" t="n"/>
      <c r="AV692" s="65" t="n"/>
      <c r="AW692" s="65" t="n"/>
      <c r="AX692" s="65" t="n"/>
      <c r="AY692" s="65" t="n"/>
      <c r="AZ692" s="65" t="n"/>
      <c r="BA692" s="65" t="n"/>
      <c r="BB692" s="65" t="n"/>
      <c r="BC692" s="65" t="n"/>
      <c r="BD692" s="65" t="n"/>
      <c r="BE692" s="65" t="n"/>
      <c r="BF692" s="65" t="n"/>
      <c r="BG692" s="65" t="n"/>
    </row>
    <row r="693">
      <c r="B693" s="1" t="inlineStr">
        <is>
          <t>藪内聖皓様</t>
        </is>
      </c>
      <c r="C693" s="1" t="inlineStr">
        <is>
          <t>LIXIL</t>
        </is>
      </c>
      <c r="D693" s="1" t="inlineStr">
        <is>
          <t>ｶｯﾌﾟﾎﾞｰﾄﾞ設置（下地のみ）</t>
        </is>
      </c>
      <c r="E693" s="2" t="inlineStr">
        <is>
          <t>3月</t>
        </is>
      </c>
      <c r="F693" s="68" t="n">
        <v>40000</v>
      </c>
      <c r="G693" s="68">
        <f>IF(B693="","",F693-I693 )</f>
        <v/>
      </c>
      <c r="H693" s="5">
        <f>IF(G693="","",G693/F693)</f>
        <v/>
      </c>
      <c r="I693" s="62">
        <f>SUM(テーブル9[[#This Row],[五大]:[工場材]])</f>
        <v/>
      </c>
      <c r="J693" s="65" t="n"/>
      <c r="K693" s="65" t="n"/>
      <c r="L693" s="65" t="n"/>
      <c r="M693" s="65" t="n"/>
      <c r="N693" s="65" t="n"/>
      <c r="O693" s="65" t="n"/>
      <c r="P693" s="65" t="n"/>
      <c r="Q693" s="65" t="n"/>
      <c r="R693" s="65" t="n"/>
      <c r="S693" s="65" t="n"/>
      <c r="T693" s="65" t="n"/>
      <c r="U693" s="65" t="n"/>
      <c r="V693" s="65" t="n"/>
      <c r="W693" s="64" t="n">
        <v>20000</v>
      </c>
      <c r="X693" s="66" t="n">
        <v>5754</v>
      </c>
      <c r="Y693" s="65" t="n"/>
      <c r="Z693" s="65" t="n"/>
      <c r="AA693" s="65" t="n"/>
      <c r="AB693" s="65" t="n"/>
      <c r="AC693" s="65" t="n"/>
      <c r="AD693" s="65" t="n"/>
      <c r="AE693" s="65" t="n"/>
      <c r="AF693" s="65" t="n"/>
      <c r="AG693" s="65" t="n"/>
      <c r="AH693" s="65" t="n"/>
      <c r="AI693" s="65" t="n"/>
      <c r="AJ693" s="65" t="n"/>
      <c r="AK693" s="65" t="n"/>
      <c r="AL693" s="65" t="n"/>
      <c r="AM693" s="65" t="n"/>
      <c r="AN693" s="65" t="n"/>
      <c r="AO693" s="65" t="n"/>
      <c r="AP693" s="65" t="n"/>
      <c r="AQ693" s="65" t="n"/>
      <c r="AR693" s="65" t="n"/>
      <c r="AS693" s="65" t="n"/>
      <c r="AT693" s="65" t="n"/>
      <c r="AU693" s="65" t="n"/>
      <c r="AV693" s="65" t="n"/>
      <c r="AW693" s="65" t="n"/>
      <c r="AX693" s="65" t="n"/>
      <c r="AY693" s="65" t="n"/>
      <c r="AZ693" s="65" t="n"/>
      <c r="BA693" s="65" t="n"/>
      <c r="BB693" s="65" t="n"/>
      <c r="BC693" s="65" t="n"/>
      <c r="BD693" s="65" t="n"/>
      <c r="BE693" s="65" t="n"/>
      <c r="BF693" s="65" t="n"/>
      <c r="BG693" s="65" t="n"/>
    </row>
    <row r="694">
      <c r="B694" s="1" t="inlineStr">
        <is>
          <t>ファミールグラン支倉町</t>
        </is>
      </c>
      <c r="C694" s="1" t="inlineStr">
        <is>
          <t>LIXIL</t>
        </is>
      </c>
      <c r="D694" s="1" t="inlineStr">
        <is>
          <t>キッチン水栓補修</t>
        </is>
      </c>
      <c r="E694" s="2" t="inlineStr">
        <is>
          <t>3月</t>
        </is>
      </c>
      <c r="F694" s="68">
        <f>2420+22000+400</f>
        <v/>
      </c>
      <c r="G694" s="68">
        <f>IF(B694="","",F694-I694 )</f>
        <v/>
      </c>
      <c r="H694" s="5">
        <f>IF(G694="","",G694/F694)</f>
        <v/>
      </c>
      <c r="I694" s="62">
        <f>SUM(テーブル9[[#This Row],[五大]:[工場材]])</f>
        <v/>
      </c>
      <c r="J694" s="65" t="n"/>
      <c r="K694" s="65" t="n"/>
      <c r="L694" s="65" t="n"/>
      <c r="M694" s="65" t="n"/>
      <c r="N694" s="65" t="n"/>
      <c r="O694" s="65" t="n"/>
      <c r="P694" s="65" t="n"/>
      <c r="Q694" s="65" t="n"/>
      <c r="R694" s="65" t="n"/>
      <c r="S694" s="65" t="n"/>
      <c r="T694" s="65" t="n"/>
      <c r="U694" s="65" t="n"/>
      <c r="V694" s="65" t="n"/>
      <c r="W694" s="65" t="n"/>
      <c r="X694" s="66" t="n"/>
      <c r="Y694" s="65" t="n"/>
      <c r="Z694" s="65" t="n"/>
      <c r="AA694" s="65" t="n"/>
      <c r="AB694" s="64" t="n">
        <v>10000</v>
      </c>
      <c r="AC694" s="65" t="n"/>
      <c r="AD694" s="65" t="n"/>
      <c r="AE694" s="65" t="n"/>
      <c r="AF694" s="65" t="n"/>
      <c r="AG694" s="65" t="n"/>
      <c r="AH694" s="65" t="n"/>
      <c r="AI694" s="65" t="n"/>
      <c r="AJ694" s="65" t="n"/>
      <c r="AK694" s="65" t="n"/>
      <c r="AL694" s="65" t="n"/>
      <c r="AM694" s="65" t="n"/>
      <c r="AN694" s="65" t="n"/>
      <c r="AO694" s="65" t="n"/>
      <c r="AP694" s="65" t="n"/>
      <c r="AQ694" s="65" t="n"/>
      <c r="AR694" s="65" t="n"/>
      <c r="AS694" s="65" t="n"/>
      <c r="AT694" s="65" t="n"/>
      <c r="AU694" s="65" t="n"/>
      <c r="AV694" s="65" t="n"/>
      <c r="AW694" s="65" t="n"/>
      <c r="AX694" s="65" t="n"/>
      <c r="AY694" s="65" t="n"/>
      <c r="AZ694" s="65" t="n"/>
      <c r="BA694" s="65" t="n"/>
      <c r="BB694" s="65" t="n"/>
      <c r="BC694" s="65" t="n"/>
      <c r="BD694" s="65" t="n"/>
      <c r="BE694" s="65" t="n"/>
      <c r="BF694" s="65" t="n"/>
      <c r="BG694" s="65" t="n"/>
    </row>
    <row r="695">
      <c r="B695" s="1" t="inlineStr">
        <is>
          <t>あっぷる愛子こども園</t>
        </is>
      </c>
      <c r="C695" s="1" t="inlineStr">
        <is>
          <t>ライフアップ</t>
        </is>
      </c>
      <c r="D695" s="1" t="inlineStr">
        <is>
          <t>換気扇取付</t>
        </is>
      </c>
      <c r="E695" s="2" t="inlineStr">
        <is>
          <t>3月</t>
        </is>
      </c>
      <c r="F695" s="68" t="n">
        <v>50000</v>
      </c>
      <c r="G695" s="68">
        <f>IF(B695="","",F695-I695 )</f>
        <v/>
      </c>
      <c r="H695" s="5">
        <f>IF(G695="","",G695/F695)</f>
        <v/>
      </c>
      <c r="I695" s="62">
        <f>SUM(テーブル9[[#This Row],[五大]:[工場材]])</f>
        <v/>
      </c>
      <c r="J695" s="65" t="n"/>
      <c r="K695" s="65" t="n"/>
      <c r="L695" s="65" t="n"/>
      <c r="M695" s="65" t="n"/>
      <c r="N695" s="65" t="n"/>
      <c r="O695" s="65" t="n"/>
      <c r="P695" s="65" t="n"/>
      <c r="Q695" s="65" t="n"/>
      <c r="R695" s="65" t="n"/>
      <c r="S695" s="65" t="n"/>
      <c r="T695" s="65" t="n"/>
      <c r="U695" s="65" t="n"/>
      <c r="V695" s="65" t="n"/>
      <c r="W695" s="65" t="n"/>
      <c r="X695" s="66" t="n"/>
      <c r="Y695" s="65" t="n"/>
      <c r="Z695" s="65" t="n"/>
      <c r="AA695" s="64" t="n">
        <v>40000</v>
      </c>
      <c r="AB695" s="65" t="n"/>
      <c r="AC695" s="65" t="n"/>
      <c r="AD695" s="65" t="n"/>
      <c r="AE695" s="65" t="n"/>
      <c r="AF695" s="65" t="n"/>
      <c r="AG695" s="65" t="n"/>
      <c r="AH695" s="65" t="n"/>
      <c r="AI695" s="65" t="n"/>
      <c r="AJ695" s="65" t="n"/>
      <c r="AK695" s="65" t="n"/>
      <c r="AL695" s="65" t="n"/>
      <c r="AM695" s="65" t="n"/>
      <c r="AN695" s="65" t="n"/>
      <c r="AO695" s="65" t="n"/>
      <c r="AP695" s="65" t="n"/>
      <c r="AQ695" s="65" t="n"/>
      <c r="AR695" s="65" t="n"/>
      <c r="AS695" s="65" t="n"/>
      <c r="AT695" s="65" t="n"/>
      <c r="AU695" s="65" t="n"/>
      <c r="AV695" s="65" t="n"/>
      <c r="AW695" s="65" t="n"/>
      <c r="AX695" s="65" t="n"/>
      <c r="AY695" s="65" t="n"/>
      <c r="AZ695" s="65" t="n"/>
      <c r="BA695" s="65" t="n"/>
      <c r="BB695" s="65" t="n"/>
      <c r="BC695" s="65" t="n"/>
      <c r="BD695" s="65" t="n"/>
      <c r="BE695" s="65" t="n"/>
      <c r="BF695" s="65" t="n"/>
      <c r="BG695" s="65" t="n"/>
    </row>
    <row r="696">
      <c r="B696" s="1" t="inlineStr">
        <is>
          <t>石巻マリンヴィレッジ</t>
        </is>
      </c>
      <c r="C696" s="1" t="inlineStr">
        <is>
          <t>あいホーム</t>
        </is>
      </c>
      <c r="D696" s="1" t="inlineStr">
        <is>
          <t>間仕切り造作工事</t>
        </is>
      </c>
      <c r="E696" s="2" t="inlineStr">
        <is>
          <t>3月</t>
        </is>
      </c>
      <c r="F696" s="68" t="n">
        <v>626000</v>
      </c>
      <c r="G696" s="68">
        <f>IF(B696="","",F696-I696 )</f>
        <v/>
      </c>
      <c r="H696" s="5">
        <f>IF(G696="","",G696/F696)</f>
        <v/>
      </c>
      <c r="I696" s="62">
        <f>SUM(テーブル9[[#This Row],[五大]:[工場材]])</f>
        <v/>
      </c>
      <c r="J696" s="65" t="n"/>
      <c r="K696" s="65" t="n"/>
      <c r="L696" s="65" t="n"/>
      <c r="M696" s="65" t="n"/>
      <c r="N696" s="65" t="n"/>
      <c r="O696" s="65" t="n"/>
      <c r="P696" s="65" t="n"/>
      <c r="Q696" s="65" t="n"/>
      <c r="R696" s="65" t="n"/>
      <c r="S696" s="65" t="n"/>
      <c r="T696" s="65" t="n"/>
      <c r="U696" s="65" t="n"/>
      <c r="V696" s="65" t="n"/>
      <c r="W696" s="64" t="n">
        <v>220000</v>
      </c>
      <c r="X696" s="66" t="n">
        <v>27693</v>
      </c>
      <c r="Y696" s="65" t="n"/>
      <c r="Z696" s="65" t="n"/>
      <c r="AA696" s="64" t="n">
        <v>40000</v>
      </c>
      <c r="AB696" s="65" t="n"/>
      <c r="AC696" s="65" t="n"/>
      <c r="AD696" s="65" t="n"/>
      <c r="AE696" s="65" t="n"/>
      <c r="AF696" s="65" t="n"/>
      <c r="AG696" s="65" t="n"/>
      <c r="AH696" s="64" t="n">
        <v>40000</v>
      </c>
      <c r="AI696" s="65" t="n"/>
      <c r="AJ696" s="65" t="n"/>
      <c r="AK696" s="65" t="n"/>
      <c r="AL696" s="65" t="n"/>
      <c r="AM696" s="65" t="n"/>
      <c r="AN696" s="65" t="n"/>
      <c r="AO696" s="65" t="n"/>
      <c r="AP696" s="64">
        <f>6895+31500+24850+4200+7000+1435+1456</f>
        <v/>
      </c>
      <c r="AQ696" s="65" t="n"/>
      <c r="AR696" s="65" t="n"/>
      <c r="AS696" s="65" t="n"/>
      <c r="AT696" s="65" t="n"/>
      <c r="AU696" s="65" t="n"/>
      <c r="AV696" s="65" t="n"/>
      <c r="AW696" s="65" t="n"/>
      <c r="AX696" s="65" t="n"/>
      <c r="AY696" s="65" t="n"/>
      <c r="AZ696" s="65" t="n"/>
      <c r="BA696" s="65" t="n"/>
      <c r="BB696" s="65" t="n"/>
      <c r="BC696" s="65" t="n"/>
      <c r="BD696" s="65" t="n"/>
      <c r="BE696" s="65" t="n"/>
      <c r="BF696" s="65" t="n"/>
      <c r="BG696" s="65" t="n"/>
    </row>
    <row r="697">
      <c r="B697" s="1" t="inlineStr">
        <is>
          <t>中島邸</t>
        </is>
      </c>
      <c r="D697" s="1" t="inlineStr">
        <is>
          <t>アンペア変更工事</t>
        </is>
      </c>
      <c r="E697" s="2" t="inlineStr">
        <is>
          <t>3月</t>
        </is>
      </c>
      <c r="F697" s="68" t="n">
        <v>98000</v>
      </c>
      <c r="G697" s="68">
        <f>IF(B697="","",F697-I697 )</f>
        <v/>
      </c>
      <c r="H697" s="5">
        <f>IF(G697="","",G697/F697)</f>
        <v/>
      </c>
      <c r="I697" s="62">
        <f>SUM(テーブル9[[#This Row],[五大]:[工場材]])</f>
        <v/>
      </c>
      <c r="J697" s="65" t="n"/>
      <c r="K697" s="65" t="n"/>
      <c r="L697" s="65" t="n"/>
      <c r="M697" s="65" t="n"/>
      <c r="N697" s="65" t="n"/>
      <c r="O697" s="65" t="n"/>
      <c r="P697" s="65" t="n"/>
      <c r="Q697" s="65" t="n"/>
      <c r="R697" s="65" t="n"/>
      <c r="S697" s="65" t="n"/>
      <c r="T697" s="65" t="n"/>
      <c r="U697" s="65" t="n"/>
      <c r="V697" s="65" t="n"/>
      <c r="W697" s="65" t="n"/>
      <c r="X697" s="66" t="n"/>
      <c r="Y697" s="65" t="n"/>
      <c r="Z697" s="65" t="n"/>
      <c r="AA697" s="64" t="n">
        <v>80000</v>
      </c>
      <c r="AB697" s="65" t="n"/>
      <c r="AC697" s="65" t="n"/>
      <c r="AD697" s="65" t="n"/>
      <c r="AE697" s="65" t="n"/>
      <c r="AF697" s="65" t="n"/>
      <c r="AG697" s="65" t="n"/>
      <c r="AH697" s="65" t="n"/>
      <c r="AI697" s="65" t="n"/>
      <c r="AJ697" s="65" t="n"/>
      <c r="AK697" s="65" t="n"/>
      <c r="AL697" s="65" t="n"/>
      <c r="AM697" s="65" t="n"/>
      <c r="AN697" s="65" t="n"/>
      <c r="AO697" s="65" t="n"/>
      <c r="AP697" s="65" t="n"/>
      <c r="AQ697" s="65" t="n"/>
      <c r="AR697" s="65" t="n"/>
      <c r="AS697" s="65" t="n"/>
      <c r="AT697" s="65" t="n"/>
      <c r="AU697" s="65" t="n"/>
      <c r="AV697" s="65" t="n"/>
      <c r="AW697" s="65" t="n"/>
      <c r="AX697" s="65" t="n"/>
      <c r="AY697" s="65" t="n"/>
      <c r="AZ697" s="65" t="n"/>
      <c r="BA697" s="65" t="n"/>
      <c r="BB697" s="65" t="n"/>
      <c r="BC697" s="65" t="n"/>
      <c r="BD697" s="65" t="n"/>
      <c r="BE697" s="65" t="n"/>
      <c r="BF697" s="65" t="n"/>
      <c r="BG697" s="65" t="n"/>
    </row>
    <row r="698">
      <c r="B698" s="1" t="inlineStr">
        <is>
          <t>ハイツAB</t>
        </is>
      </c>
      <c r="C698" s="1" t="inlineStr">
        <is>
          <t>国立音楽院</t>
        </is>
      </c>
      <c r="D698" s="1" t="inlineStr">
        <is>
          <t>退去工事5年目17室</t>
        </is>
      </c>
      <c r="E698" s="2" t="inlineStr">
        <is>
          <t>3月</t>
        </is>
      </c>
      <c r="F698" s="68" t="n">
        <v>800000</v>
      </c>
      <c r="G698" s="68">
        <f>IF(B698="","",F698-I698 )</f>
        <v/>
      </c>
      <c r="H698" s="5">
        <f>IF(G698="","",G698/F698)</f>
        <v/>
      </c>
      <c r="I698" s="62">
        <f>SUM(テーブル9[[#This Row],[五大]:[工場材]])</f>
        <v/>
      </c>
      <c r="J698" s="65" t="n"/>
      <c r="K698" s="65" t="n"/>
      <c r="L698" s="65" t="n"/>
      <c r="M698" s="65" t="n"/>
      <c r="N698" s="64" t="n">
        <v>17000</v>
      </c>
      <c r="O698" s="65" t="n"/>
      <c r="P698" s="65" t="n"/>
      <c r="Q698" s="65" t="n"/>
      <c r="R698" s="65" t="n"/>
      <c r="S698" s="65" t="n"/>
      <c r="T698" s="65" t="n"/>
      <c r="U698" s="65" t="n"/>
      <c r="V698" s="65" t="n"/>
      <c r="W698" s="65" t="n"/>
      <c r="X698" s="66" t="n"/>
      <c r="Y698" s="65" t="n"/>
      <c r="Z698" s="65" t="n"/>
      <c r="AA698" s="65" t="n"/>
      <c r="AB698" s="65" t="n"/>
      <c r="AC698" s="65" t="n"/>
      <c r="AD698" s="65" t="n"/>
      <c r="AE698" s="65" t="n"/>
      <c r="AF698" s="65" t="n"/>
      <c r="AG698" s="65" t="n"/>
      <c r="AH698" s="64" t="n">
        <v>109550</v>
      </c>
      <c r="AI698" s="65" t="n"/>
      <c r="AJ698" s="64">
        <f>14000*17</f>
        <v/>
      </c>
      <c r="AK698" s="65" t="n"/>
      <c r="AL698" s="65" t="n"/>
      <c r="AM698" s="65" t="n"/>
      <c r="AN698" s="65" t="n"/>
      <c r="AO698" s="65" t="n"/>
      <c r="AP698" s="65" t="n"/>
      <c r="AQ698" s="65" t="n"/>
      <c r="AR698" s="65" t="n"/>
      <c r="AS698" s="65" t="n"/>
      <c r="AT698" s="65" t="n"/>
      <c r="AU698" s="65" t="n"/>
      <c r="AV698" s="65" t="n"/>
      <c r="AW698" s="65" t="n"/>
      <c r="AX698" s="65" t="n"/>
      <c r="AY698" s="65" t="n"/>
      <c r="AZ698" s="65" t="n"/>
      <c r="BA698" s="65" t="n"/>
      <c r="BB698" s="65" t="n"/>
      <c r="BC698" s="65" t="n"/>
      <c r="BD698" s="65" t="n"/>
      <c r="BE698" s="65" t="n"/>
      <c r="BF698" s="65" t="n"/>
      <c r="BG698" s="65" t="n"/>
    </row>
    <row r="699">
      <c r="B699" s="1" t="inlineStr">
        <is>
          <t>加美町　蔵内装</t>
        </is>
      </c>
      <c r="C699" s="1" t="inlineStr">
        <is>
          <t>あいホーム</t>
        </is>
      </c>
      <c r="D699" s="1" t="inlineStr">
        <is>
          <t>天井クロス貼替</t>
        </is>
      </c>
      <c r="E699" s="2" t="inlineStr">
        <is>
          <t>3月</t>
        </is>
      </c>
      <c r="F699" s="68" t="n">
        <v>79000</v>
      </c>
      <c r="G699" s="68">
        <f>IF(B699="","",F699-I699 )</f>
        <v/>
      </c>
      <c r="H699" s="5">
        <f>IF(G699="","",G699/F699)</f>
        <v/>
      </c>
      <c r="I699" s="62">
        <f>SUM(テーブル9[[#This Row],[五大]:[工場材]])</f>
        <v/>
      </c>
      <c r="J699" s="65" t="n"/>
      <c r="K699" s="65" t="n"/>
      <c r="L699" s="65" t="n"/>
      <c r="M699" s="65" t="n"/>
      <c r="N699" s="65" t="n"/>
      <c r="O699" s="65" t="n"/>
      <c r="P699" s="65" t="n"/>
      <c r="Q699" s="65" t="n"/>
      <c r="R699" s="65" t="n"/>
      <c r="S699" s="65" t="n"/>
      <c r="T699" s="65" t="n"/>
      <c r="U699" s="65" t="n"/>
      <c r="V699" s="65" t="n"/>
      <c r="W699" s="65" t="n"/>
      <c r="X699" s="66" t="n"/>
      <c r="Y699" s="65" t="n"/>
      <c r="Z699" s="65" t="n"/>
      <c r="AA699" s="65" t="n"/>
      <c r="AB699" s="65" t="n"/>
      <c r="AC699" s="65" t="n"/>
      <c r="AD699" s="65" t="n"/>
      <c r="AE699" s="65" t="n"/>
      <c r="AF699" s="65" t="n"/>
      <c r="AG699" s="65" t="n"/>
      <c r="AH699" s="64" t="n">
        <v>40000</v>
      </c>
      <c r="AI699" s="65" t="n"/>
      <c r="AJ699" s="65" t="n"/>
      <c r="AK699" s="65" t="n"/>
      <c r="AL699" s="65" t="n"/>
      <c r="AM699" s="65" t="n"/>
      <c r="AN699" s="65" t="n"/>
      <c r="AO699" s="65" t="n"/>
      <c r="AP699" s="65" t="n"/>
      <c r="AQ699" s="65" t="n"/>
      <c r="AR699" s="65" t="n"/>
      <c r="AS699" s="65" t="n"/>
      <c r="AT699" s="65" t="n"/>
      <c r="AU699" s="65" t="n"/>
      <c r="AV699" s="65" t="n"/>
      <c r="AW699" s="65" t="n"/>
      <c r="AX699" s="65" t="n"/>
      <c r="AY699" s="65" t="n"/>
      <c r="AZ699" s="65" t="n"/>
      <c r="BA699" s="65" t="n"/>
      <c r="BB699" s="65" t="n"/>
      <c r="BC699" s="65" t="n"/>
      <c r="BD699" s="65" t="n"/>
      <c r="BE699" s="65" t="n"/>
      <c r="BF699" s="65" t="n"/>
      <c r="BG699" s="65" t="n"/>
    </row>
    <row r="700">
      <c r="B700" s="1" t="inlineStr">
        <is>
          <t>広瀬病院</t>
        </is>
      </c>
      <c r="C700" s="1" t="inlineStr">
        <is>
          <t>サステム</t>
        </is>
      </c>
      <c r="D700" s="1" t="inlineStr">
        <is>
          <t>シンク排水漏れ　天井補修　換気扇調整</t>
        </is>
      </c>
      <c r="E700" s="2" t="inlineStr">
        <is>
          <t>3月</t>
        </is>
      </c>
      <c r="F700" s="68" t="n">
        <v>476000</v>
      </c>
      <c r="G700" s="68">
        <f>IF(B700="","",F700-I700 )</f>
        <v/>
      </c>
      <c r="H700" s="5">
        <f>IF(G700="","",G700/F700)</f>
        <v/>
      </c>
      <c r="I700" s="62">
        <f>SUM(テーブル9[[#This Row],[五大]:[工場材]])</f>
        <v/>
      </c>
      <c r="J700" s="65" t="n"/>
      <c r="K700" s="65" t="n"/>
      <c r="L700" s="65" t="n"/>
      <c r="M700" s="65" t="n"/>
      <c r="N700" s="65" t="n"/>
      <c r="O700" s="65" t="n"/>
      <c r="P700" s="65" t="n"/>
      <c r="Q700" s="65" t="n"/>
      <c r="R700" s="65" t="n"/>
      <c r="S700" s="65" t="n"/>
      <c r="T700" s="65" t="n"/>
      <c r="U700" s="65" t="n"/>
      <c r="V700" s="65" t="n"/>
      <c r="W700" s="64" t="n">
        <v>80000</v>
      </c>
      <c r="X700" s="66" t="n">
        <v>12776</v>
      </c>
      <c r="Y700" s="65" t="n"/>
      <c r="Z700" s="65" t="n"/>
      <c r="AA700" s="64" t="n">
        <v>138000</v>
      </c>
      <c r="AB700" s="64" t="n">
        <v>50000</v>
      </c>
      <c r="AC700" s="65" t="n"/>
      <c r="AD700" s="65" t="n"/>
      <c r="AE700" s="65" t="n"/>
      <c r="AF700" s="65" t="n"/>
      <c r="AG700" s="65" t="n"/>
      <c r="AH700" s="64" t="n">
        <v>28000</v>
      </c>
      <c r="AI700" s="65" t="n"/>
      <c r="AJ700" s="65" t="n"/>
      <c r="AK700" s="65" t="n"/>
      <c r="AL700" s="65" t="n"/>
      <c r="AM700" s="65" t="n"/>
      <c r="AN700" s="65" t="n"/>
      <c r="AO700" s="65" t="n"/>
      <c r="AP700" s="65" t="n"/>
      <c r="AQ700" s="65" t="n"/>
      <c r="AR700" s="65" t="n"/>
      <c r="AS700" s="65" t="n"/>
      <c r="AT700" s="65" t="n"/>
      <c r="AU700" s="65" t="n"/>
      <c r="AV700" s="65" t="n"/>
      <c r="AW700" s="65" t="n"/>
      <c r="AX700" s="65" t="n"/>
      <c r="AY700" s="65" t="n"/>
      <c r="AZ700" s="65" t="n"/>
      <c r="BA700" s="65" t="n"/>
      <c r="BB700" s="65" t="n"/>
      <c r="BC700" s="65" t="n"/>
      <c r="BD700" s="65" t="n"/>
      <c r="BE700" s="65" t="n"/>
      <c r="BF700" s="65" t="n"/>
      <c r="BG700" s="65" t="n"/>
    </row>
    <row r="701">
      <c r="B701" s="1" t="inlineStr">
        <is>
          <t>西塚邸</t>
        </is>
      </c>
      <c r="C701" s="1" t="inlineStr">
        <is>
          <t>サステム</t>
        </is>
      </c>
      <c r="D701" s="1" t="inlineStr">
        <is>
          <t>ガーデンパン設置</t>
        </is>
      </c>
      <c r="E701" s="2" t="inlineStr">
        <is>
          <t>2月</t>
        </is>
      </c>
      <c r="F701" s="68" t="n">
        <v>144000</v>
      </c>
      <c r="G701" s="68">
        <f>IF(B701="","",F701-I701 )</f>
        <v/>
      </c>
      <c r="H701" s="5">
        <f>IF(G701="","",G701/F701)</f>
        <v/>
      </c>
      <c r="I701" s="62">
        <f>SUM(テーブル9[[#This Row],[五大]:[工場材]])</f>
        <v/>
      </c>
      <c r="J701" s="65" t="n"/>
      <c r="K701" s="65" t="n"/>
      <c r="L701" s="65" t="n"/>
      <c r="M701" s="65" t="n"/>
      <c r="N701" s="65" t="n"/>
      <c r="O701" s="65" t="n"/>
      <c r="P701" s="65" t="n"/>
      <c r="Q701" s="65" t="n"/>
      <c r="R701" s="65" t="n"/>
      <c r="S701" s="65" t="n"/>
      <c r="T701" s="65" t="n"/>
      <c r="U701" s="65" t="n"/>
      <c r="V701" s="65" t="n"/>
      <c r="W701" s="65" t="n"/>
      <c r="X701" s="66" t="n"/>
      <c r="Y701" s="65" t="n"/>
      <c r="Z701" s="65" t="n"/>
      <c r="AA701" s="65" t="n"/>
      <c r="AB701" s="64" t="n">
        <v>110000</v>
      </c>
      <c r="AC701" s="65" t="n"/>
      <c r="AD701" s="65" t="n"/>
      <c r="AE701" s="65" t="n"/>
      <c r="AF701" s="65" t="n"/>
      <c r="AG701" s="65" t="n"/>
      <c r="AH701" s="65" t="n"/>
      <c r="AI701" s="65" t="n"/>
      <c r="AJ701" s="65" t="n"/>
      <c r="AK701" s="65" t="n"/>
      <c r="AL701" s="65" t="n"/>
      <c r="AM701" s="65" t="n"/>
      <c r="AN701" s="65" t="n"/>
      <c r="AO701" s="65" t="n"/>
      <c r="AP701" s="65" t="n"/>
      <c r="AQ701" s="65" t="n"/>
      <c r="AR701" s="65" t="n"/>
      <c r="AS701" s="65" t="n"/>
      <c r="AT701" s="65" t="n"/>
      <c r="AU701" s="65" t="n"/>
      <c r="AV701" s="65" t="n"/>
      <c r="AW701" s="65" t="n"/>
      <c r="AX701" s="65" t="n"/>
      <c r="AY701" s="65" t="n"/>
      <c r="AZ701" s="65" t="n"/>
      <c r="BA701" s="65" t="n"/>
      <c r="BB701" s="65" t="n"/>
      <c r="BC701" s="65" t="n"/>
      <c r="BD701" s="65" t="n"/>
      <c r="BE701" s="65" t="n"/>
      <c r="BF701" s="65" t="n"/>
      <c r="BG701" s="65" t="n"/>
    </row>
    <row r="702">
      <c r="B702" s="1" t="inlineStr">
        <is>
          <t>冨士機材</t>
        </is>
      </c>
      <c r="C702" s="1" t="inlineStr">
        <is>
          <t>サステム</t>
        </is>
      </c>
      <c r="D702" s="1" t="inlineStr">
        <is>
          <t>床工事</t>
        </is>
      </c>
      <c r="E702" s="2" t="inlineStr">
        <is>
          <t>2月</t>
        </is>
      </c>
      <c r="F702" s="68" t="n">
        <v>1500000</v>
      </c>
      <c r="G702" s="68">
        <f>IF(B702="","",F702-I702 )</f>
        <v/>
      </c>
      <c r="H702" s="5">
        <f>IF(G702="","",G702/F702)</f>
        <v/>
      </c>
      <c r="I702" s="62">
        <f>SUM(テーブル9[[#This Row],[五大]:[工場材]])</f>
        <v/>
      </c>
      <c r="J702" s="65" t="n"/>
      <c r="K702" s="65" t="n"/>
      <c r="L702" s="65" t="n"/>
      <c r="M702" s="65" t="n"/>
      <c r="N702" s="65" t="n"/>
      <c r="O702" s="65" t="n"/>
      <c r="P702" s="65" t="n"/>
      <c r="Q702" s="65" t="n"/>
      <c r="R702" s="65" t="n"/>
      <c r="S702" s="65" t="n"/>
      <c r="T702" s="65" t="n"/>
      <c r="U702" s="65" t="n"/>
      <c r="V702" s="65" t="n"/>
      <c r="W702" s="65" t="n"/>
      <c r="X702" s="66" t="n"/>
      <c r="Y702" s="65" t="n"/>
      <c r="Z702" s="65" t="n"/>
      <c r="AA702" s="65" t="n"/>
      <c r="AB702" s="65" t="n"/>
      <c r="AC702" s="65" t="n"/>
      <c r="AD702" s="65" t="n"/>
      <c r="AE702" s="65" t="n"/>
      <c r="AF702" s="65" t="n"/>
      <c r="AG702" s="65" t="n"/>
      <c r="AH702" s="64" t="n">
        <v>1036898</v>
      </c>
      <c r="AI702" s="65" t="n"/>
      <c r="AJ702" s="65" t="n"/>
      <c r="AK702" s="65" t="n"/>
      <c r="AL702" s="65" t="n"/>
      <c r="AM702" s="65" t="n"/>
      <c r="AN702" s="65" t="n"/>
      <c r="AO702" s="65" t="n"/>
      <c r="AP702" s="65" t="n"/>
      <c r="AQ702" s="65" t="n"/>
      <c r="AR702" s="65" t="n"/>
      <c r="AS702" s="65" t="n"/>
      <c r="AT702" s="65" t="n"/>
      <c r="AU702" s="65" t="n"/>
      <c r="AV702" s="65" t="n"/>
      <c r="AW702" s="65" t="n"/>
      <c r="AX702" s="65" t="n"/>
      <c r="AY702" s="65" t="n"/>
      <c r="AZ702" s="65" t="n"/>
      <c r="BA702" s="65" t="n"/>
      <c r="BB702" s="65" t="n"/>
      <c r="BC702" s="65" t="n"/>
      <c r="BD702" s="65" t="n"/>
      <c r="BE702" s="65" t="n"/>
      <c r="BF702" s="65" t="n"/>
      <c r="BG702" s="65" t="n"/>
    </row>
    <row r="703">
      <c r="B703" s="1" t="inlineStr">
        <is>
          <t>奥山クリーニング</t>
        </is>
      </c>
      <c r="C703" s="1" t="inlineStr">
        <is>
          <t>光和工業</t>
        </is>
      </c>
      <c r="D703" s="1" t="inlineStr">
        <is>
          <t>壁塞ぎ</t>
        </is>
      </c>
      <c r="E703" s="2" t="inlineStr">
        <is>
          <t>3月</t>
        </is>
      </c>
      <c r="F703" s="68" t="n">
        <v>325600</v>
      </c>
      <c r="G703" s="68">
        <f>IF(B703="","",F703-I703 )</f>
        <v/>
      </c>
      <c r="H703" s="5">
        <f>IF(G703="","",G703/F703)</f>
        <v/>
      </c>
      <c r="I703" s="62">
        <f>SUM(テーブル9[[#This Row],[五大]:[工場材]])</f>
        <v/>
      </c>
      <c r="J703" s="65" t="n"/>
      <c r="K703" s="65" t="n"/>
      <c r="L703" s="65" t="n"/>
      <c r="M703" s="65" t="n"/>
      <c r="N703" s="65" t="n"/>
      <c r="O703" s="65" t="n"/>
      <c r="P703" s="65" t="n"/>
      <c r="Q703" s="65" t="n"/>
      <c r="R703" s="65" t="n"/>
      <c r="S703" s="65" t="n"/>
      <c r="T703" s="65" t="n"/>
      <c r="U703" s="65" t="n"/>
      <c r="V703" s="65" t="n"/>
      <c r="W703" s="64" t="n">
        <v>150000</v>
      </c>
      <c r="X703" s="66" t="n">
        <v>37735</v>
      </c>
      <c r="Y703" s="65" t="n"/>
      <c r="Z703" s="65" t="n"/>
      <c r="AA703" s="65" t="n"/>
      <c r="AB703" s="65" t="n"/>
      <c r="AC703" s="65" t="n"/>
      <c r="AD703" s="65" t="n"/>
      <c r="AE703" s="65" t="n"/>
      <c r="AF703" s="65" t="n"/>
      <c r="AG703" s="65" t="n"/>
      <c r="AH703" s="65" t="n"/>
      <c r="AI703" s="65" t="n"/>
      <c r="AJ703" s="65" t="n"/>
      <c r="AK703" s="65" t="n"/>
      <c r="AL703" s="65" t="n"/>
      <c r="AM703" s="65" t="n"/>
      <c r="AN703" s="65" t="n"/>
      <c r="AO703" s="65" t="n">
        <v>8550</v>
      </c>
      <c r="AP703" s="65" t="n"/>
      <c r="AQ703" s="65" t="n"/>
      <c r="AR703" s="65" t="n"/>
      <c r="AS703" s="65" t="n"/>
      <c r="AT703" s="65" t="n"/>
      <c r="AU703" s="65" t="n"/>
      <c r="AV703" s="65" t="n"/>
      <c r="AW703" s="65" t="n"/>
      <c r="AX703" s="65" t="n"/>
      <c r="AY703" s="65" t="n"/>
      <c r="AZ703" s="65" t="n"/>
      <c r="BA703" s="65" t="n"/>
      <c r="BB703" s="65" t="n"/>
      <c r="BC703" s="65" t="n"/>
      <c r="BD703" s="65" t="n"/>
      <c r="BE703" s="65" t="n"/>
      <c r="BF703" s="65" t="n"/>
      <c r="BG703" s="65" t="n"/>
    </row>
    <row r="704">
      <c r="B704" s="1" t="inlineStr">
        <is>
          <t>塩川邸</t>
        </is>
      </c>
      <c r="C704" s="1" t="inlineStr">
        <is>
          <t>サステム</t>
        </is>
      </c>
      <c r="D704" s="1" t="inlineStr">
        <is>
          <t>トイレ工事</t>
        </is>
      </c>
      <c r="E704" s="2" t="inlineStr">
        <is>
          <t>3月</t>
        </is>
      </c>
      <c r="F704" s="68" t="n">
        <v>250000</v>
      </c>
      <c r="G704" s="68">
        <f>IF(B704="","",F704-I704 )</f>
        <v/>
      </c>
      <c r="H704" s="5">
        <f>IF(G704="","",G704/F704)</f>
        <v/>
      </c>
      <c r="I704" s="62">
        <f>SUM(テーブル9[[#This Row],[五大]:[工場材]])</f>
        <v/>
      </c>
      <c r="J704" s="65" t="n"/>
      <c r="K704" s="65" t="n"/>
      <c r="L704" s="65" t="n"/>
      <c r="M704" s="65" t="n"/>
      <c r="N704" s="65" t="n"/>
      <c r="O704" s="65" t="n"/>
      <c r="P704" s="65" t="n"/>
      <c r="Q704" s="65" t="n"/>
      <c r="R704" s="65" t="n"/>
      <c r="S704" s="65" t="n"/>
      <c r="T704" s="65" t="n"/>
      <c r="U704" s="65" t="n"/>
      <c r="V704" s="65" t="n"/>
      <c r="W704" s="65" t="n"/>
      <c r="X704" s="66" t="n"/>
      <c r="Y704" s="65" t="n"/>
      <c r="Z704" s="65" t="n"/>
      <c r="AA704" s="65" t="n"/>
      <c r="AB704" s="64" t="n">
        <v>30000</v>
      </c>
      <c r="AC704" s="65" t="n"/>
      <c r="AD704" s="64" t="n">
        <v>50000</v>
      </c>
      <c r="AE704" s="65" t="n"/>
      <c r="AF704" s="65" t="n"/>
      <c r="AG704" s="65" t="n"/>
      <c r="AH704" s="64" t="n">
        <v>40000</v>
      </c>
      <c r="AI704" s="65" t="n"/>
      <c r="AJ704" s="65" t="n"/>
      <c r="AK704" s="65" t="n"/>
      <c r="AL704" s="65" t="n"/>
      <c r="AM704" s="65" t="n"/>
      <c r="AN704" s="65" t="n"/>
      <c r="AO704" s="65" t="n"/>
      <c r="AP704" s="65" t="n"/>
      <c r="AQ704" s="65" t="n"/>
      <c r="AR704" s="65" t="n"/>
      <c r="AS704" s="65" t="n"/>
      <c r="AT704" s="65" t="n"/>
      <c r="AU704" s="65" t="n"/>
      <c r="AV704" s="65" t="n"/>
      <c r="AW704" s="65" t="n"/>
      <c r="AX704" s="65" t="n"/>
      <c r="AY704" s="65" t="n"/>
      <c r="AZ704" s="65" t="n"/>
      <c r="BA704" s="65" t="n"/>
      <c r="BB704" s="65" t="n"/>
      <c r="BC704" s="65" t="n"/>
      <c r="BD704" s="65" t="n"/>
      <c r="BE704" s="65" t="n"/>
      <c r="BF704" s="65" t="n"/>
      <c r="BG704" s="65" t="n"/>
    </row>
    <row r="705">
      <c r="B705" s="1" t="inlineStr">
        <is>
          <t>ハイツファインロード漏水</t>
        </is>
      </c>
      <c r="C705" s="1" t="inlineStr">
        <is>
          <t>光和工業</t>
        </is>
      </c>
      <c r="D705" s="1" t="inlineStr">
        <is>
          <t>UB漏水</t>
        </is>
      </c>
      <c r="E705" s="2" t="inlineStr">
        <is>
          <t>3月</t>
        </is>
      </c>
      <c r="F705" s="68" t="n"/>
      <c r="G705" s="68">
        <f>IF(B705="","",F705-I705 )</f>
        <v/>
      </c>
      <c r="H705" s="5">
        <f>IF(G705="","",G705/F705)</f>
        <v/>
      </c>
      <c r="I705" s="62">
        <f>SUM(テーブル9[[#This Row],[五大]:[工場材]])</f>
        <v/>
      </c>
      <c r="J705" s="65" t="n"/>
      <c r="K705" s="65" t="n"/>
      <c r="L705" s="65" t="n"/>
      <c r="M705" s="65" t="n"/>
      <c r="N705" s="65" t="n"/>
      <c r="O705" s="65" t="n"/>
      <c r="P705" s="65" t="n"/>
      <c r="Q705" s="65" t="n"/>
      <c r="R705" s="65" t="n"/>
      <c r="S705" s="65" t="n"/>
      <c r="T705" s="65" t="n"/>
      <c r="U705" s="65" t="n"/>
      <c r="V705" s="65" t="n"/>
      <c r="W705" s="64" t="n">
        <v>45000</v>
      </c>
      <c r="X705" s="66" t="n">
        <v>3496</v>
      </c>
      <c r="Y705" s="65" t="n"/>
      <c r="Z705" s="65" t="n"/>
      <c r="AA705" s="65" t="n"/>
      <c r="AB705" s="65" t="n">
        <v>5000</v>
      </c>
      <c r="AC705" s="65" t="n"/>
      <c r="AD705" s="65" t="n"/>
      <c r="AE705" s="65" t="n"/>
      <c r="AF705" s="65" t="n"/>
      <c r="AG705" s="65" t="n"/>
      <c r="AH705" s="65" t="n"/>
      <c r="AI705" s="65" t="n"/>
      <c r="AJ705" s="65" t="n"/>
      <c r="AK705" s="65" t="n"/>
      <c r="AL705" s="65" t="n"/>
      <c r="AM705" s="65" t="n"/>
      <c r="AN705" s="65" t="n"/>
      <c r="AO705" s="65" t="n"/>
      <c r="AP705" s="65" t="n"/>
      <c r="AQ705" s="65" t="n"/>
      <c r="AR705" s="65" t="n"/>
      <c r="AS705" s="65" t="n"/>
      <c r="AT705" s="65" t="n"/>
      <c r="AU705" s="65" t="n"/>
      <c r="AV705" s="65" t="n"/>
      <c r="AW705" s="65" t="n"/>
      <c r="AX705" s="65" t="n"/>
      <c r="AY705" s="65" t="n"/>
      <c r="AZ705" s="65" t="n"/>
      <c r="BA705" s="65" t="n"/>
      <c r="BB705" s="65" t="n"/>
      <c r="BC705" s="65" t="n"/>
      <c r="BD705" s="65" t="n"/>
      <c r="BE705" s="65" t="n"/>
      <c r="BF705" s="65" t="n"/>
      <c r="BG705" s="65" t="n"/>
    </row>
    <row r="706">
      <c r="B706" s="1" t="inlineStr">
        <is>
          <t>ナイスアーバンステイツ南仙台</t>
        </is>
      </c>
      <c r="C706" s="1" t="inlineStr">
        <is>
          <t>LIXIL</t>
        </is>
      </c>
      <c r="D706" s="1" t="inlineStr">
        <is>
          <t>ユニット解体</t>
        </is>
      </c>
      <c r="E706" s="2" t="inlineStr">
        <is>
          <t>4月</t>
        </is>
      </c>
      <c r="F706" s="68" t="n">
        <v>77150</v>
      </c>
      <c r="G706" s="68">
        <f>IF(B706="","",F706-I706 )</f>
        <v/>
      </c>
      <c r="H706" s="5">
        <f>IF(G706="","",G706/F706)</f>
        <v/>
      </c>
      <c r="I706" s="62">
        <f>SUM(テーブル9[[#This Row],[五大]:[工場材]])</f>
        <v/>
      </c>
      <c r="J706" s="65" t="n"/>
      <c r="K706" s="65" t="n"/>
      <c r="L706" s="65" t="n"/>
      <c r="M706" s="65" t="n"/>
      <c r="N706" s="65" t="n"/>
      <c r="O706" s="65" t="n"/>
      <c r="P706" s="65" t="n"/>
      <c r="Q706" s="65" t="n"/>
      <c r="R706" s="65" t="n"/>
      <c r="S706" s="65" t="n"/>
      <c r="T706" s="65" t="n"/>
      <c r="U706" s="65" t="n"/>
      <c r="V706" s="65" t="n"/>
      <c r="W706" s="65" t="n"/>
      <c r="X706" s="66" t="n"/>
      <c r="Y706" s="65" t="n"/>
      <c r="Z706" s="65" t="n"/>
      <c r="AA706" s="64" t="n">
        <v>25000</v>
      </c>
      <c r="AB706" s="64" t="n">
        <v>40000</v>
      </c>
      <c r="AC706" s="65" t="n"/>
      <c r="AD706" s="64" t="n"/>
      <c r="AE706" s="65" t="n"/>
      <c r="AF706" s="65" t="n"/>
      <c r="AG706" s="65" t="n"/>
      <c r="AH706" s="65" t="n"/>
      <c r="AI706" s="65" t="n"/>
      <c r="AJ706" s="65" t="n"/>
      <c r="AK706" s="65" t="n"/>
      <c r="AL706" s="65" t="n"/>
      <c r="AM706" s="65" t="n"/>
      <c r="AN706" s="65" t="n"/>
      <c r="AO706" s="65" t="n"/>
      <c r="AP706" s="65" t="n"/>
      <c r="AQ706" s="65" t="n"/>
      <c r="AR706" s="65" t="n"/>
      <c r="AS706" s="65" t="n"/>
      <c r="AT706" s="65" t="n"/>
      <c r="AU706" s="65" t="n"/>
      <c r="AV706" s="65" t="n"/>
      <c r="AW706" s="65" t="n"/>
      <c r="AX706" s="65" t="n"/>
      <c r="AY706" s="65" t="n"/>
      <c r="AZ706" s="65" t="n"/>
      <c r="BA706" s="65" t="n"/>
      <c r="BB706" s="65" t="n"/>
      <c r="BC706" s="65" t="n"/>
      <c r="BD706" s="65" t="n"/>
      <c r="BE706" s="65" t="n"/>
      <c r="BF706" s="65" t="n"/>
      <c r="BG706" s="65" t="n"/>
    </row>
    <row r="707">
      <c r="B707" s="1" t="inlineStr">
        <is>
          <t>自由ヶ丘　大沼邸</t>
        </is>
      </c>
      <c r="C707" s="1" t="inlineStr">
        <is>
          <t>LIXIL</t>
        </is>
      </c>
      <c r="D707" s="1" t="inlineStr">
        <is>
          <t>ユニット交換+SK交換</t>
        </is>
      </c>
      <c r="E707" s="2" t="inlineStr">
        <is>
          <t>4月</t>
        </is>
      </c>
      <c r="F707" s="68" t="n">
        <v>863217</v>
      </c>
      <c r="G707" s="68">
        <f>IF(B707="","",F707-I707 )</f>
        <v/>
      </c>
      <c r="H707" s="5">
        <f>IF(G707="","",G707/F707)</f>
        <v/>
      </c>
      <c r="I707" s="62">
        <f>SUM(テーブル9[[#This Row],[五大]:[工場材]])</f>
        <v/>
      </c>
      <c r="J707" s="65" t="n"/>
      <c r="K707" s="65" t="n"/>
      <c r="L707" s="65" t="n"/>
      <c r="M707" s="65" t="n"/>
      <c r="N707" s="65" t="n"/>
      <c r="O707" s="65" t="n"/>
      <c r="P707" s="65" t="n"/>
      <c r="Q707" s="65" t="n"/>
      <c r="R707" s="65" t="n"/>
      <c r="S707" s="65" t="n"/>
      <c r="T707" s="65" t="n"/>
      <c r="U707" s="65" t="n"/>
      <c r="V707" s="65" t="n"/>
      <c r="W707" s="65">
        <f>200000*0.8</f>
        <v/>
      </c>
      <c r="X707" s="66" t="n">
        <v>35524</v>
      </c>
      <c r="Y707" s="65" t="n"/>
      <c r="Z707" s="65" t="n"/>
      <c r="AA707" s="64" t="n">
        <v>90000</v>
      </c>
      <c r="AB707" s="64" t="n">
        <v>312000</v>
      </c>
      <c r="AC707" s="65" t="n"/>
      <c r="AD707" s="65" t="n"/>
      <c r="AE707" s="65" t="n"/>
      <c r="AF707" s="65" t="n"/>
      <c r="AG707" s="65" t="n"/>
      <c r="AH707" s="64" t="n">
        <v>65000</v>
      </c>
      <c r="AI707" s="65" t="n"/>
      <c r="AJ707" s="65" t="n"/>
      <c r="AK707" s="65" t="n"/>
      <c r="AL707" s="65" t="n"/>
      <c r="AM707" s="65" t="n"/>
      <c r="AN707" s="65" t="n"/>
      <c r="AO707" s="65" t="n"/>
      <c r="AP707" s="65" t="n"/>
      <c r="AQ707" s="65" t="n"/>
      <c r="AR707" s="65" t="n"/>
      <c r="AS707" s="65" t="n"/>
      <c r="AT707" s="65" t="n"/>
      <c r="AU707" s="65" t="n"/>
      <c r="AV707" s="65" t="n"/>
      <c r="AW707" s="65" t="n"/>
      <c r="AX707" s="65" t="n"/>
      <c r="AY707" s="65" t="n"/>
      <c r="AZ707" s="65" t="n"/>
      <c r="BA707" s="65" t="n"/>
      <c r="BB707" s="65" t="n"/>
      <c r="BC707" s="65" t="n"/>
      <c r="BD707" s="65" t="n"/>
      <c r="BE707" s="65" t="n"/>
      <c r="BF707" s="65" t="n"/>
      <c r="BG707" s="65" t="n"/>
    </row>
    <row r="708">
      <c r="B708" s="1" t="inlineStr">
        <is>
          <t>明石台　石井邸</t>
        </is>
      </c>
      <c r="C708" s="1" t="inlineStr">
        <is>
          <t>LIXIL</t>
        </is>
      </c>
      <c r="D708" s="1" t="inlineStr">
        <is>
          <t>内装・トイレ・玄関塗装</t>
        </is>
      </c>
      <c r="E708" s="2" t="inlineStr">
        <is>
          <t>4月</t>
        </is>
      </c>
      <c r="F708" s="68" t="n">
        <v>510600</v>
      </c>
      <c r="G708" s="68">
        <f>IF(B708="","",F708-I708 )</f>
        <v/>
      </c>
      <c r="H708" s="5">
        <f>IF(G708="","",G708/F708)</f>
        <v/>
      </c>
      <c r="I708" s="62">
        <f>SUM(テーブル9[[#This Row],[五大]:[工場材]])</f>
        <v/>
      </c>
      <c r="J708" s="65" t="n"/>
      <c r="K708" s="65" t="n"/>
      <c r="L708" s="65" t="n"/>
      <c r="M708" s="65" t="n"/>
      <c r="N708" s="64" t="n">
        <v>40000</v>
      </c>
      <c r="O708" s="65" t="n"/>
      <c r="P708" s="65" t="n"/>
      <c r="Q708" s="65" t="n"/>
      <c r="R708" s="65" t="n"/>
      <c r="S708" s="65" t="n"/>
      <c r="T708" s="65" t="n"/>
      <c r="U708" s="64" t="n">
        <v>9700</v>
      </c>
      <c r="V708" s="65" t="n"/>
      <c r="W708" s="64" t="n">
        <v>25000</v>
      </c>
      <c r="X708" s="66" t="n"/>
      <c r="Y708" s="65" t="n"/>
      <c r="Z708" s="65" t="n"/>
      <c r="AA708" s="64">
        <f>49000+27000</f>
        <v/>
      </c>
      <c r="AB708" s="64" t="n">
        <v>104000</v>
      </c>
      <c r="AC708" s="65" t="n"/>
      <c r="AD708" s="65" t="n"/>
      <c r="AE708" s="65" t="n"/>
      <c r="AF708" s="65" t="n"/>
      <c r="AG708" s="65" t="n"/>
      <c r="AH708" s="64" t="n">
        <v>95500</v>
      </c>
      <c r="AI708" s="65" t="n"/>
      <c r="AJ708" s="65" t="n"/>
      <c r="AK708" s="65" t="n"/>
      <c r="AL708" s="65" t="n"/>
      <c r="AM708" s="65" t="n"/>
      <c r="AN708" s="65" t="n"/>
      <c r="AO708" s="65" t="n"/>
      <c r="AP708" s="65" t="n"/>
      <c r="AQ708" s="65" t="n"/>
      <c r="AR708" s="65" t="n"/>
      <c r="AS708" s="65" t="n"/>
      <c r="AT708" s="65" t="n"/>
      <c r="AU708" s="65" t="n"/>
      <c r="AV708" s="65" t="n"/>
      <c r="AW708" s="65" t="n"/>
      <c r="AX708" s="65" t="n"/>
      <c r="AY708" s="65" t="n"/>
      <c r="AZ708" s="65" t="n"/>
      <c r="BA708" s="65" t="n"/>
      <c r="BB708" s="65" t="n"/>
      <c r="BC708" s="65" t="n"/>
      <c r="BD708" s="65" t="n"/>
      <c r="BE708" s="65" t="n"/>
      <c r="BF708" s="65" t="n"/>
      <c r="BG708" s="65" t="n"/>
    </row>
    <row r="709">
      <c r="B709" s="1" t="inlineStr">
        <is>
          <t>ドルチェB202</t>
        </is>
      </c>
      <c r="C709" s="1" t="inlineStr">
        <is>
          <t>国立音楽院</t>
        </is>
      </c>
      <c r="D709" s="1" t="inlineStr">
        <is>
          <t>トイレ交換</t>
        </is>
      </c>
      <c r="E709" s="2" t="inlineStr">
        <is>
          <t>4月</t>
        </is>
      </c>
      <c r="F709" s="68" t="n">
        <v>124000</v>
      </c>
      <c r="G709" s="68">
        <f>IF(B709="","",F709-I709 )</f>
        <v/>
      </c>
      <c r="H709" s="5">
        <f>IF(G709="","",G709/F709)</f>
        <v/>
      </c>
      <c r="I709" s="62">
        <f>SUM(テーブル9[[#This Row],[五大]:[工場材]])</f>
        <v/>
      </c>
      <c r="J709" s="65" t="n"/>
      <c r="K709" s="65" t="n"/>
      <c r="L709" s="65" t="n"/>
      <c r="M709" s="65" t="n"/>
      <c r="N709" s="65" t="n"/>
      <c r="O709" s="65" t="n"/>
      <c r="P709" s="65" t="n"/>
      <c r="Q709" s="65" t="n"/>
      <c r="R709" s="65" t="n"/>
      <c r="S709" s="65" t="n"/>
      <c r="T709" s="65" t="n"/>
      <c r="U709" s="65" t="n"/>
      <c r="V709" s="65" t="n"/>
      <c r="W709" s="65" t="n"/>
      <c r="X709" s="66" t="n"/>
      <c r="Y709" s="65" t="n"/>
      <c r="Z709" s="65" t="n"/>
      <c r="AA709" s="65" t="n"/>
      <c r="AB709" s="64" t="n">
        <v>27000</v>
      </c>
      <c r="AC709" s="65" t="n"/>
      <c r="AD709" s="65" t="n"/>
      <c r="AE709" s="65" t="n"/>
      <c r="AF709" s="65" t="n"/>
      <c r="AG709" s="65" t="n"/>
      <c r="AH709" s="65" t="n"/>
      <c r="AI709" s="65" t="n"/>
      <c r="AJ709" s="65" t="n"/>
      <c r="AK709" s="65" t="n"/>
      <c r="AL709" s="65" t="n"/>
      <c r="AM709" s="65" t="n"/>
      <c r="AN709" s="65" t="n"/>
      <c r="AO709" s="65" t="n"/>
      <c r="AP709" s="64">
        <f>19710+21240</f>
        <v/>
      </c>
      <c r="AQ709" s="65" t="n"/>
      <c r="AR709" s="65" t="n"/>
      <c r="AS709" s="65" t="n"/>
      <c r="AT709" s="65" t="n"/>
      <c r="AU709" s="65" t="n"/>
      <c r="AV709" s="65" t="n"/>
      <c r="AW709" s="65" t="n"/>
      <c r="AX709" s="65" t="n"/>
      <c r="AY709" s="65" t="n"/>
      <c r="AZ709" s="65" t="n"/>
      <c r="BA709" s="65" t="n"/>
      <c r="BB709" s="65" t="n"/>
      <c r="BC709" s="65" t="n"/>
      <c r="BD709" s="65" t="n"/>
      <c r="BE709" s="65" t="n"/>
      <c r="BF709" s="65" t="n"/>
      <c r="BG709" s="65" t="n"/>
    </row>
    <row r="710">
      <c r="B710" s="1" t="inlineStr">
        <is>
          <t>富ヶ丘　本多邸</t>
        </is>
      </c>
      <c r="C710" s="1" t="inlineStr">
        <is>
          <t>光和工業</t>
        </is>
      </c>
      <c r="D710" s="1" t="inlineStr">
        <is>
          <t>内装補修</t>
        </is>
      </c>
      <c r="E710" s="2" t="inlineStr">
        <is>
          <t>4月</t>
        </is>
      </c>
      <c r="F710" s="68" t="n">
        <v>87000</v>
      </c>
      <c r="G710" s="68">
        <f>IF(B710="","",F710-I710 )</f>
        <v/>
      </c>
      <c r="H710" s="5">
        <f>IF(G710="","",G710/F710)</f>
        <v/>
      </c>
      <c r="I710" s="62">
        <f>SUM(テーブル9[[#This Row],[五大]:[工場材]])</f>
        <v/>
      </c>
      <c r="J710" s="65" t="n"/>
      <c r="K710" s="65" t="n"/>
      <c r="L710" s="65" t="n"/>
      <c r="M710" s="65" t="n"/>
      <c r="N710" s="65" t="n"/>
      <c r="O710" s="65" t="n"/>
      <c r="P710" s="65" t="n"/>
      <c r="Q710" s="65" t="n"/>
      <c r="R710" s="65" t="n"/>
      <c r="S710" s="65" t="n"/>
      <c r="T710" s="65" t="n"/>
      <c r="U710" s="65" t="n"/>
      <c r="V710" s="65" t="n"/>
      <c r="W710" s="64" t="n">
        <v>20000</v>
      </c>
      <c r="X710" s="66" t="n"/>
      <c r="Y710" s="65" t="n"/>
      <c r="Z710" s="65" t="n"/>
      <c r="AA710" s="65" t="n"/>
      <c r="AB710" s="65" t="n"/>
      <c r="AC710" s="65" t="n"/>
      <c r="AD710" s="65" t="n"/>
      <c r="AE710" s="65" t="n"/>
      <c r="AF710" s="65" t="n"/>
      <c r="AG710" s="65" t="n"/>
      <c r="AH710" s="64">
        <f>18000</f>
        <v/>
      </c>
      <c r="AI710" s="65" t="n"/>
      <c r="AJ710" s="65" t="n"/>
      <c r="AK710" s="65" t="n"/>
      <c r="AL710" s="65" t="n"/>
      <c r="AM710" s="65" t="n"/>
      <c r="AN710" s="65" t="n"/>
      <c r="AO710" s="65" t="n"/>
      <c r="AP710" s="65" t="n"/>
      <c r="AQ710" s="65" t="n"/>
      <c r="AR710" s="65" t="n"/>
      <c r="AS710" s="65" t="n"/>
      <c r="AT710" s="65" t="n"/>
      <c r="AU710" s="65" t="n"/>
      <c r="AV710" s="65" t="n"/>
      <c r="AW710" s="65" t="n"/>
      <c r="AX710" s="65" t="n"/>
      <c r="AY710" s="65" t="n"/>
      <c r="AZ710" s="65" t="n"/>
      <c r="BA710" s="65" t="n"/>
      <c r="BB710" s="65" t="n"/>
      <c r="BC710" s="65" t="n"/>
      <c r="BD710" s="65" t="n"/>
      <c r="BE710" s="65" t="n"/>
      <c r="BF710" s="65" t="n"/>
      <c r="BG710" s="65" t="n"/>
    </row>
    <row r="711">
      <c r="B711" s="1" t="inlineStr">
        <is>
          <t>STAY TOYOMA</t>
        </is>
      </c>
      <c r="C711" s="1" t="inlineStr">
        <is>
          <t>光和工業</t>
        </is>
      </c>
      <c r="D711" s="1" t="inlineStr">
        <is>
          <t>洗濯機・乾燥機設置</t>
        </is>
      </c>
      <c r="E711" s="2" t="inlineStr">
        <is>
          <t>4月</t>
        </is>
      </c>
      <c r="F711" s="68" t="n">
        <v>547000</v>
      </c>
      <c r="G711" s="68">
        <f>IF(B711="","",F711-I711 )</f>
        <v/>
      </c>
      <c r="H711" s="5">
        <f>IF(G711="","",G711/F711)</f>
        <v/>
      </c>
      <c r="I711" s="62">
        <f>SUM(テーブル9[[#This Row],[五大]:[工場材]])</f>
        <v/>
      </c>
      <c r="J711" s="65" t="n"/>
      <c r="K711" s="65" t="n"/>
      <c r="L711" s="65" t="n"/>
      <c r="M711" s="65" t="n"/>
      <c r="N711" s="65" t="n"/>
      <c r="O711" s="65" t="n"/>
      <c r="P711" s="65" t="n"/>
      <c r="Q711" s="65" t="n"/>
      <c r="R711" s="65" t="n"/>
      <c r="S711" s="65" t="n"/>
      <c r="T711" s="65" t="n"/>
      <c r="U711" s="65" t="n"/>
      <c r="V711" s="65" t="n"/>
      <c r="W711" s="65" t="n"/>
      <c r="X711" s="66" t="n"/>
      <c r="Y711" s="65" t="n"/>
      <c r="Z711" s="65" t="n"/>
      <c r="AA711" s="65" t="n"/>
      <c r="AB711" s="65" t="n"/>
      <c r="AC711" s="65" t="n"/>
      <c r="AD711" s="65" t="n"/>
      <c r="AE711" s="65" t="n"/>
      <c r="AF711" s="65" t="n"/>
      <c r="AG711" s="65" t="n"/>
      <c r="AH711" s="65" t="n"/>
      <c r="AI711" s="65" t="n"/>
      <c r="AJ711" s="65" t="n"/>
      <c r="AK711" s="65" t="n"/>
      <c r="AL711" s="65" t="n"/>
      <c r="AM711" s="65" t="n"/>
      <c r="AN711" s="65" t="n"/>
      <c r="AO711" s="65" t="n"/>
      <c r="AP711" s="64">
        <f>124800+2100+12460</f>
        <v/>
      </c>
      <c r="AQ711" s="65" t="n"/>
      <c r="AR711" s="65" t="n"/>
      <c r="AS711" s="65" t="n"/>
      <c r="AT711" s="65" t="n"/>
      <c r="AU711" s="65" t="n"/>
      <c r="AV711" s="65" t="n"/>
      <c r="AW711" s="65" t="n"/>
      <c r="AX711" s="65" t="n"/>
      <c r="AY711" s="65" t="n"/>
      <c r="AZ711" s="65" t="n"/>
      <c r="BA711" s="65" t="n"/>
      <c r="BB711" s="65" t="n"/>
      <c r="BC711" s="65" t="n"/>
      <c r="BD711" s="65" t="n"/>
      <c r="BE711" s="65" t="n"/>
      <c r="BF711" s="65" t="n"/>
      <c r="BG711" s="65" t="n"/>
    </row>
    <row r="712">
      <c r="B712" s="1" t="inlineStr">
        <is>
          <t>ドルチェB</t>
        </is>
      </c>
      <c r="C712" s="1" t="inlineStr">
        <is>
          <t>光和工業</t>
        </is>
      </c>
      <c r="D712" s="1" t="inlineStr">
        <is>
          <t>屋根飛び被害復旧</t>
        </is>
      </c>
      <c r="E712" s="2" t="inlineStr">
        <is>
          <t>4月</t>
        </is>
      </c>
      <c r="F712" s="68" t="n"/>
      <c r="G712" s="68">
        <f>IF(B712="","",F712-I712 )</f>
        <v/>
      </c>
      <c r="H712" s="5">
        <f>IF(G712="","",G712/F712)</f>
        <v/>
      </c>
      <c r="I712" s="62">
        <f>SUM(テーブル9[[#This Row],[五大]:[工場材]])</f>
        <v/>
      </c>
      <c r="J712" s="65" t="n"/>
      <c r="K712" s="65" t="n"/>
      <c r="L712" s="65" t="n"/>
      <c r="M712" s="65" t="n"/>
      <c r="N712" s="65" t="n"/>
      <c r="O712" s="65" t="n"/>
      <c r="P712" s="65" t="n"/>
      <c r="Q712" s="65" t="n"/>
      <c r="R712" s="65" t="n"/>
      <c r="S712" s="65" t="n"/>
      <c r="T712" s="65" t="n"/>
      <c r="U712" s="65" t="n"/>
      <c r="V712" s="65" t="n"/>
      <c r="W712" s="64" t="n">
        <v>50000</v>
      </c>
      <c r="X712" s="66" t="n">
        <v>61365</v>
      </c>
      <c r="Y712" s="65" t="n"/>
      <c r="Z712" s="65" t="n"/>
      <c r="AA712" s="65" t="n"/>
      <c r="AB712" s="65" t="n"/>
      <c r="AC712" s="65" t="n"/>
      <c r="AD712" s="65" t="n"/>
      <c r="AE712" s="65" t="n"/>
      <c r="AF712" s="65" t="n"/>
      <c r="AG712" s="65" t="n"/>
      <c r="AH712" s="65" t="n"/>
      <c r="AI712" s="65" t="n"/>
      <c r="AJ712" s="65" t="n"/>
      <c r="AK712" s="65" t="n"/>
      <c r="AL712" s="65" t="n"/>
      <c r="AM712" s="65" t="n"/>
      <c r="AN712" s="65" t="n"/>
      <c r="AO712" s="65" t="n"/>
      <c r="AP712" s="65" t="n"/>
      <c r="AQ712" s="65" t="n"/>
      <c r="AR712" s="65" t="n"/>
      <c r="AS712" s="65" t="n"/>
      <c r="AT712" s="65" t="n"/>
      <c r="AU712" s="65" t="n"/>
      <c r="AV712" s="65" t="n"/>
      <c r="AW712" s="65" t="n"/>
      <c r="AX712" s="65" t="n"/>
      <c r="AY712" s="65" t="n"/>
      <c r="AZ712" s="65" t="n"/>
      <c r="BA712" s="65" t="n"/>
      <c r="BB712" s="65" t="n"/>
      <c r="BC712" s="65" t="n"/>
      <c r="BD712" s="65" t="n"/>
      <c r="BE712" s="65" t="n"/>
      <c r="BF712" s="65" t="n"/>
      <c r="BG712" s="65" t="n"/>
    </row>
    <row r="713">
      <c r="B713" s="1" t="inlineStr">
        <is>
          <t>濱田邸</t>
        </is>
      </c>
      <c r="C713" s="1" t="inlineStr">
        <is>
          <t>LIXIL</t>
        </is>
      </c>
      <c r="D713" s="1" t="inlineStr">
        <is>
          <t>ｶｯﾌﾟﾎﾞｰﾄﾞ設置（下地のみ）</t>
        </is>
      </c>
      <c r="E713" s="2" t="inlineStr">
        <is>
          <t>4月</t>
        </is>
      </c>
      <c r="F713" s="68">
        <f>31532+3468</f>
        <v/>
      </c>
      <c r="G713" s="68">
        <f>IF(B713="","",F713-I713 )</f>
        <v/>
      </c>
      <c r="H713" s="5">
        <f>IF(G713="","",G713/F713)</f>
        <v/>
      </c>
      <c r="I713" s="62">
        <f>SUM(テーブル9[[#This Row],[五大]:[工場材]])</f>
        <v/>
      </c>
      <c r="J713" s="65" t="n"/>
      <c r="K713" s="65" t="n"/>
      <c r="L713" s="65" t="n"/>
      <c r="M713" s="65" t="n"/>
      <c r="N713" s="65" t="n"/>
      <c r="O713" s="65" t="n"/>
      <c r="P713" s="65" t="n"/>
      <c r="Q713" s="65" t="n"/>
      <c r="R713" s="65" t="n"/>
      <c r="S713" s="65" t="n"/>
      <c r="T713" s="65" t="n"/>
      <c r="U713" s="65" t="n"/>
      <c r="V713" s="65" t="n"/>
      <c r="W713" s="64" t="n">
        <v>20000</v>
      </c>
      <c r="X713" s="66" t="n">
        <v>5668</v>
      </c>
      <c r="Y713" s="65" t="n"/>
      <c r="Z713" s="65" t="n"/>
      <c r="AA713" s="65" t="n"/>
      <c r="AB713" s="65" t="n"/>
      <c r="AC713" s="65" t="n"/>
      <c r="AD713" s="65" t="n"/>
      <c r="AE713" s="65" t="n"/>
      <c r="AF713" s="65" t="n"/>
      <c r="AG713" s="65" t="n"/>
      <c r="AH713" s="65" t="n"/>
      <c r="AI713" s="65" t="n"/>
      <c r="AJ713" s="65" t="n"/>
      <c r="AK713" s="65" t="n"/>
      <c r="AL713" s="65" t="n"/>
      <c r="AM713" s="65" t="n"/>
      <c r="AN713" s="65" t="n"/>
      <c r="AO713" s="65" t="n"/>
      <c r="AP713" s="65" t="n"/>
      <c r="AQ713" s="65" t="n"/>
      <c r="AR713" s="65" t="n"/>
      <c r="AS713" s="65" t="n"/>
      <c r="AT713" s="65" t="n"/>
      <c r="AU713" s="65" t="n"/>
      <c r="AV713" s="65" t="n"/>
      <c r="AW713" s="65" t="n"/>
      <c r="AX713" s="65" t="n"/>
      <c r="AY713" s="65" t="n"/>
      <c r="AZ713" s="65" t="n"/>
      <c r="BA713" s="65" t="n"/>
      <c r="BB713" s="65" t="n"/>
      <c r="BC713" s="65" t="n"/>
      <c r="BD713" s="65" t="n"/>
      <c r="BE713" s="65" t="n"/>
      <c r="BF713" s="65" t="n"/>
      <c r="BG713" s="65" t="n"/>
    </row>
    <row r="714">
      <c r="B714" s="1" t="inlineStr">
        <is>
          <t>長町街苑パークマンション817</t>
        </is>
      </c>
      <c r="C714" s="1" t="inlineStr">
        <is>
          <t>ライブアップ</t>
        </is>
      </c>
      <c r="D714" s="1" t="inlineStr">
        <is>
          <t>換気扇跡補修工事</t>
        </is>
      </c>
      <c r="E714" s="2" t="inlineStr">
        <is>
          <t>4月</t>
        </is>
      </c>
      <c r="F714" s="68" t="n">
        <v>60000</v>
      </c>
      <c r="G714" s="68">
        <f>IF(B714="","",F714-I714 )</f>
        <v/>
      </c>
      <c r="H714" s="5">
        <f>IF(G714="","",G714/F714)</f>
        <v/>
      </c>
      <c r="I714" s="62">
        <f>SUM(テーブル9[[#This Row],[五大]:[工場材]])</f>
        <v/>
      </c>
      <c r="J714" s="65" t="n"/>
      <c r="K714" s="65" t="n"/>
      <c r="L714" s="65" t="n"/>
      <c r="M714" s="65" t="n"/>
      <c r="N714" s="65" t="n"/>
      <c r="O714" s="65" t="n"/>
      <c r="P714" s="65" t="n"/>
      <c r="Q714" s="65" t="n"/>
      <c r="R714" s="65" t="n"/>
      <c r="S714" s="65" t="n"/>
      <c r="T714" s="65" t="n"/>
      <c r="U714" s="65" t="n"/>
      <c r="V714" s="65" t="n"/>
      <c r="W714" s="64" t="n">
        <v>18000</v>
      </c>
      <c r="X714" s="66" t="n">
        <v>2155</v>
      </c>
      <c r="Y714" s="65" t="n"/>
      <c r="Z714" s="65" t="n"/>
      <c r="AA714" s="65" t="n"/>
      <c r="AB714" s="65" t="n"/>
      <c r="AC714" s="65" t="n"/>
      <c r="AD714" s="65" t="n"/>
      <c r="AE714" s="65" t="n"/>
      <c r="AF714" s="65" t="n"/>
      <c r="AG714" s="65" t="n"/>
      <c r="AH714" s="64" t="n">
        <v>15000</v>
      </c>
      <c r="AI714" s="65" t="n"/>
      <c r="AJ714" s="65" t="n"/>
      <c r="AK714" s="65" t="n"/>
      <c r="AL714" s="65" t="n"/>
      <c r="AM714" s="65" t="n"/>
      <c r="AN714" s="65" t="n"/>
      <c r="AO714" s="65" t="n"/>
      <c r="AP714" s="65" t="n"/>
      <c r="AQ714" s="65" t="n"/>
      <c r="AR714" s="65" t="n"/>
      <c r="AS714" s="65" t="n"/>
      <c r="AT714" s="65" t="n"/>
      <c r="AU714" s="65" t="n"/>
      <c r="AV714" s="65" t="n"/>
      <c r="AW714" s="65" t="n"/>
      <c r="AX714" s="65" t="n"/>
      <c r="AY714" s="65" t="n"/>
      <c r="AZ714" s="65" t="n"/>
      <c r="BA714" s="65" t="n"/>
      <c r="BB714" s="65" t="n"/>
      <c r="BC714" s="65" t="n"/>
      <c r="BD714" s="65" t="n"/>
      <c r="BE714" s="65" t="n"/>
      <c r="BF714" s="65" t="n"/>
      <c r="BG714" s="65" t="n"/>
    </row>
    <row r="715">
      <c r="B715" s="1" t="inlineStr">
        <is>
          <t>シティウイング北仙台</t>
        </is>
      </c>
      <c r="C715" s="1" t="inlineStr">
        <is>
          <t>LIXIL</t>
        </is>
      </c>
      <c r="D715" s="1" t="inlineStr">
        <is>
          <t>点検口開口</t>
        </is>
      </c>
      <c r="E715" s="2" t="inlineStr">
        <is>
          <t>4月</t>
        </is>
      </c>
      <c r="F715" s="68" t="n">
        <v>34000</v>
      </c>
      <c r="G715" s="68">
        <f>IF(B715="","",F715-I715 )</f>
        <v/>
      </c>
      <c r="H715" s="5">
        <f>IF(G715="","",G715/F715)</f>
        <v/>
      </c>
      <c r="I715" s="62">
        <f>SUM(テーブル9[[#This Row],[五大]:[工場材]])</f>
        <v/>
      </c>
      <c r="J715" s="65" t="n"/>
      <c r="K715" s="65" t="n"/>
      <c r="L715" s="65" t="n"/>
      <c r="M715" s="65" t="n"/>
      <c r="N715" s="65" t="n"/>
      <c r="O715" s="65" t="n"/>
      <c r="P715" s="65" t="n"/>
      <c r="Q715" s="65" t="n"/>
      <c r="R715" s="65" t="n"/>
      <c r="S715" s="65" t="n"/>
      <c r="T715" s="65" t="n"/>
      <c r="U715" s="65" t="n"/>
      <c r="V715" s="65" t="n"/>
      <c r="W715" s="64" t="n">
        <v>15000</v>
      </c>
      <c r="X715" s="66" t="n">
        <v>7678</v>
      </c>
      <c r="Y715" s="65" t="n"/>
      <c r="Z715" s="65" t="n"/>
      <c r="AA715" s="65" t="n"/>
      <c r="AB715" s="65" t="n"/>
      <c r="AC715" s="65" t="n"/>
      <c r="AD715" s="65" t="n"/>
      <c r="AE715" s="65" t="n"/>
      <c r="AF715" s="65" t="n"/>
      <c r="AG715" s="65" t="n"/>
      <c r="AH715" s="65" t="n"/>
      <c r="AI715" s="65" t="n"/>
      <c r="AJ715" s="65" t="n"/>
      <c r="AK715" s="65" t="n"/>
      <c r="AL715" s="65" t="n"/>
      <c r="AM715" s="65" t="n"/>
      <c r="AN715" s="65" t="n"/>
      <c r="AO715" s="65" t="n"/>
      <c r="AP715" s="65" t="n"/>
      <c r="AQ715" s="65" t="n"/>
      <c r="AR715" s="65" t="n"/>
      <c r="AS715" s="65" t="n"/>
      <c r="AT715" s="65" t="n"/>
      <c r="AU715" s="65" t="n"/>
      <c r="AV715" s="65" t="n"/>
      <c r="AW715" s="65" t="n"/>
      <c r="AX715" s="65" t="n"/>
      <c r="AY715" s="65" t="n"/>
      <c r="AZ715" s="65" t="n"/>
      <c r="BA715" s="65" t="n"/>
      <c r="BB715" s="65" t="n"/>
      <c r="BC715" s="65" t="n"/>
      <c r="BD715" s="65" t="n"/>
      <c r="BE715" s="65" t="n"/>
      <c r="BF715" s="65" t="n"/>
      <c r="BG715" s="65" t="n"/>
    </row>
    <row r="716">
      <c r="B716" s="50" t="inlineStr">
        <is>
          <t>杉浦邸（宮千代）</t>
        </is>
      </c>
      <c r="C716" s="50" t="inlineStr">
        <is>
          <t>LIXIL</t>
        </is>
      </c>
      <c r="D716" s="50" t="inlineStr">
        <is>
          <t>電動昇降棚入替（電気結線込）</t>
        </is>
      </c>
      <c r="E716" s="50" t="inlineStr">
        <is>
          <t>7月</t>
        </is>
      </c>
      <c r="F716" s="81" t="n">
        <v>40000</v>
      </c>
      <c r="G716" s="81">
        <f>IF(B716="","",F716-I716 )</f>
        <v/>
      </c>
      <c r="H716" s="52">
        <f>IF(G716="","",G716/F716)</f>
        <v/>
      </c>
      <c r="I716" s="82">
        <f>SUM(テーブル9[[#This Row],[五大]:[工場材]])</f>
        <v/>
      </c>
      <c r="J716" s="65" t="n"/>
      <c r="K716" s="65" t="n"/>
      <c r="L716" s="65" t="n"/>
      <c r="M716" s="65" t="n"/>
      <c r="N716" s="65" t="n"/>
      <c r="O716" s="65" t="n"/>
      <c r="P716" s="65" t="n"/>
      <c r="Q716" s="65" t="n"/>
      <c r="R716" s="65" t="n"/>
      <c r="S716" s="65" t="n"/>
      <c r="T716" s="65" t="n"/>
      <c r="U716" s="65" t="n"/>
      <c r="V716" s="65" t="n"/>
      <c r="W716" s="65" t="n"/>
      <c r="X716" s="66" t="n"/>
      <c r="Y716" s="65" t="n"/>
      <c r="Z716" s="65" t="n"/>
      <c r="AA716" s="83" t="n">
        <v>15000</v>
      </c>
      <c r="AB716" s="65" t="n"/>
      <c r="AC716" s="65" t="n"/>
      <c r="AD716" s="65" t="n"/>
      <c r="AE716" s="65" t="n"/>
      <c r="AF716" s="65" t="n"/>
      <c r="AG716" s="65" t="n"/>
      <c r="AH716" s="65" t="n"/>
      <c r="AI716" s="65" t="n"/>
      <c r="AJ716" s="65" t="n"/>
      <c r="AK716" s="65" t="n"/>
      <c r="AL716" s="65" t="n"/>
      <c r="AM716" s="65" t="n"/>
      <c r="AN716" s="65" t="n"/>
      <c r="AO716" s="65" t="n"/>
      <c r="AP716" s="65" t="n"/>
      <c r="AQ716" s="65" t="n"/>
      <c r="AR716" s="65" t="n"/>
      <c r="AS716" s="65" t="n"/>
      <c r="AT716" s="65" t="n"/>
      <c r="AU716" s="65" t="n"/>
      <c r="AV716" s="65" t="n"/>
      <c r="AW716" s="65" t="n"/>
      <c r="AX716" s="65" t="n"/>
      <c r="AY716" s="65" t="n"/>
      <c r="AZ716" s="65" t="n"/>
      <c r="BA716" s="65" t="n"/>
      <c r="BB716" s="65" t="n"/>
      <c r="BC716" s="65" t="n"/>
      <c r="BD716" s="65" t="n"/>
      <c r="BE716" s="65" t="n"/>
      <c r="BF716" s="65" t="n"/>
      <c r="BG716" s="65" t="n"/>
      <c r="BH716" s="0" t="inlineStr">
        <is>
          <t>7/16嶋中様メールで金額合意(税別40,000)</t>
        </is>
      </c>
    </row>
    <row r="717">
      <c r="B717" s="50" t="inlineStr">
        <is>
          <t>山田俊一邸</t>
        </is>
      </c>
      <c r="C717" s="50" t="inlineStr">
        <is>
          <t>LIXIL</t>
        </is>
      </c>
      <c r="D717" s="50" t="inlineStr">
        <is>
          <t>シャッターつまみ補修</t>
        </is>
      </c>
      <c r="E717" s="50" t="inlineStr">
        <is>
          <t>7月</t>
        </is>
      </c>
      <c r="F717" s="81" t="n">
        <v>8000</v>
      </c>
      <c r="G717" s="81">
        <f>IF(B717="","",F717-I717 )</f>
        <v/>
      </c>
      <c r="H717" s="52">
        <f>IF(G717="","",G717/F717)</f>
        <v/>
      </c>
      <c r="I717" s="82">
        <f>SUM(テーブル9[[#This Row],[五大]:[工場材]])</f>
        <v/>
      </c>
      <c r="J717" s="65" t="n"/>
      <c r="K717" s="65" t="n"/>
      <c r="L717" s="65" t="n"/>
      <c r="M717" s="65" t="n"/>
      <c r="N717" s="65" t="n"/>
      <c r="O717" s="65" t="n"/>
      <c r="P717" s="65" t="n"/>
      <c r="Q717" s="65" t="n"/>
      <c r="R717" s="65" t="n"/>
      <c r="S717" s="65" t="n"/>
      <c r="T717" s="65" t="n"/>
      <c r="U717" s="65" t="n"/>
      <c r="V717" s="65" t="n"/>
      <c r="W717" s="65" t="n"/>
      <c r="X717" s="83" t="n">
        <v>3000</v>
      </c>
      <c r="Y717" s="65" t="n"/>
      <c r="Z717" s="65" t="n"/>
      <c r="AA717" s="65" t="n"/>
      <c r="AB717" s="65" t="n"/>
      <c r="AC717" s="65" t="n"/>
      <c r="AD717" s="65" t="n"/>
      <c r="AE717" s="65" t="n"/>
      <c r="AF717" s="65" t="n"/>
      <c r="AG717" s="65" t="n"/>
      <c r="AH717" s="65" t="n"/>
      <c r="AI717" s="65" t="n"/>
      <c r="AJ717" s="65" t="n"/>
      <c r="AK717" s="65" t="n"/>
      <c r="AL717" s="65" t="n"/>
      <c r="AM717" s="65" t="n"/>
      <c r="AN717" s="65" t="n"/>
      <c r="AO717" s="65" t="n"/>
      <c r="AP717" s="65" t="n"/>
      <c r="AQ717" s="65" t="n"/>
      <c r="AR717" s="65" t="n"/>
      <c r="AS717" s="65" t="n"/>
      <c r="AT717" s="65" t="n"/>
      <c r="AU717" s="65" t="n"/>
      <c r="AV717" s="65" t="n"/>
      <c r="AW717" s="65" t="n"/>
      <c r="AX717" s="65" t="n"/>
      <c r="AY717" s="65" t="n"/>
      <c r="AZ717" s="65" t="n"/>
      <c r="BA717" s="65" t="n"/>
      <c r="BB717" s="65" t="n"/>
      <c r="BC717" s="65" t="n"/>
      <c r="BD717" s="65" t="n"/>
      <c r="BE717" s="65" t="n"/>
      <c r="BF717" s="65" t="n"/>
      <c r="BG717" s="65" t="n"/>
      <c r="BH717" s="0" t="inlineStr">
        <is>
          <t>7/7注文確定(材3,000+取付5,000)</t>
        </is>
      </c>
    </row>
    <row r="718">
      <c r="B718" s="50" t="inlineStr">
        <is>
          <t>紫山 中野邸</t>
        </is>
      </c>
      <c r="C718" s="50" t="inlineStr">
        <is>
          <t>LIXIL</t>
        </is>
      </c>
      <c r="D718" s="50" t="inlineStr">
        <is>
          <t>トイレ交換+CF張替</t>
        </is>
      </c>
      <c r="E718" s="50" t="inlineStr">
        <is>
          <t>7月</t>
        </is>
      </c>
      <c r="F718" s="84" t="n">
        <v>63780</v>
      </c>
      <c r="G718" s="81">
        <f>IF(B718="","",F718-I718 )</f>
        <v/>
      </c>
      <c r="H718" s="52">
        <f>IF(G718="","",G718/F718)</f>
        <v/>
      </c>
      <c r="I718" s="82">
        <f>SUM(テーブル9[[#This Row],[五大]:[工場材]])</f>
        <v/>
      </c>
      <c r="J718" s="65" t="n"/>
      <c r="K718" s="65" t="n"/>
      <c r="L718" s="65" t="n"/>
      <c r="M718" s="65" t="n"/>
      <c r="N718" s="65" t="n"/>
      <c r="O718" s="65" t="n"/>
      <c r="P718" s="65" t="n"/>
      <c r="Q718" s="65" t="n"/>
      <c r="R718" s="65" t="n"/>
      <c r="S718" s="65" t="n"/>
      <c r="T718" s="65" t="n"/>
      <c r="U718" s="65" t="n"/>
      <c r="V718" s="65" t="n"/>
      <c r="W718" s="65" t="n"/>
      <c r="X718" s="66" t="n"/>
      <c r="Y718" s="65" t="n"/>
      <c r="Z718" s="65" t="n"/>
      <c r="AA718" s="65" t="n"/>
      <c r="AB718" s="85" t="n">
        <v>35000</v>
      </c>
      <c r="AC718" s="65" t="n"/>
      <c r="AD718" s="65" t="n"/>
      <c r="AE718" s="65" t="n"/>
      <c r="AF718" s="65" t="n"/>
      <c r="AG718" s="65" t="n"/>
      <c r="AH718" s="83" t="n">
        <v>15000</v>
      </c>
      <c r="AI718" s="65" t="n"/>
      <c r="AJ718" s="65" t="n"/>
      <c r="AK718" s="65" t="n"/>
      <c r="AL718" s="65" t="n"/>
      <c r="AM718" s="65" t="n"/>
      <c r="AN718" s="65" t="n"/>
      <c r="AO718" s="65" t="n"/>
      <c r="AP718" s="65" t="n"/>
      <c r="AQ718" s="65" t="n"/>
      <c r="AR718" s="65" t="n"/>
      <c r="AS718" s="65" t="n"/>
      <c r="AT718" s="65" t="n"/>
      <c r="AU718" s="65" t="n"/>
      <c r="AV718" s="65" t="n"/>
      <c r="AW718" s="65" t="n"/>
      <c r="AX718" s="65" t="n"/>
      <c r="AY718" s="65" t="n"/>
      <c r="AZ718" s="65" t="n"/>
      <c r="BA718" s="65" t="n"/>
      <c r="BB718" s="65" t="n"/>
      <c r="BC718" s="65" t="n"/>
      <c r="BD718" s="65" t="n"/>
      <c r="BE718" s="65" t="n"/>
      <c r="BF718" s="65" t="n"/>
      <c r="BG718" s="65" t="n"/>
      <c r="BH718" s="0" t="inlineStr">
        <is>
          <t>確定:7/16佐藤保彦様メール添付『中野様工事費.pdf』(税込70,160)。旧仮150,000→確定</t>
        </is>
      </c>
    </row>
    <row r="719">
      <c r="B719" s="50" t="inlineStr">
        <is>
          <t>大梶 佐藤望邸</t>
        </is>
      </c>
      <c r="C719" s="50" t="inlineStr">
        <is>
          <t>LIXIL</t>
        </is>
      </c>
      <c r="D719" s="50" t="inlineStr">
        <is>
          <t>トイレ交換+CF・クロス+エコカラット</t>
        </is>
      </c>
      <c r="E719" s="50" t="inlineStr">
        <is>
          <t>7月</t>
        </is>
      </c>
      <c r="F719" s="84" t="n">
        <v>139000</v>
      </c>
      <c r="G719" s="81">
        <f>IF(B719="","",F719-I719 )</f>
        <v/>
      </c>
      <c r="H719" s="52">
        <f>IF(G719="","",G719/F719)</f>
        <v/>
      </c>
      <c r="I719" s="82">
        <f>SUM(テーブル9[[#This Row],[五大]:[工場材]])</f>
        <v/>
      </c>
      <c r="J719" s="65" t="n"/>
      <c r="K719" s="65" t="n"/>
      <c r="L719" s="65" t="n"/>
      <c r="M719" s="65" t="n"/>
      <c r="N719" s="65" t="n"/>
      <c r="O719" s="65" t="n"/>
      <c r="P719" s="65" t="n"/>
      <c r="Q719" s="65" t="n"/>
      <c r="R719" s="65" t="n"/>
      <c r="S719" s="65" t="n"/>
      <c r="T719" s="65">
        <f>45+9+9+7.6+30+70+18+9+9+12+9+9+12+9+80+20+5+50+61+18+2+20+90+9+14+17+25+4+3+15+7+160+35+45+3+3+3+3+3+9+207</f>
        <v/>
      </c>
      <c r="U719" s="65" t="n"/>
      <c r="V719" s="65" t="n"/>
      <c r="W719" s="83" t="n">
        <v>25000</v>
      </c>
      <c r="X719" s="66" t="n"/>
      <c r="Y719" s="65" t="n"/>
      <c r="Z719" s="65" t="n"/>
      <c r="AA719" s="65" t="n"/>
      <c r="AB719" s="85" t="n">
        <v>46000</v>
      </c>
      <c r="AC719" s="65" t="n"/>
      <c r="AD719" s="65" t="n"/>
      <c r="AE719" s="65" t="n"/>
      <c r="AF719" s="65" t="n"/>
      <c r="AG719" s="65" t="n"/>
      <c r="AH719" s="83" t="n">
        <v>25000</v>
      </c>
      <c r="AI719" s="65" t="n"/>
      <c r="AJ719" s="65" t="n"/>
      <c r="AK719" s="65" t="n"/>
      <c r="AL719" s="65" t="n"/>
      <c r="AM719" s="65" t="n"/>
      <c r="AN719" s="65" t="n"/>
      <c r="AO719" s="65" t="n"/>
      <c r="AP719" s="65" t="n"/>
      <c r="AQ719" s="65" t="n"/>
      <c r="AR719" s="65" t="n"/>
      <c r="AS719" s="65" t="n"/>
      <c r="AT719" s="65" t="n"/>
      <c r="AU719" s="65" t="n"/>
      <c r="AV719" s="65" t="n"/>
      <c r="AW719" s="65" t="n"/>
      <c r="AX719" s="65" t="n"/>
      <c r="AY719" s="65" t="n"/>
      <c r="AZ719" s="65" t="n"/>
      <c r="BA719" s="65" t="n"/>
      <c r="BB719" s="65" t="n"/>
      <c r="BC719" s="65" t="n"/>
      <c r="BD719" s="65" t="n"/>
      <c r="BE719" s="65" t="n"/>
      <c r="BF719" s="65" t="n"/>
      <c r="BG719" s="65" t="n"/>
      <c r="BH719" s="0" t="inlineStr">
        <is>
          <t>確定:7/16添付『佐藤望様(光和工業様工事費).pdf』7/25+8/1一式(税込152,900)。旧仮250,000→確定</t>
        </is>
      </c>
    </row>
    <row r="720">
      <c r="B720" s="50" t="inlineStr">
        <is>
          <t>七ヶ浜汐見台南 澤畠邸</t>
        </is>
      </c>
      <c r="C720" s="50" t="inlineStr">
        <is>
          <t>LIXIL</t>
        </is>
      </c>
      <c r="D720" s="50" t="inlineStr">
        <is>
          <t>トイレ交換2台+ボード貼替+内装+エコカラット</t>
        </is>
      </c>
      <c r="E720" s="50" t="inlineStr">
        <is>
          <t>7月</t>
        </is>
      </c>
      <c r="F720" s="84" t="n">
        <v>224980</v>
      </c>
      <c r="G720" s="81">
        <f>IF(B720="","",F720-I720 )</f>
        <v/>
      </c>
      <c r="H720" s="52">
        <f>IF(G720="","",G720/F720)</f>
        <v/>
      </c>
      <c r="I720" s="82">
        <f>SUM(テーブル9[[#This Row],[五大]:[工場材]])</f>
        <v/>
      </c>
      <c r="J720" s="65" t="n"/>
      <c r="K720" s="65" t="n"/>
      <c r="L720" s="65" t="n"/>
      <c r="M720" s="65" t="n"/>
      <c r="N720" s="65" t="n"/>
      <c r="O720" s="65" t="n"/>
      <c r="P720" s="65" t="n"/>
      <c r="Q720" s="65" t="n"/>
      <c r="R720" s="65" t="n"/>
      <c r="S720" s="65" t="n"/>
      <c r="T720" s="65" t="n"/>
      <c r="U720" s="65" t="n"/>
      <c r="V720" s="65" t="n"/>
      <c r="W720" s="83" t="n">
        <v>30000</v>
      </c>
      <c r="X720" s="66" t="n"/>
      <c r="Y720" s="65" t="n"/>
      <c r="Z720" s="65" t="n"/>
      <c r="AA720" s="65" t="n"/>
      <c r="AB720" s="83" t="n">
        <v>50000</v>
      </c>
      <c r="AC720" s="65" t="n"/>
      <c r="AD720" s="65" t="n"/>
      <c r="AE720" s="65" t="n"/>
      <c r="AF720" s="65" t="n"/>
      <c r="AG720" s="65" t="n"/>
      <c r="AH720" s="83" t="n">
        <v>30000</v>
      </c>
      <c r="AI720" s="65" t="n"/>
      <c r="AJ720" s="65" t="n"/>
      <c r="AK720" s="65" t="n"/>
      <c r="AL720" s="65" t="n"/>
      <c r="AM720" s="65" t="n"/>
      <c r="AN720" s="65" t="n"/>
      <c r="AO720" s="65" t="n"/>
      <c r="AP720" s="65" t="n"/>
      <c r="AQ720" s="65" t="n"/>
      <c r="AR720" s="65" t="n"/>
      <c r="AS720" s="65" t="n"/>
      <c r="AT720" s="65" t="n"/>
      <c r="AU720" s="65" t="n"/>
      <c r="AV720" s="65" t="n"/>
      <c r="AW720" s="65" t="n"/>
      <c r="AX720" s="65" t="n"/>
      <c r="AY720" s="65" t="n"/>
      <c r="AZ720" s="65" t="n"/>
      <c r="BA720" s="65" t="n"/>
      <c r="BB720" s="65" t="n"/>
      <c r="BC720" s="65" t="n"/>
      <c r="BD720" s="65" t="n"/>
      <c r="BE720" s="65" t="n"/>
      <c r="BF720" s="65" t="n"/>
      <c r="BG720" s="65" t="n"/>
      <c r="BH720" s="0" t="inlineStr">
        <is>
          <t>確定:7/16添付+7/17交渉合意(設置25,000×2・エコカラット35,000)反映</t>
        </is>
      </c>
    </row>
    <row r="721">
      <c r="B721" s="50" t="inlineStr">
        <is>
          <t>明石台 石井邸（追加クロス）</t>
        </is>
      </c>
      <c r="C721" s="50" t="inlineStr">
        <is>
          <t>LIXIL</t>
        </is>
      </c>
      <c r="D721" s="50" t="inlineStr">
        <is>
          <t>クロス張替（階段含む）+美装</t>
        </is>
      </c>
      <c r="E721" s="50" t="inlineStr">
        <is>
          <t>7月</t>
        </is>
      </c>
      <c r="F721" s="86">
        <f>81000+5000+3000+9000</f>
        <v/>
      </c>
      <c r="G721" s="81">
        <f>IF(B721="","",F721-I721 )</f>
        <v/>
      </c>
      <c r="H721" s="52">
        <f>IF(G721="","",G721/F721)</f>
        <v/>
      </c>
      <c r="I721" s="82">
        <f>SUM(テーブル9[[#This Row],[五大]:[工場材]])</f>
        <v/>
      </c>
      <c r="J721" s="65" t="n"/>
      <c r="K721" s="65" t="n"/>
      <c r="L721" s="65" t="n"/>
      <c r="M721" s="65" t="n"/>
      <c r="N721" s="65" t="n"/>
      <c r="O721" s="65" t="n"/>
      <c r="P721" s="65" t="n"/>
      <c r="Q721" s="65" t="n"/>
      <c r="R721" s="65" t="n"/>
      <c r="S721" s="65" t="n"/>
      <c r="T721" s="65" t="n"/>
      <c r="U721" s="65" t="n"/>
      <c r="V721" s="65" t="n"/>
      <c r="W721" s="65" t="n"/>
      <c r="X721" s="66" t="n"/>
      <c r="Y721" s="65" t="n"/>
      <c r="Z721" s="65" t="n"/>
      <c r="AA721" s="65" t="n"/>
      <c r="AB721" s="65" t="n"/>
      <c r="AC721" s="65" t="n"/>
      <c r="AD721" s="65" t="n"/>
      <c r="AE721" s="65" t="n"/>
      <c r="AF721" s="65" t="n"/>
      <c r="AG721" s="65" t="n"/>
      <c r="AH721" s="83" t="n">
        <v>80000</v>
      </c>
      <c r="AI721" s="65" t="n"/>
      <c r="AJ721" s="65" t="n"/>
      <c r="AK721" s="65" t="n"/>
      <c r="AL721" s="65" t="n"/>
      <c r="AM721" s="65" t="n"/>
      <c r="AN721" s="65" t="n"/>
      <c r="AO721" s="65" t="n"/>
      <c r="AP721" s="65" t="n"/>
      <c r="AQ721" s="65" t="n"/>
      <c r="AR721" s="65" t="n"/>
      <c r="AS721" s="65" t="n"/>
      <c r="AT721" s="65" t="n"/>
      <c r="AU721" s="65" t="n"/>
      <c r="AV721" s="65" t="n"/>
      <c r="AW721" s="65" t="n"/>
      <c r="AX721" s="65" t="n"/>
      <c r="AY721" s="65" t="n"/>
      <c r="AZ721" s="65" t="n"/>
      <c r="BA721" s="65" t="n"/>
      <c r="BB721" s="65" t="n"/>
      <c r="BC721" s="65" t="n"/>
      <c r="BD721" s="65" t="n"/>
      <c r="BE721" s="65" t="n"/>
      <c r="BF721" s="65" t="n"/>
      <c r="BG721" s="65" t="n"/>
      <c r="BH721" s="0" t="inlineStr">
        <is>
          <t>★確定81,000=6/30注文書CA106-2604006-001「壁クロス1式81,000」(Gmail 19f15df43d453694)。⚠️この額は行708の510,600に含まれる(注文書は本体+追加を一本化)→行708を429,600(5/25版注文書)へ直すか本行0か要社長判断。工事7/21〜23／★6月出来高98,000確定(+階段5,000・諸経費3,000・社保9,000)</t>
        </is>
      </c>
    </row>
    <row r="722">
      <c r="B722" s="50" t="inlineStr">
        <is>
          <t>石森繁子邸</t>
        </is>
      </c>
      <c r="C722" s="50" t="inlineStr">
        <is>
          <t>サステム</t>
        </is>
      </c>
      <c r="D722" s="50" t="inlineStr">
        <is>
          <t>紙巻器移設・クロス貼替（手直し）</t>
        </is>
      </c>
      <c r="E722" s="50" t="inlineStr">
        <is>
          <t>7月</t>
        </is>
      </c>
      <c r="F722" s="87" t="n">
        <v>80000</v>
      </c>
      <c r="G722" s="81">
        <f>IF(B722="","",F722-I722 )</f>
        <v/>
      </c>
      <c r="H722" s="52">
        <f>IF(G722="","",G722/F722)</f>
        <v/>
      </c>
      <c r="I722" s="82">
        <f>SUM(テーブル9[[#This Row],[五大]:[工場材]])</f>
        <v/>
      </c>
      <c r="J722" s="65" t="n"/>
      <c r="K722" s="65" t="n"/>
      <c r="L722" s="65" t="n"/>
      <c r="M722" s="65" t="n"/>
      <c r="N722" s="65" t="n"/>
      <c r="O722" s="65" t="n"/>
      <c r="P722" s="65" t="n"/>
      <c r="Q722" s="65" t="n"/>
      <c r="R722" s="65" t="n"/>
      <c r="S722" s="65" t="n"/>
      <c r="T722" s="65" t="n"/>
      <c r="U722" s="65" t="n"/>
      <c r="V722" s="65" t="n"/>
      <c r="W722" s="65" t="n"/>
      <c r="X722" s="66" t="n"/>
      <c r="Y722" s="65" t="n"/>
      <c r="Z722" s="65" t="n"/>
      <c r="AA722" s="65" t="n"/>
      <c r="AB722" s="85" t="n">
        <v>20000</v>
      </c>
      <c r="AC722" s="65" t="n"/>
      <c r="AD722" s="65" t="n"/>
      <c r="AE722" s="65" t="n"/>
      <c r="AF722" s="65" t="n"/>
      <c r="AG722" s="65" t="n"/>
      <c r="AH722" s="83" t="n">
        <v>15000</v>
      </c>
      <c r="AI722" s="65" t="n"/>
      <c r="AJ722" s="65" t="n"/>
      <c r="AK722" s="65" t="n"/>
      <c r="AL722" s="65" t="n"/>
      <c r="AM722" s="65" t="n"/>
      <c r="AN722" s="65" t="n"/>
      <c r="AO722" s="65" t="n"/>
      <c r="AP722" s="65" t="n"/>
      <c r="AQ722" s="65" t="n"/>
      <c r="AR722" s="65" t="n"/>
      <c r="AS722" s="65" t="n"/>
      <c r="AT722" s="65" t="n"/>
      <c r="AU722" s="65" t="n"/>
      <c r="AV722" s="65" t="n"/>
      <c r="AW722" s="65" t="n"/>
      <c r="AX722" s="65" t="n"/>
      <c r="AY722" s="65" t="n"/>
      <c r="AZ722" s="65" t="n"/>
      <c r="BA722" s="65" t="n"/>
      <c r="BB722" s="65" t="n"/>
      <c r="BC722" s="65" t="n"/>
      <c r="BD722" s="65" t="n"/>
      <c r="BE722" s="65" t="n"/>
      <c r="BF722" s="65" t="n"/>
      <c r="BG722" s="65" t="n"/>
      <c r="BH722" s="0" t="inlineStr">
        <is>
          <t>7/29施工9:00で調整中。積水SP手直し(草苅様案件・サステム小坂様経由)。7/4見積80,000(税抜)提出済(K2026-0704-02・送信19f2cfbc912f3c30)。発注確定メール無し(7/17捜索)→仮のまま</t>
        </is>
      </c>
    </row>
    <row r="723">
      <c r="B723" s="50" t="inlineStr">
        <is>
          <t>角五郎 廣田邸</t>
        </is>
      </c>
      <c r="C723" s="50" t="inlineStr">
        <is>
          <t>LIXIL</t>
        </is>
      </c>
      <c r="D723" s="50" t="inlineStr">
        <is>
          <t>SB・トイレ・レンジフード・コンロ交換</t>
        </is>
      </c>
      <c r="E723" s="50" t="inlineStr">
        <is>
          <t>7月</t>
        </is>
      </c>
      <c r="F723" s="88" t="n">
        <v>600000</v>
      </c>
      <c r="G723" s="81">
        <f>IF(B723="","",F723-I723 )</f>
        <v/>
      </c>
      <c r="H723" s="52">
        <f>IF(G723="","",G723/F723)</f>
        <v/>
      </c>
      <c r="I723" s="82">
        <f>SUM(テーブル9[[#This Row],[五大]:[工場材]])</f>
        <v/>
      </c>
      <c r="J723" s="65" t="n"/>
      <c r="K723" s="65" t="n"/>
      <c r="L723" s="65" t="n"/>
      <c r="M723" s="65" t="n"/>
      <c r="N723" s="65" t="n"/>
      <c r="O723" s="65" t="n"/>
      <c r="P723" s="65" t="n"/>
      <c r="Q723" s="65" t="n"/>
      <c r="R723" s="65" t="n"/>
      <c r="S723" s="65" t="n"/>
      <c r="T723" s="65" t="n"/>
      <c r="U723" s="65" t="n"/>
      <c r="V723" s="65" t="n"/>
      <c r="W723" s="83" t="n">
        <v>120000</v>
      </c>
      <c r="X723" s="66" t="n"/>
      <c r="Y723" s="65" t="n"/>
      <c r="Z723" s="65" t="n"/>
      <c r="AA723" s="83" t="n">
        <v>60000</v>
      </c>
      <c r="AB723" s="85" t="n">
        <v>221000</v>
      </c>
      <c r="AC723" s="65" t="n"/>
      <c r="AD723" s="65" t="n"/>
      <c r="AE723" s="65" t="n"/>
      <c r="AF723" s="65" t="n"/>
      <c r="AG723" s="65" t="n"/>
      <c r="AH723" s="83" t="n">
        <v>40000</v>
      </c>
      <c r="AI723" s="65" t="n"/>
      <c r="AJ723" s="85" t="n">
        <v>15000</v>
      </c>
      <c r="AK723" s="65" t="n"/>
      <c r="AL723" s="65" t="n"/>
      <c r="AM723" s="65" t="n"/>
      <c r="AN723" s="65" t="n"/>
      <c r="AO723" s="65" t="n"/>
      <c r="AP723" s="65" t="n"/>
      <c r="AQ723" s="65" t="n"/>
      <c r="AR723" s="65" t="n"/>
      <c r="AS723" s="65" t="n"/>
      <c r="AT723" s="65" t="n"/>
      <c r="AU723" s="65" t="n"/>
      <c r="AV723" s="65" t="n"/>
      <c r="AW723" s="65" t="n"/>
      <c r="AX723" s="65" t="n"/>
      <c r="AY723" s="65" t="n"/>
      <c r="AZ723" s="65" t="n"/>
      <c r="BA723" s="65" t="n"/>
      <c r="BB723" s="65" t="n"/>
      <c r="BC723" s="65" t="n"/>
      <c r="BD723" s="65" t="n"/>
      <c r="BE723" s="65" t="n"/>
      <c r="BF723" s="65" t="n"/>
      <c r="BG723" s="65" t="n"/>
      <c r="BH723" s="0" t="inlineStr">
        <is>
          <t>7/27〜31。SB組立はLTS手配。⚠️金額のやり取りゼロを確認(7/17 Gmail送受信+デスクトップ捜索)。600,000は根拠なしの仮→佐藤保彦様へ金額提示(予算的に◯◯円)要</t>
        </is>
      </c>
    </row>
    <row r="724">
      <c r="B724" s="50" t="inlineStr">
        <is>
          <t>佐藤巧邸（利府）</t>
        </is>
      </c>
      <c r="C724" s="50" t="inlineStr">
        <is>
          <t>LIXIL</t>
        </is>
      </c>
      <c r="D724" s="50" t="inlineStr">
        <is>
          <t>UB・水回り交換+床上張り+内装一式</t>
        </is>
      </c>
      <c r="E724" s="50" t="inlineStr">
        <is>
          <t>8月</t>
        </is>
      </c>
      <c r="F724" s="87" t="n">
        <v>1950000</v>
      </c>
      <c r="G724" s="81">
        <f>IF(B724="","",F724-I724 )</f>
        <v/>
      </c>
      <c r="H724" s="52">
        <f>IF(G724="","",G724/F724)</f>
        <v/>
      </c>
      <c r="I724" s="82">
        <f>SUM(テーブル9[[#This Row],[五大]:[工場材]])</f>
        <v/>
      </c>
      <c r="J724" s="65" t="n"/>
      <c r="K724" s="65" t="n"/>
      <c r="L724" s="65" t="n"/>
      <c r="M724" s="65" t="n"/>
      <c r="N724" s="65" t="n"/>
      <c r="O724" s="65" t="n"/>
      <c r="P724" s="65" t="n"/>
      <c r="Q724" s="65" t="n"/>
      <c r="R724" s="65" t="n"/>
      <c r="S724" s="65" t="n"/>
      <c r="T724" s="65" t="n"/>
      <c r="U724" s="65" t="n"/>
      <c r="V724" s="65" t="n"/>
      <c r="W724" s="83" t="n">
        <v>600000</v>
      </c>
      <c r="X724" s="66" t="n"/>
      <c r="Y724" s="65" t="n"/>
      <c r="Z724" s="65" t="n"/>
      <c r="AA724" s="83" t="n">
        <v>150000</v>
      </c>
      <c r="AB724" s="83" t="n">
        <v>250000</v>
      </c>
      <c r="AC724" s="65" t="n"/>
      <c r="AD724" s="65" t="n"/>
      <c r="AE724" s="83" t="n">
        <v>30000</v>
      </c>
      <c r="AF724" s="65" t="n"/>
      <c r="AG724" s="65" t="n"/>
      <c r="AH724" s="83" t="n">
        <v>450000</v>
      </c>
      <c r="AI724" s="65" t="n"/>
      <c r="AJ724" s="85">
        <f>20000</f>
        <v/>
      </c>
      <c r="AK724" s="65" t="n"/>
      <c r="AL724" s="65" t="n"/>
      <c r="AM724" s="65" t="n"/>
      <c r="AN724" s="65" t="n"/>
      <c r="AO724" s="65" t="n"/>
      <c r="AP724" s="65" t="n"/>
      <c r="AQ724" s="65" t="n"/>
      <c r="AR724" s="65" t="n"/>
      <c r="AS724" s="65" t="n"/>
      <c r="AT724" s="65" t="n"/>
      <c r="AU724" s="65" t="n"/>
      <c r="AV724" s="65" t="n"/>
      <c r="AW724" s="65" t="n"/>
      <c r="AX724" s="65" t="n"/>
      <c r="AY724" s="65" t="n"/>
      <c r="AZ724" s="65" t="n"/>
      <c r="BA724" s="65" t="n"/>
      <c r="BB724" s="65" t="n"/>
      <c r="BC724" s="65" t="n"/>
      <c r="BD724" s="65" t="n"/>
      <c r="BE724" s="65" t="n"/>
      <c r="BF724" s="65" t="n"/>
      <c r="BG724" s="65" t="n"/>
      <c r="BH724" s="0" t="inlineStr">
        <is>
          <t>⚠️見積2,441,205(税抜)提出・値引き交渉中(LTS希望1,950,000)。予算=仮割付／受注額=提出済見積(税抜)。値引き交渉中 ｜ 7/17社長が減額受諾(LTS鈴木様希望額)。改訂見積・返信作成中→注文書受領で黒へ</t>
        </is>
      </c>
    </row>
    <row r="725">
      <c r="B725" s="50" t="inlineStr">
        <is>
          <t>苦竹BASE</t>
        </is>
      </c>
      <c r="C725" s="50" t="inlineStr">
        <is>
          <t>東杜シーテック</t>
        </is>
      </c>
      <c r="D725" s="50" t="inlineStr">
        <is>
          <t>戸建改修一式（外装塗装・内装・水回り・内窓）</t>
        </is>
      </c>
      <c r="E725" s="50" t="inlineStr">
        <is>
          <t>8月</t>
        </is>
      </c>
      <c r="F725" s="88" t="n">
        <v>8500000</v>
      </c>
      <c r="G725" s="81">
        <f>IF(B725="","",F725-I725 )</f>
        <v/>
      </c>
      <c r="H725" s="52">
        <f>IF(G725="","",G725/F725)</f>
        <v/>
      </c>
      <c r="I725" s="82">
        <f>SUM(テーブル9[[#This Row],[五大]:[工場材]])</f>
        <v/>
      </c>
      <c r="J725" s="83" t="n">
        <v>250000</v>
      </c>
      <c r="K725" s="65" t="n"/>
      <c r="L725" s="65" t="n"/>
      <c r="M725" s="65" t="n"/>
      <c r="N725" s="83" t="n">
        <v>700000</v>
      </c>
      <c r="O725" s="65" t="n"/>
      <c r="P725" s="65" t="n"/>
      <c r="Q725" s="65" t="n"/>
      <c r="R725" s="65" t="n"/>
      <c r="S725" s="65" t="n"/>
      <c r="T725" s="65" t="n"/>
      <c r="U725" s="65" t="n"/>
      <c r="V725" s="65" t="n"/>
      <c r="W725" s="83" t="n">
        <v>400000</v>
      </c>
      <c r="X725" s="66" t="n"/>
      <c r="Y725" s="65" t="n"/>
      <c r="Z725" s="65" t="n"/>
      <c r="AA725" s="65" t="n"/>
      <c r="AB725" s="83" t="n">
        <v>200000</v>
      </c>
      <c r="AC725" s="65" t="n"/>
      <c r="AD725" s="65" t="n"/>
      <c r="AE725" s="83" t="n">
        <v>500000</v>
      </c>
      <c r="AF725" s="65" t="n"/>
      <c r="AG725" s="65" t="n"/>
      <c r="AH725" s="83" t="n">
        <v>180000</v>
      </c>
      <c r="AI725" s="65" t="n"/>
      <c r="AJ725" s="85" t="n">
        <v>12000</v>
      </c>
      <c r="AK725" s="65" t="n"/>
      <c r="AL725" s="65" t="n"/>
      <c r="AM725" s="65" t="n"/>
      <c r="AN725" s="65" t="n"/>
      <c r="AO725" s="65" t="n"/>
      <c r="AP725" s="83" t="n">
        <v>600000</v>
      </c>
      <c r="AQ725" s="65" t="n"/>
      <c r="AR725" s="65" t="n"/>
      <c r="AS725" s="65" t="n"/>
      <c r="AT725" s="65" t="n"/>
      <c r="AU725" s="65" t="n"/>
      <c r="AV725" s="65" t="n"/>
      <c r="AW725" s="65" t="n"/>
      <c r="AX725" s="65" t="n"/>
      <c r="AY725" s="65" t="n"/>
      <c r="AZ725" s="65" t="n"/>
      <c r="BA725" s="65" t="n"/>
      <c r="BB725" s="65" t="n"/>
      <c r="BC725" s="65" t="n"/>
      <c r="BD725" s="65" t="n"/>
      <c r="BE725" s="65" t="n"/>
      <c r="BF725" s="65" t="n"/>
      <c r="BG725" s="65" t="n"/>
      <c r="BH725" s="0" t="inlineStr">
        <is>
          <t>7/28〜9/4仮工程。提出見積合計8,500,000(税抜)=室内5,200,000(窓リノベ補助金560,000差引後)+外部3,300,000(6/20皆川様へ送付・7/1電話おおむねOK)。書面承認待ち(催促下書きあり)。追加(1Fフローリング等)は別途見積予定。補助金交付決定額で変動あり。電気=タートル(列なし)</t>
        </is>
      </c>
    </row>
    <row r="726">
      <c r="B726" s="50" t="inlineStr">
        <is>
          <t>大村様邸（花京院）</t>
        </is>
      </c>
      <c r="C726" s="50" t="inlineStr">
        <is>
          <t>LIXIL</t>
        </is>
      </c>
      <c r="D726" s="50" t="inlineStr">
        <is>
          <t>トイレJフィット工事</t>
        </is>
      </c>
      <c r="E726" s="50" t="inlineStr">
        <is>
          <t>7月</t>
        </is>
      </c>
      <c r="F726" s="84" t="n">
        <v>150000</v>
      </c>
      <c r="G726" s="68">
        <f>IF(B726="","",F726-I726 )</f>
        <v/>
      </c>
      <c r="H726" s="5">
        <f>IF(G726="","",G726/F726)</f>
        <v/>
      </c>
      <c r="I726" s="62">
        <f>SUM(テーブル9[[#This Row],[五大]:[工場材]])</f>
        <v/>
      </c>
      <c r="J726" s="65" t="n"/>
      <c r="K726" s="65" t="n"/>
      <c r="L726" s="65" t="n"/>
      <c r="M726" s="65" t="n"/>
      <c r="N726" s="65" t="n"/>
      <c r="O726" s="65" t="n"/>
      <c r="P726" s="65" t="n"/>
      <c r="Q726" s="65" t="n"/>
      <c r="R726" s="65" t="n"/>
      <c r="S726" s="65" t="n"/>
      <c r="T726" s="65" t="n"/>
      <c r="U726" s="65" t="n"/>
      <c r="V726" s="65" t="n"/>
      <c r="W726" s="65" t="n"/>
      <c r="X726" s="66" t="n"/>
      <c r="Y726" s="65" t="n"/>
      <c r="Z726" s="65" t="n"/>
      <c r="AA726" s="65" t="n"/>
      <c r="AB726" s="64" t="n">
        <v>46000</v>
      </c>
      <c r="AC726" s="65" t="n"/>
      <c r="AD726" s="65" t="n"/>
      <c r="AE726" s="65" t="n"/>
      <c r="AF726" s="65" t="n"/>
      <c r="AG726" s="65" t="n"/>
      <c r="AH726" s="65" t="n"/>
      <c r="AI726" s="65" t="n"/>
      <c r="AJ726" s="65" t="n"/>
      <c r="AK726" s="65" t="n"/>
      <c r="AL726" s="65" t="n"/>
      <c r="AM726" s="65" t="n"/>
      <c r="AN726" s="65" t="n"/>
      <c r="AO726" s="65" t="n"/>
      <c r="AP726" s="65" t="n"/>
      <c r="AQ726" s="65" t="n"/>
      <c r="AR726" s="65" t="n"/>
      <c r="AS726" s="65" t="n"/>
      <c r="AT726" s="65" t="n"/>
      <c r="AU726" s="65" t="n"/>
      <c r="AV726" s="65" t="n"/>
      <c r="AW726" s="65" t="n"/>
      <c r="AX726" s="65" t="n"/>
      <c r="AY726" s="65" t="n"/>
      <c r="AZ726" s="65" t="n"/>
      <c r="BA726" s="65" t="n"/>
      <c r="BB726" s="65" t="n"/>
      <c r="BC726" s="65" t="n"/>
      <c r="BD726" s="65" t="n"/>
      <c r="BE726" s="65" t="n"/>
      <c r="BF726" s="65" t="n"/>
      <c r="BG726" s="65" t="n"/>
      <c r="BH726" s="59" t="inlineStr">
        <is>
          <t>花京院2-2-29 207号。6/23嶋中様メール「工事一式￥150,000(税別)にてお願い致します」で確定(19ef3362ddb83aff)。工事7/22-23</t>
        </is>
      </c>
    </row>
    <row r="727">
      <c r="B727" s="50" t="inlineStr">
        <is>
          <t>大河原雄一郎邸</t>
        </is>
      </c>
      <c r="C727" s="50" t="inlineStr">
        <is>
          <t>積水ハウスサポートプラス</t>
        </is>
      </c>
      <c r="D727" s="50" t="inlineStr">
        <is>
          <t>電動シャッターBOX塗装</t>
        </is>
      </c>
      <c r="E727" s="50" t="inlineStr">
        <is>
          <t>7月</t>
        </is>
      </c>
      <c r="F727" s="84" t="n">
        <v>50000</v>
      </c>
      <c r="G727" s="68">
        <f>IF(B727="","",F727-I727 )</f>
        <v/>
      </c>
      <c r="H727" s="5">
        <f>IF(G727="","",G727/F727)</f>
        <v/>
      </c>
      <c r="I727" s="62">
        <f>SUM(テーブル9[[#This Row],[五大]:[工場材]])</f>
        <v/>
      </c>
      <c r="J727" s="65" t="n"/>
      <c r="K727" s="65" t="n"/>
      <c r="L727" s="65" t="n"/>
      <c r="M727" s="65" t="n"/>
      <c r="N727" s="65" t="n"/>
      <c r="O727" s="65" t="n"/>
      <c r="P727" s="65" t="n"/>
      <c r="Q727" s="65" t="n"/>
      <c r="R727" s="65" t="n"/>
      <c r="S727" s="65" t="n"/>
      <c r="T727" s="65" t="n"/>
      <c r="U727" s="65" t="n"/>
      <c r="V727" s="65" t="n"/>
      <c r="W727" s="65" t="n"/>
      <c r="X727" s="66" t="n"/>
      <c r="Y727" s="65" t="n"/>
      <c r="Z727" s="65" t="n"/>
      <c r="AA727" s="65" t="n"/>
      <c r="AB727" s="65" t="n"/>
      <c r="AC727" s="65" t="n"/>
      <c r="AD727" s="65" t="n"/>
      <c r="AE727" s="65" t="n"/>
      <c r="AF727" s="65" t="n"/>
      <c r="AG727" s="65" t="n"/>
      <c r="AH727" s="65" t="n"/>
      <c r="AI727" s="65" t="n"/>
      <c r="AJ727" s="65" t="n"/>
      <c r="AK727" s="65" t="n"/>
      <c r="AL727" s="65" t="n"/>
      <c r="AM727" s="65" t="n"/>
      <c r="AN727" s="65" t="n"/>
      <c r="AO727" s="65" t="n"/>
      <c r="AP727" s="65" t="n"/>
      <c r="AQ727" s="65" t="n"/>
      <c r="AR727" s="65" t="n"/>
      <c r="AS727" s="65" t="n"/>
      <c r="AT727" s="65" t="n"/>
      <c r="AU727" s="65" t="n"/>
      <c r="AV727" s="65" t="n"/>
      <c r="AW727" s="65" t="n"/>
      <c r="AX727" s="65" t="n"/>
      <c r="AY727" s="65" t="n"/>
      <c r="AZ727" s="65" t="n"/>
      <c r="BA727" s="65" t="n"/>
      <c r="BB727" s="65" t="n"/>
      <c r="BC727" s="65" t="n"/>
      <c r="BD727" s="65" t="n"/>
      <c r="BE727" s="65" t="n"/>
      <c r="BF727" s="65" t="n"/>
      <c r="BG727" s="65" t="n"/>
      <c r="BH727" s="59" t="inlineStr">
        <is>
          <t>7/3見積50,000(税抜)提出(美慧様送信19f259ef09542dd6)→7/12橋上様「工事お願い致します」で発注(19f53dfe881ac5c6)。月木金指定</t>
        </is>
      </c>
    </row>
    <row r="728">
      <c r="B728" s="1" t="inlineStr">
        <is>
          <t>STAY TOYOMA</t>
        </is>
      </c>
      <c r="C728" s="1" t="inlineStr">
        <is>
          <t>あいホーム</t>
        </is>
      </c>
      <c r="D728" s="1" t="inlineStr">
        <is>
          <t>二期工事</t>
        </is>
      </c>
      <c r="E728" s="2" t="inlineStr">
        <is>
          <t>7月</t>
        </is>
      </c>
      <c r="F728" s="68" t="n"/>
      <c r="G728" s="68">
        <f>IF(B728="","",F728-I728 )</f>
        <v/>
      </c>
      <c r="H728" s="5">
        <f>IF(G728="","",G728/F728)</f>
        <v/>
      </c>
      <c r="I728" s="62">
        <f>SUM(テーブル9[[#This Row],[五大]:[工場材]])</f>
        <v/>
      </c>
      <c r="J728" s="65" t="n"/>
      <c r="K728" s="65" t="n"/>
      <c r="L728" s="65" t="n"/>
      <c r="M728" s="65" t="n"/>
      <c r="N728" s="65" t="n"/>
      <c r="O728" s="65" t="n"/>
      <c r="P728" s="65" t="n"/>
      <c r="Q728" s="65" t="n"/>
      <c r="R728" s="65" t="n"/>
      <c r="S728" s="65" t="n"/>
      <c r="T728" s="65" t="n"/>
      <c r="U728" s="65" t="n"/>
      <c r="V728" s="65" t="n"/>
      <c r="W728" s="65" t="n"/>
      <c r="X728" s="66" t="n"/>
      <c r="Y728" s="65" t="n"/>
      <c r="Z728" s="65" t="n"/>
      <c r="AA728" s="65" t="n">
        <v>40000</v>
      </c>
      <c r="AB728" s="64">
        <f>60000+60000</f>
        <v/>
      </c>
      <c r="AC728" s="65" t="n"/>
      <c r="AD728" s="65" t="n"/>
      <c r="AE728" s="65" t="n"/>
      <c r="AF728" s="65" t="n"/>
      <c r="AG728" s="65" t="n"/>
      <c r="AH728" s="65" t="n"/>
      <c r="AI728" s="65" t="n"/>
      <c r="AJ728" s="65" t="n"/>
      <c r="AK728" s="65" t="n"/>
      <c r="AL728" s="65" t="n"/>
      <c r="AM728" s="65" t="n"/>
      <c r="AN728" s="65" t="n"/>
      <c r="AO728" s="65" t="n"/>
      <c r="AP728" s="65" t="n"/>
      <c r="AQ728" s="65" t="n"/>
      <c r="AR728" s="65" t="n"/>
      <c r="AS728" s="65" t="n"/>
      <c r="AT728" s="65" t="n"/>
      <c r="AU728" s="65" t="n"/>
      <c r="AV728" s="65" t="n"/>
      <c r="AW728" s="65" t="n"/>
      <c r="AX728" s="65" t="n"/>
      <c r="AY728" s="65" t="n"/>
      <c r="AZ728" s="65" t="n"/>
      <c r="BA728" s="65" t="n"/>
      <c r="BB728" s="65" t="n"/>
      <c r="BC728" s="65" t="n"/>
      <c r="BD728" s="65" t="n"/>
      <c r="BE728" s="65" t="n"/>
      <c r="BF728" s="65" t="n"/>
      <c r="BG728" s="65" t="n"/>
    </row>
    <row r="729">
      <c r="B729" s="1" t="inlineStr">
        <is>
          <t>菊池美佐子邸</t>
        </is>
      </c>
      <c r="C729" s="1" t="inlineStr">
        <is>
          <t>光和工業</t>
        </is>
      </c>
      <c r="D729" s="1" t="inlineStr">
        <is>
          <t>1F改修</t>
        </is>
      </c>
      <c r="E729" s="2" t="inlineStr">
        <is>
          <t>7月</t>
        </is>
      </c>
      <c r="F729" s="89" t="n">
        <v>3000000</v>
      </c>
      <c r="G729" s="68">
        <f>IF(B729="","",F729-I729 )</f>
        <v/>
      </c>
      <c r="H729" s="5">
        <f>IF(G729="","",G729/F729)</f>
        <v/>
      </c>
      <c r="I729" s="62">
        <f>SUM(テーブル9[[#This Row],[五大]:[工場材]])</f>
        <v/>
      </c>
      <c r="J729" s="65" t="n"/>
      <c r="K729" s="65" t="n"/>
      <c r="L729" s="65" t="n"/>
      <c r="M729" s="65" t="n"/>
      <c r="N729" s="65" t="n"/>
      <c r="O729" s="90" t="n">
        <v>8250</v>
      </c>
      <c r="P729" s="65" t="n"/>
      <c r="Q729" s="65" t="n"/>
      <c r="R729" s="65" t="n"/>
      <c r="S729" s="65" t="n"/>
      <c r="T729" s="65" t="n"/>
      <c r="U729" s="65" t="n"/>
      <c r="V729" s="65" t="n"/>
      <c r="W729" s="90" t="n">
        <v>230505</v>
      </c>
      <c r="X729" s="66" t="n"/>
      <c r="Y729" s="65" t="n"/>
      <c r="Z729" s="65" t="n"/>
      <c r="AA729" s="65" t="n">
        <v>98000</v>
      </c>
      <c r="AB729" s="90" t="n">
        <v>4400</v>
      </c>
      <c r="AC729" s="65" t="n"/>
      <c r="AD729" s="65" t="n"/>
      <c r="AE729" s="64" t="n">
        <v>1125380</v>
      </c>
      <c r="AF729" s="65" t="n"/>
      <c r="AG729" s="65" t="n"/>
      <c r="AH729" s="90" t="n">
        <v>317790</v>
      </c>
      <c r="AI729" s="65" t="n"/>
      <c r="AJ729" s="65" t="n"/>
      <c r="AK729" s="65" t="n"/>
      <c r="AL729" s="65" t="n"/>
      <c r="AM729" s="65" t="n"/>
      <c r="AN729" s="65" t="n"/>
      <c r="AO729" s="65" t="n"/>
      <c r="AP729" s="65">
        <f>64400+6440+5180+15040+5190+14900+7100+4500+135430+44290</f>
        <v/>
      </c>
      <c r="AQ729" s="65" t="n"/>
      <c r="AR729" s="65" t="n"/>
      <c r="AS729" s="65" t="n"/>
      <c r="AT729" s="65" t="n"/>
      <c r="AU729" s="65" t="n"/>
      <c r="AV729" s="65" t="n"/>
      <c r="AW729" s="65" t="n"/>
      <c r="AX729" s="65" t="n"/>
      <c r="AY729" s="65" t="n"/>
      <c r="AZ729" s="65" t="n"/>
      <c r="BA729" s="65" t="n"/>
      <c r="BB729" s="65" t="n"/>
      <c r="BC729" s="65" t="n"/>
      <c r="BD729" s="65" t="n"/>
      <c r="BE729" s="65" t="n"/>
      <c r="BF729" s="65" t="n"/>
      <c r="BG729" s="65" t="n"/>
      <c r="BH729" s="91" t="inlineStr">
        <is>
          <t>千葉住建=千葉住建様の実見積書(玄関ドア・インプラス2・勝手口サッシ撤去+壁復旧・処分費・運搬費)と光和見積の業者原価欄が一致、実額。はやでん(AA)・サステム(AP)は既存記入を尊重し不変更。伊藤建装(解体・大工・下地・シロアリ補修・下駄箱解体組立・洗面天井)/BLUE(クロス・CF・床材)/霞興業(洗濯機乾燥機脱着)/安井塗装(外壁塗装小規模)は⚠️実見積未取得のため売価×55%の概算。原価合計2,086,795円(原価率69.6%・粗利30.4%)。業者見積確定後に差替え要。</t>
        </is>
      </c>
    </row>
    <row r="730">
      <c r="B730" s="1" t="inlineStr">
        <is>
          <t>さくらホーム</t>
        </is>
      </c>
      <c r="C730" s="1" t="inlineStr">
        <is>
          <t>光和工業</t>
        </is>
      </c>
      <c r="D730" s="1" t="inlineStr">
        <is>
          <t>防犯カメラ点検</t>
        </is>
      </c>
      <c r="E730" s="2" t="inlineStr">
        <is>
          <t>7月</t>
        </is>
      </c>
      <c r="F730" s="68" t="n">
        <v>8000</v>
      </c>
      <c r="G730" s="68">
        <f>IF(B730="","",F730-I730 )</f>
        <v/>
      </c>
      <c r="H730" s="5">
        <f>IF(G730="","",G730/F730)</f>
        <v/>
      </c>
      <c r="I730" s="62">
        <f>SUM(テーブル9[[#This Row],[五大]:[工場材]])</f>
        <v/>
      </c>
      <c r="J730" s="65" t="n"/>
      <c r="K730" s="65" t="n"/>
      <c r="L730" s="65" t="n"/>
      <c r="M730" s="65" t="n"/>
      <c r="N730" s="65" t="n"/>
      <c r="O730" s="65" t="n"/>
      <c r="P730" s="65" t="n"/>
      <c r="Q730" s="65" t="n"/>
      <c r="R730" s="65" t="n"/>
      <c r="S730" s="65" t="n"/>
      <c r="T730" s="65" t="n"/>
      <c r="U730" s="65" t="n"/>
      <c r="V730" s="65" t="n"/>
      <c r="W730" s="65" t="n"/>
      <c r="X730" s="66" t="n"/>
      <c r="Y730" s="65" t="n"/>
      <c r="Z730" s="65" t="n"/>
      <c r="AA730" s="65" t="n">
        <v>7000</v>
      </c>
      <c r="AB730" s="65" t="n"/>
      <c r="AC730" s="65" t="n"/>
      <c r="AD730" s="65" t="n"/>
      <c r="AE730" s="65" t="n"/>
      <c r="AF730" s="65" t="n"/>
      <c r="AG730" s="65" t="n"/>
      <c r="AH730" s="65" t="n"/>
      <c r="AI730" s="65" t="n"/>
      <c r="AJ730" s="65" t="n"/>
      <c r="AK730" s="65" t="n"/>
      <c r="AL730" s="65" t="n"/>
      <c r="AM730" s="65" t="n"/>
      <c r="AN730" s="65" t="n"/>
      <c r="AO730" s="65" t="n"/>
      <c r="AP730" s="65" t="n"/>
      <c r="AQ730" s="65" t="n"/>
      <c r="AR730" s="65" t="n"/>
      <c r="AS730" s="65" t="n"/>
      <c r="AT730" s="65" t="n"/>
      <c r="AU730" s="65" t="n"/>
      <c r="AV730" s="65" t="n"/>
      <c r="AW730" s="65" t="n"/>
      <c r="AX730" s="65" t="n"/>
      <c r="AY730" s="65" t="n"/>
      <c r="AZ730" s="65" t="n"/>
      <c r="BA730" s="65" t="n"/>
      <c r="BB730" s="65" t="n"/>
      <c r="BC730" s="65" t="n"/>
      <c r="BD730" s="65" t="n"/>
      <c r="BE730" s="65" t="n"/>
      <c r="BF730" s="65" t="n"/>
      <c r="BG730" s="65" t="n"/>
    </row>
    <row r="731">
      <c r="B731" s="1" t="inlineStr">
        <is>
          <t>中島邸</t>
        </is>
      </c>
      <c r="C731" s="1" t="inlineStr">
        <is>
          <t>光和工業</t>
        </is>
      </c>
      <c r="D731" s="1" t="inlineStr">
        <is>
          <t>光和工業</t>
        </is>
      </c>
      <c r="E731" s="2" t="inlineStr">
        <is>
          <t>7月</t>
        </is>
      </c>
      <c r="F731" s="68" t="n"/>
      <c r="G731" s="68">
        <f>IF(B731="","",F731-I731 )</f>
        <v/>
      </c>
      <c r="H731" s="5">
        <f>IF(G731="","",G731/F731)</f>
        <v/>
      </c>
      <c r="I731" s="62">
        <f>SUM(テーブル9[[#This Row],[五大]:[工場材]])</f>
        <v/>
      </c>
      <c r="J731" s="65" t="n"/>
      <c r="K731" s="65" t="n"/>
      <c r="L731" s="65" t="n"/>
      <c r="M731" s="65" t="n"/>
      <c r="N731" s="65" t="n"/>
      <c r="O731" s="65" t="n"/>
      <c r="P731" s="65" t="n"/>
      <c r="Q731" s="65" t="n"/>
      <c r="R731" s="65" t="n"/>
      <c r="S731" s="65" t="n"/>
      <c r="T731" s="65" t="n"/>
      <c r="U731" s="65" t="n"/>
      <c r="V731" s="65" t="n"/>
      <c r="W731" s="65" t="n"/>
      <c r="X731" s="66" t="n"/>
      <c r="Y731" s="65" t="n"/>
      <c r="Z731" s="65" t="n"/>
      <c r="AA731" s="65" t="n">
        <v>22000</v>
      </c>
      <c r="AB731" s="64" t="n">
        <v>15000</v>
      </c>
      <c r="AC731" s="65" t="n"/>
      <c r="AD731" s="65" t="n"/>
      <c r="AE731" s="65" t="n"/>
      <c r="AF731" s="65" t="n"/>
      <c r="AG731" s="65" t="n"/>
      <c r="AH731" s="65" t="n"/>
      <c r="AI731" s="65" t="n"/>
      <c r="AJ731" s="65" t="n"/>
      <c r="AK731" s="65" t="n"/>
      <c r="AL731" s="65" t="n"/>
      <c r="AM731" s="65" t="n"/>
      <c r="AN731" s="65" t="n"/>
      <c r="AO731" s="65" t="n"/>
      <c r="AP731" s="65">
        <f>32925+3450+111500</f>
        <v/>
      </c>
      <c r="AQ731" s="65" t="n"/>
      <c r="AR731" s="65" t="n"/>
      <c r="AS731" s="65" t="n"/>
      <c r="AT731" s="65" t="n"/>
      <c r="AU731" s="65" t="n"/>
      <c r="AV731" s="65" t="n"/>
      <c r="AW731" s="65" t="n"/>
      <c r="AX731" s="65" t="n"/>
      <c r="AY731" s="65" t="n"/>
      <c r="AZ731" s="65" t="n"/>
      <c r="BA731" s="65" t="n"/>
      <c r="BB731" s="65" t="n"/>
      <c r="BC731" s="65" t="n"/>
      <c r="BD731" s="65" t="n"/>
      <c r="BE731" s="65" t="n"/>
      <c r="BF731" s="65" t="n"/>
      <c r="BG731" s="65" t="n"/>
    </row>
    <row r="732">
      <c r="B732" s="1" t="inlineStr">
        <is>
          <t>小野 勝子様邸</t>
        </is>
      </c>
      <c r="C732" s="1" t="inlineStr">
        <is>
          <t>LIXIL</t>
        </is>
      </c>
      <c r="D732" s="1" t="inlineStr">
        <is>
          <t>トイレ交換</t>
        </is>
      </c>
      <c r="E732" s="2" t="inlineStr">
        <is>
          <t>7月</t>
        </is>
      </c>
      <c r="F732" s="68">
        <f>28000+20000+7000+23000+16000</f>
        <v/>
      </c>
      <c r="G732" s="68">
        <f>IF(B732="","",F732-I732 )</f>
        <v/>
      </c>
      <c r="H732" s="5">
        <f>IF(G732="","",G732/F732)</f>
        <v/>
      </c>
      <c r="I732" s="62">
        <f>SUM(テーブル9[[#This Row],[五大]:[工場材]])</f>
        <v/>
      </c>
      <c r="J732" s="65" t="n"/>
      <c r="K732" s="65" t="n"/>
      <c r="L732" s="65" t="n"/>
      <c r="M732" s="65" t="n"/>
      <c r="N732" s="65" t="n"/>
      <c r="O732" s="65" t="n"/>
      <c r="P732" s="65" t="n"/>
      <c r="Q732" s="65" t="n"/>
      <c r="R732" s="65" t="n"/>
      <c r="S732" s="65" t="n"/>
      <c r="T732" s="65" t="n"/>
      <c r="U732" s="65" t="n"/>
      <c r="V732" s="65" t="n"/>
      <c r="W732" s="65" t="n"/>
      <c r="X732" s="66" t="n"/>
      <c r="Y732" s="65" t="n"/>
      <c r="Z732" s="65" t="n"/>
      <c r="AA732" s="65" t="n"/>
      <c r="AB732" s="65" t="n"/>
      <c r="AC732" s="65" t="n"/>
      <c r="AD732" s="65" t="n"/>
      <c r="AE732" s="65" t="n"/>
      <c r="AF732" s="65" t="n"/>
      <c r="AG732" s="65" t="n"/>
      <c r="AH732" s="65" t="n"/>
      <c r="AI732" s="65" t="n"/>
      <c r="AJ732" s="65" t="n"/>
      <c r="AK732" s="65" t="n"/>
      <c r="AL732" s="65" t="n"/>
      <c r="AM732" s="65" t="n"/>
      <c r="AN732" s="65" t="n"/>
      <c r="AO732" s="65" t="n"/>
      <c r="AP732" s="65" t="n"/>
      <c r="AQ732" s="65" t="n"/>
      <c r="AR732" s="65" t="n"/>
      <c r="AS732" s="65" t="n"/>
      <c r="AT732" s="65" t="n"/>
      <c r="AU732" s="65" t="n"/>
      <c r="AV732" s="65" t="n"/>
      <c r="AW732" s="65" t="n"/>
      <c r="AX732" s="65" t="n"/>
      <c r="AY732" s="65" t="n"/>
      <c r="AZ732" s="65" t="n"/>
      <c r="BA732" s="65" t="n"/>
      <c r="BB732" s="65" t="n"/>
      <c r="BC732" s="65" t="n"/>
      <c r="BD732" s="65" t="n"/>
      <c r="BE732" s="65" t="n"/>
      <c r="BF732" s="65" t="n"/>
      <c r="BG732" s="65" t="n"/>
    </row>
    <row r="733">
      <c r="B733" s="1" t="inlineStr">
        <is>
          <t>山田邸　カーポート樋交換</t>
        </is>
      </c>
      <c r="C733" s="1" t="inlineStr">
        <is>
          <t>LIXIL</t>
        </is>
      </c>
      <c r="D733" s="1" t="inlineStr">
        <is>
          <t>問い交換</t>
        </is>
      </c>
      <c r="F733" s="68">
        <f>2000+18018+1982</f>
        <v/>
      </c>
      <c r="G733" s="68">
        <f>IF(B733="","",F733-I733 )</f>
        <v/>
      </c>
      <c r="H733" s="5">
        <f>IF(G733="","",G733/F733)</f>
        <v/>
      </c>
      <c r="I733" s="62">
        <f>SUM(テーブル9[[#This Row],[五大]:[工場材]])</f>
        <v/>
      </c>
      <c r="J733" s="65" t="n"/>
      <c r="K733" s="65" t="n"/>
      <c r="L733" s="65" t="n"/>
      <c r="M733" s="65" t="n"/>
      <c r="N733" s="65" t="n"/>
      <c r="O733" s="65" t="n"/>
      <c r="P733" s="65" t="n"/>
      <c r="Q733" s="65" t="n"/>
      <c r="R733" s="65" t="n"/>
      <c r="S733" s="65" t="n"/>
      <c r="T733" s="65" t="n"/>
      <c r="U733" s="65" t="n"/>
      <c r="V733" s="65" t="n"/>
      <c r="W733" s="65" t="n"/>
      <c r="X733" s="66" t="n"/>
      <c r="Y733" s="65" t="n"/>
      <c r="Z733" s="65" t="n"/>
      <c r="AA733" s="65" t="n"/>
      <c r="AB733" s="65" t="n"/>
      <c r="AC733" s="65" t="n"/>
      <c r="AD733" s="65" t="n"/>
      <c r="AE733" s="65" t="n">
        <v>15000</v>
      </c>
      <c r="AF733" s="65" t="n"/>
      <c r="AG733" s="65" t="n"/>
      <c r="AH733" s="65" t="n"/>
      <c r="AI733" s="65" t="n"/>
      <c r="AJ733" s="65" t="n"/>
      <c r="AK733" s="65" t="n"/>
      <c r="AL733" s="65" t="n"/>
      <c r="AM733" s="65" t="n"/>
      <c r="AN733" s="65" t="n"/>
      <c r="AO733" s="65" t="n"/>
      <c r="AP733" s="65" t="n"/>
      <c r="AQ733" s="65" t="n"/>
      <c r="AR733" s="65" t="n"/>
      <c r="AS733" s="65" t="n"/>
      <c r="AT733" s="65" t="n"/>
      <c r="AU733" s="65" t="n"/>
      <c r="AV733" s="65" t="n"/>
      <c r="AW733" s="65" t="n"/>
      <c r="AX733" s="65" t="n"/>
      <c r="AY733" s="65" t="n"/>
      <c r="AZ733" s="65" t="n"/>
      <c r="BA733" s="65" t="n"/>
      <c r="BB733" s="65" t="n"/>
      <c r="BC733" s="65" t="n"/>
      <c r="BD733" s="65" t="n"/>
      <c r="BE733" s="65" t="n"/>
      <c r="BF733" s="65" t="n"/>
      <c r="BG733" s="65" t="n"/>
    </row>
    <row r="734">
      <c r="B734" s="0" t="inlineStr">
        <is>
          <t>桂パークハウス西街区四番館502 吉田貢様邸</t>
        </is>
      </c>
      <c r="C734" s="0" t="inlineStr">
        <is>
          <t>LIXIL</t>
        </is>
      </c>
      <c r="D734" s="0" t="inlineStr">
        <is>
          <t>UB・トイレ(Jフィット)交換・洗濯機パン交換・内装(クロス/CF張替)</t>
        </is>
      </c>
      <c r="E734" s="0" t="inlineStr">
        <is>
          <t>8月</t>
        </is>
      </c>
      <c r="F734" s="68" t="n"/>
      <c r="G734" s="68">
        <f>IF(B734="","",F734-I734 )</f>
        <v/>
      </c>
      <c r="H734" s="5">
        <f>IF(G734="","",G734/F734)</f>
        <v/>
      </c>
      <c r="I734" s="62">
        <f>SUM(テーブル9[[#This Row],[五大]:[工場材]])</f>
        <v/>
      </c>
      <c r="J734" s="65" t="n"/>
      <c r="K734" s="65" t="n"/>
      <c r="L734" s="65" t="n"/>
      <c r="M734" s="65" t="n"/>
      <c r="N734" s="65" t="n"/>
      <c r="O734" s="65" t="n"/>
      <c r="P734" s="65" t="n"/>
      <c r="Q734" s="65" t="n"/>
      <c r="R734" s="65" t="n"/>
      <c r="S734" s="65" t="n"/>
      <c r="T734" s="65" t="n"/>
      <c r="U734" s="65" t="n"/>
      <c r="V734" s="65" t="n"/>
      <c r="W734" s="65" t="n"/>
      <c r="X734" s="66" t="n"/>
      <c r="Y734" s="65" t="n"/>
      <c r="Z734" s="65" t="n"/>
      <c r="AA734" s="65" t="n"/>
      <c r="AB734" s="65" t="n"/>
      <c r="AC734" s="65" t="n"/>
      <c r="AD734" s="65" t="n"/>
      <c r="AE734" s="65" t="n"/>
      <c r="AF734" s="65" t="n"/>
      <c r="AG734" s="65" t="n"/>
      <c r="AH734" s="65" t="n"/>
      <c r="AI734" s="65" t="n"/>
      <c r="AJ734" s="65" t="n"/>
      <c r="AK734" s="65" t="n"/>
      <c r="AL734" s="65" t="n"/>
      <c r="AM734" s="65" t="n"/>
      <c r="AN734" s="65" t="n"/>
      <c r="AO734" s="65" t="n"/>
      <c r="AP734" s="65" t="n"/>
      <c r="AQ734" s="65" t="n"/>
      <c r="AR734" s="65" t="n"/>
      <c r="AS734" s="65" t="n"/>
      <c r="AT734" s="65" t="n"/>
      <c r="AU734" s="65" t="n"/>
      <c r="AV734" s="65" t="n"/>
      <c r="AW734" s="65" t="n"/>
      <c r="AX734" s="65" t="n"/>
      <c r="AY734" s="65" t="n"/>
      <c r="AZ734" s="65" t="n"/>
      <c r="BA734" s="65" t="n"/>
      <c r="BB734" s="65" t="n"/>
      <c r="BC734" s="65" t="n"/>
      <c r="BD734" s="65" t="n"/>
      <c r="BE734" s="65" t="n"/>
      <c r="BF734" s="65" t="n"/>
      <c r="BG734" s="65" t="n"/>
      <c r="BH734" s="0" t="inlineStr">
        <is>
          <t>8/25-29着工。工程は仮工程_受信タブへ反映済(伊藤建装=解体8/25・額縁/下地8/27、霞興業=設備8/25,27-28、はやでん=電気8/25,27、BLUE=内装8/27、MCB=清掃8/29、LTSはLIXIL手配のUB組立8/26のため計上不要)。⚠️受注金額(F列)・業者予算は未記入＝根拠なし。送信済メール(見積提出)・デスクトップの見積依頼系フォルダとも本件の該当なし。LIXIL佐藤保彦様は見積書を作らず口頭『予算的に◯◯円欲しい』で確定する担当のため書面根拠が無い。近い過去実績: 大村様邸トイレJフィット単体150,000円(範囲が違うため参考程度)。金額は社長が佐藤保彦様と電話確認後に記入要。</t>
        </is>
      </c>
    </row>
    <row r="735">
      <c r="B735" t="inlineStr">
        <is>
          <t>桂パークハウス西街区壱番館308 安部真理様邸</t>
        </is>
      </c>
      <c r="C735" t="inlineStr">
        <is>
          <t>LIXIL</t>
        </is>
      </c>
      <c r="D735" t="inlineStr">
        <is>
          <t>トイレ交換工事(既存解体・便器タンク取付・床CF張替)</t>
        </is>
      </c>
      <c r="E735" t="inlineStr">
        <is>
          <t>7月</t>
        </is>
      </c>
      <c r="F735" s="89" t="n">
        <v>51000</v>
      </c>
      <c r="G735" s="68">
        <f>IF(B735="","",F735-I735 )</f>
        <v/>
      </c>
      <c r="H735" s="5">
        <f>IF(G735="","",G735/F735)</f>
        <v/>
      </c>
      <c r="I735" s="62">
        <f>SUM(テーブル9[[#This Row],[五大]:[工場材]])</f>
        <v/>
      </c>
      <c r="J735" s="65" t="n"/>
      <c r="K735" s="65" t="n"/>
      <c r="L735" s="65" t="n"/>
      <c r="M735" s="65" t="n"/>
      <c r="N735" s="65" t="n"/>
      <c r="O735" s="65" t="n"/>
      <c r="P735" s="65" t="n"/>
      <c r="Q735" s="65" t="n"/>
      <c r="R735" s="65" t="n"/>
      <c r="S735" s="65" t="n"/>
      <c r="T735" s="65" t="n"/>
      <c r="U735" s="65" t="n"/>
      <c r="V735" s="65" t="n"/>
      <c r="W735" s="65" t="n"/>
      <c r="X735" s="66" t="n"/>
      <c r="Y735" s="65" t="n"/>
      <c r="Z735" s="65" t="n"/>
      <c r="AA735" s="65" t="n"/>
      <c r="AB735" s="90" t="n">
        <v>21700</v>
      </c>
      <c r="AC735" s="65" t="n"/>
      <c r="AD735" s="65" t="n"/>
      <c r="AE735" s="65" t="n"/>
      <c r="AF735" s="65" t="n"/>
      <c r="AG735" s="65" t="n"/>
      <c r="AH735" s="90" t="n">
        <v>15000</v>
      </c>
      <c r="AI735" s="65" t="n"/>
      <c r="AJ735" s="65" t="n"/>
      <c r="AK735" s="65" t="n"/>
      <c r="AL735" s="65" t="n"/>
      <c r="AM735" s="65" t="n"/>
      <c r="AN735" s="65" t="n"/>
      <c r="AO735" s="65" t="n"/>
      <c r="AP735" s="65" t="n"/>
      <c r="AQ735" s="65" t="n"/>
      <c r="AR735" s="65" t="n"/>
      <c r="AS735" s="65" t="n"/>
      <c r="AT735" s="65" t="n"/>
      <c r="AU735" s="65" t="n"/>
      <c r="AV735" s="65" t="n"/>
      <c r="AW735" s="65" t="n"/>
      <c r="AX735" s="65" t="n"/>
      <c r="AY735" s="65" t="n"/>
      <c r="AZ735" s="65" t="n"/>
      <c r="BA735" s="65" t="n"/>
      <c r="BB735" s="65" t="n"/>
      <c r="BC735" s="65" t="n"/>
      <c r="BD735" s="65" t="n"/>
      <c r="BE735" s="65" t="n"/>
      <c r="BF735" s="65" t="n"/>
      <c r="BG735" s="65" t="n"/>
      <c r="BH735" s="91" t="inlineStr">
        <is>
          <t>LIXIL注文書CA106-2607006-001で確定(税抜51,000)。内訳:既存解体8,000/便器・タンク取付18,000/床CF張替18,000/法定福利6,000/諸経費(養生)1,000。施工日7/31(1日・マンショントイレ交換)。業者はシートZガントチャート「🏠桂 安部様邸」ブロックの実割付(設備工事=霞興業/内装工事=BLUE)に準拠。原価は⚠️業者見積未取得のため概算(原価率72%目安):霞興業=既存解体+便器タンク取付+法定福利・諸経費按分、BLUE=床CF張替+法定福利・諸経費按分。原価合計36,700円(原価率72.0%・粗利28.0%)。業者見積確定後に差替え要。</t>
        </is>
      </c>
    </row>
    <row r="736">
      <c r="F736" s="68" t="n"/>
      <c r="G736" s="68">
        <f>IF(B736="","",F736-I736 )</f>
        <v/>
      </c>
      <c r="H736" s="5">
        <f>IF(G736="","",G736/F736)</f>
        <v/>
      </c>
      <c r="I736" s="62">
        <f>SUM(テーブル9[[#This Row],[五大]:[工場材]])</f>
        <v/>
      </c>
      <c r="J736" s="65" t="n"/>
      <c r="K736" s="65" t="n"/>
      <c r="L736" s="65" t="n"/>
      <c r="M736" s="65" t="n"/>
      <c r="N736" s="65" t="n"/>
      <c r="O736" s="65" t="n"/>
      <c r="P736" s="65" t="n"/>
      <c r="Q736" s="65" t="n"/>
      <c r="R736" s="65" t="n"/>
      <c r="S736" s="65" t="n"/>
      <c r="T736" s="65" t="n"/>
      <c r="U736" s="65" t="n"/>
      <c r="V736" s="65" t="n"/>
      <c r="W736" s="65" t="n"/>
      <c r="X736" s="66" t="n"/>
      <c r="Y736" s="65" t="n"/>
      <c r="Z736" s="65" t="n"/>
      <c r="AA736" s="65" t="n"/>
      <c r="AB736" s="65" t="n"/>
      <c r="AC736" s="65" t="n"/>
      <c r="AD736" s="65" t="n"/>
      <c r="AE736" s="65" t="n"/>
      <c r="AF736" s="65" t="n"/>
      <c r="AG736" s="65" t="n"/>
      <c r="AH736" s="65" t="n"/>
      <c r="AI736" s="65" t="n"/>
      <c r="AJ736" s="65" t="n"/>
      <c r="AK736" s="65" t="n"/>
      <c r="AL736" s="65" t="n"/>
      <c r="AM736" s="65" t="n"/>
      <c r="AN736" s="65" t="n"/>
      <c r="AO736" s="65" t="n"/>
      <c r="AP736" s="65" t="n"/>
      <c r="AQ736" s="65" t="n"/>
      <c r="AR736" s="65" t="n"/>
      <c r="AS736" s="65" t="n"/>
      <c r="AT736" s="65" t="n"/>
      <c r="AU736" s="65" t="n"/>
      <c r="AV736" s="65" t="n"/>
      <c r="AW736" s="65" t="n"/>
      <c r="AX736" s="65" t="n"/>
      <c r="AY736" s="65" t="n"/>
      <c r="AZ736" s="65" t="n"/>
      <c r="BA736" s="65" t="n"/>
      <c r="BB736" s="65" t="n"/>
      <c r="BC736" s="65" t="n"/>
      <c r="BD736" s="65" t="n"/>
      <c r="BE736" s="65" t="n"/>
      <c r="BF736" s="65" t="n"/>
      <c r="BG736" s="65" t="n"/>
    </row>
    <row r="737">
      <c r="F737" s="68" t="n"/>
      <c r="G737" s="68">
        <f>IF(B737="","",F737-I737 )</f>
        <v/>
      </c>
      <c r="H737" s="5">
        <f>IF(G737="","",G737/F737)</f>
        <v/>
      </c>
      <c r="I737" s="62">
        <f>SUM(テーブル9[[#This Row],[五大]:[工場材]])</f>
        <v/>
      </c>
      <c r="J737" s="65" t="n"/>
      <c r="K737" s="65" t="n"/>
      <c r="L737" s="65" t="n"/>
      <c r="M737" s="65" t="n"/>
      <c r="N737" s="65" t="n"/>
      <c r="O737" s="65" t="n"/>
      <c r="P737" s="65" t="n"/>
      <c r="Q737" s="65" t="n"/>
      <c r="R737" s="65" t="n"/>
      <c r="S737" s="65" t="n"/>
      <c r="T737" s="65" t="n"/>
      <c r="U737" s="65" t="n"/>
      <c r="V737" s="65" t="n"/>
      <c r="W737" s="65" t="n"/>
      <c r="X737" s="66" t="n"/>
      <c r="Y737" s="65" t="n"/>
      <c r="Z737" s="65" t="n"/>
      <c r="AA737" s="65" t="n"/>
      <c r="AB737" s="65" t="n"/>
      <c r="AC737" s="65" t="n"/>
      <c r="AD737" s="65" t="n"/>
      <c r="AE737" s="65" t="n"/>
      <c r="AF737" s="65" t="n"/>
      <c r="AG737" s="65" t="n"/>
      <c r="AH737" s="65" t="n"/>
      <c r="AI737" s="65" t="n"/>
      <c r="AJ737" s="65" t="n"/>
      <c r="AK737" s="65" t="n"/>
      <c r="AL737" s="65" t="n"/>
      <c r="AM737" s="65" t="n"/>
      <c r="AN737" s="65" t="n"/>
      <c r="AO737" s="65" t="n"/>
      <c r="AP737" s="65" t="n"/>
      <c r="AQ737" s="65" t="n"/>
      <c r="AR737" s="65" t="n"/>
      <c r="AS737" s="65" t="n"/>
      <c r="AT737" s="65" t="n"/>
      <c r="AU737" s="65" t="n"/>
      <c r="AV737" s="65" t="n"/>
      <c r="AW737" s="65" t="n"/>
      <c r="AX737" s="65" t="n"/>
      <c r="AY737" s="65" t="n"/>
      <c r="AZ737" s="65" t="n"/>
      <c r="BA737" s="65" t="n"/>
      <c r="BB737" s="65" t="n"/>
      <c r="BC737" s="65" t="n"/>
      <c r="BD737" s="65" t="n"/>
      <c r="BE737" s="65" t="n"/>
      <c r="BF737" s="65" t="n"/>
      <c r="BG737" s="65" t="n"/>
    </row>
    <row r="738">
      <c r="F738" s="68" t="n"/>
      <c r="G738" s="68">
        <f>IF(B738="","",F738-I738 )</f>
        <v/>
      </c>
      <c r="H738" s="5">
        <f>IF(G738="","",G738/F738)</f>
        <v/>
      </c>
      <c r="I738" s="62">
        <f>SUM(テーブル9[[#This Row],[五大]:[工場材]])</f>
        <v/>
      </c>
      <c r="J738" s="65" t="n"/>
      <c r="K738" s="65" t="n"/>
      <c r="L738" s="65" t="n"/>
      <c r="M738" s="65" t="n"/>
      <c r="N738" s="65" t="n"/>
      <c r="O738" s="65" t="n"/>
      <c r="P738" s="65" t="n"/>
      <c r="Q738" s="65" t="n"/>
      <c r="R738" s="65" t="n"/>
      <c r="S738" s="65" t="n"/>
      <c r="T738" s="65" t="n"/>
      <c r="U738" s="65" t="n"/>
      <c r="V738" s="65" t="n"/>
      <c r="W738" s="65" t="n"/>
      <c r="X738" s="66" t="n"/>
      <c r="Y738" s="65" t="n"/>
      <c r="Z738" s="65" t="n"/>
      <c r="AA738" s="65" t="n"/>
      <c r="AB738" s="65" t="n"/>
      <c r="AC738" s="65" t="n"/>
      <c r="AD738" s="65" t="n"/>
      <c r="AE738" s="65" t="n"/>
      <c r="AF738" s="65" t="n"/>
      <c r="AG738" s="65" t="n"/>
      <c r="AH738" s="65" t="n"/>
      <c r="AI738" s="65" t="n"/>
      <c r="AJ738" s="65" t="n"/>
      <c r="AK738" s="65" t="n"/>
      <c r="AL738" s="65" t="n"/>
      <c r="AM738" s="65" t="n"/>
      <c r="AN738" s="65" t="n"/>
      <c r="AO738" s="65" t="n"/>
      <c r="AP738" s="65" t="n"/>
      <c r="AQ738" s="65" t="n"/>
      <c r="AR738" s="65" t="n"/>
      <c r="AS738" s="65" t="n"/>
      <c r="AT738" s="65" t="n"/>
      <c r="AU738" s="65" t="n"/>
      <c r="AV738" s="65" t="n"/>
      <c r="AW738" s="65" t="n"/>
      <c r="AX738" s="65" t="n"/>
      <c r="AY738" s="65" t="n"/>
      <c r="AZ738" s="65" t="n"/>
      <c r="BA738" s="65" t="n"/>
      <c r="BB738" s="65" t="n"/>
      <c r="BC738" s="65" t="n"/>
      <c r="BD738" s="65" t="n"/>
      <c r="BE738" s="65" t="n"/>
      <c r="BF738" s="65" t="n"/>
      <c r="BG738" s="65" t="n"/>
    </row>
    <row r="739">
      <c r="F739" s="68" t="n"/>
      <c r="G739" s="68">
        <f>IF(B739="","",F739-I739 )</f>
        <v/>
      </c>
      <c r="H739" s="5">
        <f>IF(G739="","",G739/F739)</f>
        <v/>
      </c>
      <c r="I739" s="62">
        <f>SUM(テーブル9[[#This Row],[五大]:[工場材]])</f>
        <v/>
      </c>
      <c r="J739" s="65" t="n"/>
      <c r="K739" s="65" t="n"/>
      <c r="L739" s="65" t="n"/>
      <c r="M739" s="65" t="n"/>
      <c r="N739" s="65" t="n"/>
      <c r="O739" s="65" t="n"/>
      <c r="P739" s="65" t="n"/>
      <c r="Q739" s="65" t="n"/>
      <c r="R739" s="65" t="n"/>
      <c r="S739" s="65" t="n"/>
      <c r="T739" s="65" t="n"/>
      <c r="U739" s="65" t="n"/>
      <c r="V739" s="65" t="n"/>
      <c r="W739" s="65" t="n"/>
      <c r="X739" s="66" t="n"/>
      <c r="Y739" s="65" t="n"/>
      <c r="Z739" s="65" t="n"/>
      <c r="AA739" s="65" t="n"/>
      <c r="AB739" s="65" t="n"/>
      <c r="AC739" s="65" t="n"/>
      <c r="AD739" s="65" t="n"/>
      <c r="AE739" s="65" t="n"/>
      <c r="AF739" s="65" t="n"/>
      <c r="AG739" s="65" t="n"/>
      <c r="AH739" s="65" t="n"/>
      <c r="AI739" s="65" t="n"/>
      <c r="AJ739" s="65" t="n"/>
      <c r="AK739" s="65" t="n"/>
      <c r="AL739" s="65" t="n"/>
      <c r="AM739" s="65" t="n"/>
      <c r="AN739" s="65" t="n"/>
      <c r="AO739" s="65" t="n"/>
      <c r="AP739" s="65" t="n"/>
      <c r="AQ739" s="65" t="n"/>
      <c r="AR739" s="65" t="n"/>
      <c r="AS739" s="65" t="n"/>
      <c r="AT739" s="65" t="n"/>
      <c r="AU739" s="65" t="n"/>
      <c r="AV739" s="65" t="n"/>
      <c r="AW739" s="65" t="n"/>
      <c r="AX739" s="65" t="n"/>
      <c r="AY739" s="65" t="n"/>
      <c r="AZ739" s="65" t="n"/>
      <c r="BA739" s="65" t="n"/>
      <c r="BB739" s="65" t="n"/>
      <c r="BC739" s="65" t="n"/>
      <c r="BD739" s="65" t="n"/>
      <c r="BE739" s="65" t="n"/>
      <c r="BF739" s="65" t="n"/>
      <c r="BG739" s="65" t="n"/>
    </row>
    <row r="740">
      <c r="F740" s="68" t="n"/>
      <c r="G740" s="68">
        <f>IF(B740="","",F740-I740 )</f>
        <v/>
      </c>
      <c r="H740" s="5">
        <f>IF(G740="","",G740/F740)</f>
        <v/>
      </c>
      <c r="I740" s="62">
        <f>SUM(テーブル9[[#This Row],[五大]:[工場材]])</f>
        <v/>
      </c>
      <c r="J740" s="65" t="n"/>
      <c r="K740" s="65" t="n"/>
      <c r="L740" s="65" t="n"/>
      <c r="M740" s="65" t="n"/>
      <c r="N740" s="65" t="n"/>
      <c r="O740" s="65" t="n"/>
      <c r="P740" s="65" t="n"/>
      <c r="Q740" s="65" t="n"/>
      <c r="R740" s="65" t="n"/>
      <c r="S740" s="65" t="n"/>
      <c r="T740" s="65" t="n"/>
      <c r="U740" s="65" t="n"/>
      <c r="V740" s="65" t="n"/>
      <c r="W740" s="65" t="n"/>
      <c r="X740" s="66" t="n"/>
      <c r="Y740" s="65" t="n"/>
      <c r="Z740" s="65" t="n"/>
      <c r="AA740" s="65" t="n"/>
      <c r="AB740" s="65" t="n"/>
      <c r="AC740" s="65" t="n"/>
      <c r="AD740" s="65" t="n"/>
      <c r="AE740" s="65" t="n"/>
      <c r="AF740" s="65" t="n"/>
      <c r="AG740" s="65" t="n"/>
      <c r="AH740" s="65" t="n"/>
      <c r="AI740" s="65" t="n"/>
      <c r="AJ740" s="65" t="n"/>
      <c r="AK740" s="65" t="n"/>
      <c r="AL740" s="65" t="n"/>
      <c r="AM740" s="65" t="n"/>
      <c r="AN740" s="65" t="n"/>
      <c r="AO740" s="65" t="n"/>
      <c r="AP740" s="65" t="n"/>
      <c r="AQ740" s="65" t="n"/>
      <c r="AR740" s="65" t="n"/>
      <c r="AS740" s="65" t="n"/>
      <c r="AT740" s="65" t="n"/>
      <c r="AU740" s="65" t="n"/>
      <c r="AV740" s="65" t="n"/>
      <c r="AW740" s="65" t="n"/>
      <c r="AX740" s="65" t="n"/>
      <c r="AY740" s="65" t="n"/>
      <c r="AZ740" s="65" t="n"/>
      <c r="BA740" s="65" t="n"/>
      <c r="BB740" s="65" t="n"/>
      <c r="BC740" s="65" t="n"/>
      <c r="BD740" s="65" t="n"/>
      <c r="BE740" s="65" t="n"/>
      <c r="BF740" s="65" t="n"/>
      <c r="BG740" s="65" t="n"/>
    </row>
    <row r="741">
      <c r="F741" s="68" t="n"/>
      <c r="G741" s="68">
        <f>IF(B741="","",F741-I741 )</f>
        <v/>
      </c>
      <c r="H741" s="5">
        <f>IF(G741="","",G741/F741)</f>
        <v/>
      </c>
      <c r="I741" s="62">
        <f>SUM(テーブル9[[#This Row],[五大]:[工場材]])</f>
        <v/>
      </c>
      <c r="J741" s="65" t="n"/>
      <c r="K741" s="65" t="n"/>
      <c r="L741" s="65" t="n"/>
      <c r="M741" s="65" t="n"/>
      <c r="N741" s="65" t="n"/>
      <c r="O741" s="65" t="n"/>
      <c r="P741" s="65" t="n"/>
      <c r="Q741" s="65" t="n"/>
      <c r="R741" s="65" t="n"/>
      <c r="S741" s="65" t="n"/>
      <c r="T741" s="65" t="n"/>
      <c r="U741" s="65" t="n"/>
      <c r="V741" s="65" t="n"/>
      <c r="W741" s="65" t="n"/>
      <c r="X741" s="66" t="n">
        <v>111</v>
      </c>
      <c r="Y741" s="65" t="n"/>
      <c r="Z741" s="65" t="n"/>
      <c r="AA741" s="65" t="n"/>
      <c r="AB741" s="65" t="n"/>
      <c r="AC741" s="65" t="n"/>
      <c r="AD741" s="65" t="n"/>
      <c r="AE741" s="65" t="n"/>
      <c r="AF741" s="65" t="n"/>
      <c r="AG741" s="65" t="n"/>
      <c r="AH741" s="65" t="n"/>
      <c r="AI741" s="65" t="n"/>
      <c r="AJ741" s="65" t="n"/>
      <c r="AK741" s="65" t="n"/>
      <c r="AL741" s="65" t="n"/>
      <c r="AM741" s="65" t="n"/>
      <c r="AN741" s="65" t="n"/>
      <c r="AO741" s="65" t="n"/>
      <c r="AP741" s="65" t="n"/>
      <c r="AQ741" s="65" t="n"/>
      <c r="AR741" s="65" t="n"/>
      <c r="AS741" s="65" t="n"/>
      <c r="AT741" s="65" t="n"/>
      <c r="AU741" s="65" t="n"/>
      <c r="AV741" s="65" t="n"/>
      <c r="AW741" s="65" t="n"/>
      <c r="AX741" s="65" t="n"/>
      <c r="AY741" s="65" t="n"/>
      <c r="AZ741" s="65" t="n"/>
      <c r="BA741" s="65" t="n"/>
      <c r="BB741" s="65" t="n"/>
      <c r="BC741" s="65" t="n"/>
      <c r="BD741" s="65" t="n"/>
      <c r="BE741" s="65" t="n"/>
      <c r="BF741" s="65" t="n"/>
      <c r="BG741" s="65" t="n"/>
    </row>
    <row r="742">
      <c r="F742" s="68" t="n"/>
      <c r="G742" s="68">
        <f>IF(B742="","",F742-I742 )</f>
        <v/>
      </c>
      <c r="H742" s="5">
        <f>IF(G742="","",G742/F742)</f>
        <v/>
      </c>
      <c r="I742" s="62">
        <f>SUM(テーブル9[[#This Row],[五大]:[工場材]])</f>
        <v/>
      </c>
      <c r="J742" s="65" t="n"/>
      <c r="K742" s="65" t="n"/>
      <c r="L742" s="65" t="n"/>
      <c r="M742" s="65" t="n"/>
      <c r="N742" s="65" t="n"/>
      <c r="O742" s="65" t="n"/>
      <c r="P742" s="65" t="n"/>
      <c r="Q742" s="65" t="n"/>
      <c r="R742" s="65" t="n"/>
      <c r="S742" s="65" t="n"/>
      <c r="T742" s="65" t="n"/>
      <c r="U742" s="65" t="n"/>
      <c r="V742" s="65" t="n"/>
      <c r="W742" s="65" t="n"/>
      <c r="X742" s="66" t="n"/>
      <c r="Y742" s="65" t="n"/>
      <c r="Z742" s="65" t="n"/>
      <c r="AA742" s="65" t="n"/>
      <c r="AB742" s="65" t="n"/>
      <c r="AC742" s="65" t="n"/>
      <c r="AD742" s="65" t="n"/>
      <c r="AE742" s="65" t="n"/>
      <c r="AF742" s="65" t="n"/>
      <c r="AG742" s="65" t="n"/>
      <c r="AH742" s="65" t="n"/>
      <c r="AI742" s="65" t="n"/>
      <c r="AJ742" s="65" t="n"/>
      <c r="AK742" s="65" t="n"/>
      <c r="AL742" s="65" t="n"/>
      <c r="AM742" s="65" t="n"/>
      <c r="AN742" s="65" t="n"/>
      <c r="AO742" s="65" t="n"/>
      <c r="AP742" s="65" t="n"/>
      <c r="AQ742" s="65" t="n"/>
      <c r="AR742" s="65" t="n"/>
      <c r="AS742" s="65" t="n"/>
      <c r="AT742" s="65" t="n"/>
      <c r="AU742" s="65" t="n"/>
      <c r="AV742" s="65" t="n"/>
      <c r="AW742" s="65" t="n"/>
      <c r="AX742" s="65" t="n"/>
      <c r="AY742" s="65" t="n"/>
      <c r="AZ742" s="65" t="n"/>
      <c r="BA742" s="65" t="n"/>
      <c r="BB742" s="65" t="n"/>
      <c r="BC742" s="65" t="n"/>
      <c r="BD742" s="65" t="n"/>
      <c r="BE742" s="65" t="n"/>
      <c r="BF742" s="65" t="n"/>
      <c r="BG742" s="65" t="n"/>
    </row>
    <row r="743">
      <c r="F743" s="68" t="n"/>
      <c r="G743" s="68">
        <f>IF(B743="","",F743-I743 )</f>
        <v/>
      </c>
      <c r="H743" s="5">
        <f>IF(G743="","",G743/F743)</f>
        <v/>
      </c>
      <c r="I743" s="62">
        <f>SUM(テーブル9[[#This Row],[五大]:[工場材]])</f>
        <v/>
      </c>
      <c r="J743" s="65" t="n"/>
      <c r="K743" s="65" t="n"/>
      <c r="L743" s="65" t="n"/>
      <c r="M743" s="65" t="n"/>
      <c r="N743" s="65" t="n"/>
      <c r="O743" s="65" t="n"/>
      <c r="P743" s="65" t="n"/>
      <c r="Q743" s="65" t="n"/>
      <c r="R743" s="65" t="n"/>
      <c r="S743" s="65" t="n"/>
      <c r="T743" s="65" t="n"/>
      <c r="U743" s="65" t="n"/>
      <c r="V743" s="65" t="n"/>
      <c r="W743" s="65" t="n"/>
      <c r="X743" s="66" t="n"/>
      <c r="Y743" s="65" t="n"/>
      <c r="Z743" s="65" t="n"/>
      <c r="AA743" s="65" t="n"/>
      <c r="AB743" s="65" t="n"/>
      <c r="AC743" s="65" t="n"/>
      <c r="AD743" s="65" t="n"/>
      <c r="AE743" s="65" t="n"/>
      <c r="AF743" s="65" t="n"/>
      <c r="AG743" s="65" t="n"/>
      <c r="AH743" s="65" t="n"/>
      <c r="AI743" s="65" t="n"/>
      <c r="AJ743" s="65" t="n"/>
      <c r="AK743" s="65" t="n"/>
      <c r="AL743" s="65" t="n"/>
      <c r="AM743" s="65" t="n"/>
      <c r="AN743" s="65" t="n"/>
      <c r="AO743" s="65" t="n"/>
      <c r="AP743" s="65" t="n"/>
      <c r="AQ743" s="65" t="n"/>
      <c r="AR743" s="65" t="n"/>
      <c r="AS743" s="65" t="n"/>
      <c r="AT743" s="65" t="n"/>
      <c r="AU743" s="65" t="n"/>
      <c r="AV743" s="65" t="n"/>
      <c r="AW743" s="65" t="n"/>
      <c r="AX743" s="65" t="n"/>
      <c r="AY743" s="65" t="n"/>
      <c r="AZ743" s="65" t="n"/>
      <c r="BA743" s="65" t="n"/>
      <c r="BB743" s="65" t="n"/>
      <c r="BC743" s="65" t="n"/>
      <c r="BD743" s="65" t="n"/>
      <c r="BE743" s="65" t="n"/>
      <c r="BF743" s="65" t="n"/>
      <c r="BG743" s="65" t="n"/>
    </row>
    <row r="744">
      <c r="F744" s="68" t="n"/>
      <c r="G744" s="68">
        <f>IF(B744="","",F744-I744 )</f>
        <v/>
      </c>
      <c r="H744" s="5">
        <f>IF(G744="","",G744/F744)</f>
        <v/>
      </c>
      <c r="I744" s="62">
        <f>SUM(テーブル9[[#This Row],[五大]:[工場材]])</f>
        <v/>
      </c>
      <c r="J744" s="65" t="n"/>
      <c r="K744" s="65" t="n"/>
      <c r="L744" s="65" t="n"/>
      <c r="M744" s="65" t="n"/>
      <c r="N744" s="65" t="n"/>
      <c r="O744" s="65" t="n"/>
      <c r="P744" s="65" t="n"/>
      <c r="Q744" s="65" t="n"/>
      <c r="R744" s="65" t="n"/>
      <c r="S744" s="65" t="n"/>
      <c r="T744" s="65" t="n"/>
      <c r="U744" s="65" t="n"/>
      <c r="V744" s="65" t="n"/>
      <c r="W744" s="65" t="n"/>
      <c r="X744" s="66" t="n"/>
      <c r="Y744" s="65" t="n"/>
      <c r="Z744" s="65" t="n"/>
      <c r="AA744" s="65" t="n"/>
      <c r="AB744" s="65" t="n"/>
      <c r="AC744" s="65" t="n"/>
      <c r="AD744" s="65" t="n"/>
      <c r="AE744" s="65" t="n"/>
      <c r="AF744" s="65" t="n"/>
      <c r="AG744" s="65" t="n"/>
      <c r="AH744" s="65" t="n"/>
      <c r="AI744" s="65" t="n"/>
      <c r="AJ744" s="65" t="n"/>
      <c r="AK744" s="65" t="n"/>
      <c r="AL744" s="65" t="n"/>
      <c r="AM744" s="65" t="n"/>
      <c r="AN744" s="65" t="n"/>
      <c r="AO744" s="65" t="n"/>
      <c r="AP744" s="65" t="n"/>
      <c r="AQ744" s="65" t="n"/>
      <c r="AR744" s="65" t="n"/>
      <c r="AS744" s="65" t="n"/>
      <c r="AT744" s="65" t="n"/>
      <c r="AU744" s="65" t="n"/>
      <c r="AV744" s="65" t="n"/>
      <c r="AW744" s="65" t="n"/>
      <c r="AX744" s="65" t="n"/>
      <c r="AY744" s="65" t="n"/>
      <c r="AZ744" s="65" t="n"/>
      <c r="BA744" s="65" t="n"/>
      <c r="BB744" s="65" t="n"/>
      <c r="BC744" s="65" t="n"/>
      <c r="BD744" s="65" t="n"/>
      <c r="BE744" s="65" t="n"/>
      <c r="BF744" s="65" t="n"/>
      <c r="BG744" s="65" t="n"/>
    </row>
    <row r="745">
      <c r="F745" s="68" t="n"/>
      <c r="G745" s="68">
        <f>IF(B745="","",F745-I745 )</f>
        <v/>
      </c>
      <c r="H745" s="5">
        <f>IF(G745="","",G745/F745)</f>
        <v/>
      </c>
      <c r="I745" s="62">
        <f>SUM(テーブル9[[#This Row],[五大]:[工場材]])</f>
        <v/>
      </c>
      <c r="J745" s="65" t="n"/>
      <c r="K745" s="65" t="n"/>
      <c r="L745" s="65" t="n"/>
      <c r="M745" s="65" t="n"/>
      <c r="N745" s="65" t="n"/>
      <c r="O745" s="65" t="n"/>
      <c r="P745" s="65" t="n"/>
      <c r="Q745" s="65" t="n"/>
      <c r="R745" s="65" t="n"/>
      <c r="S745" s="65" t="n"/>
      <c r="T745" s="65" t="n"/>
      <c r="U745" s="65" t="n"/>
      <c r="V745" s="65" t="n"/>
      <c r="W745" s="65" t="n"/>
      <c r="X745" s="66" t="n"/>
      <c r="Y745" s="65" t="n"/>
      <c r="Z745" s="65" t="n"/>
      <c r="AA745" s="65" t="n"/>
      <c r="AB745" s="65" t="n"/>
      <c r="AC745" s="65" t="n"/>
      <c r="AD745" s="65" t="n"/>
      <c r="AE745" s="65" t="n"/>
      <c r="AF745" s="65" t="n"/>
      <c r="AG745" s="65" t="n"/>
      <c r="AH745" s="65" t="n"/>
      <c r="AI745" s="65" t="n"/>
      <c r="AJ745" s="65" t="n"/>
      <c r="AK745" s="65" t="n"/>
      <c r="AL745" s="65" t="n"/>
      <c r="AM745" s="65" t="n"/>
      <c r="AN745" s="65" t="n"/>
      <c r="AO745" s="65" t="n"/>
      <c r="AP745" s="65" t="n"/>
      <c r="AQ745" s="65" t="n"/>
      <c r="AR745" s="65" t="n"/>
      <c r="AS745" s="65" t="n"/>
      <c r="AT745" s="65" t="n"/>
      <c r="AU745" s="65" t="n"/>
      <c r="AV745" s="65" t="n"/>
      <c r="AW745" s="65" t="n"/>
      <c r="AX745" s="65" t="n"/>
      <c r="AY745" s="65" t="n"/>
      <c r="AZ745" s="65" t="n"/>
      <c r="BA745" s="65" t="n"/>
      <c r="BB745" s="65" t="n"/>
      <c r="BC745" s="65" t="n"/>
      <c r="BD745" s="65" t="n"/>
      <c r="BE745" s="65" t="n"/>
      <c r="BF745" s="65" t="n"/>
      <c r="BG745" s="65" t="n"/>
    </row>
    <row r="746">
      <c r="F746" s="68" t="n"/>
      <c r="G746" s="68">
        <f>IF(B746="","",F746-I746 )</f>
        <v/>
      </c>
      <c r="H746" s="5">
        <f>IF(G746="","",G746/F746)</f>
        <v/>
      </c>
      <c r="I746" s="62">
        <f>SUM(テーブル9[[#This Row],[五大]:[工場材]])</f>
        <v/>
      </c>
      <c r="J746" s="65" t="n"/>
      <c r="K746" s="65" t="n"/>
      <c r="L746" s="65" t="n"/>
      <c r="M746" s="65" t="n"/>
      <c r="N746" s="65" t="n"/>
      <c r="O746" s="65" t="n"/>
      <c r="P746" s="65" t="n"/>
      <c r="Q746" s="65" t="n"/>
      <c r="R746" s="65" t="n"/>
      <c r="S746" s="65" t="n"/>
      <c r="T746" s="65" t="n"/>
      <c r="U746" s="65" t="n"/>
      <c r="V746" s="65" t="n"/>
      <c r="W746" s="65" t="n"/>
      <c r="X746" s="66" t="n"/>
      <c r="Y746" s="65" t="n"/>
      <c r="Z746" s="65" t="n"/>
      <c r="AA746" s="65" t="n"/>
      <c r="AB746" s="65" t="n"/>
      <c r="AC746" s="65" t="n"/>
      <c r="AD746" s="65" t="n"/>
      <c r="AE746" s="65" t="n"/>
      <c r="AF746" s="65" t="n"/>
      <c r="AG746" s="65" t="n"/>
      <c r="AH746" s="65" t="n"/>
      <c r="AI746" s="65" t="n"/>
      <c r="AJ746" s="65" t="n"/>
      <c r="AK746" s="65" t="n"/>
      <c r="AL746" s="65" t="n"/>
      <c r="AM746" s="65" t="n"/>
      <c r="AN746" s="65" t="n"/>
      <c r="AO746" s="65" t="n"/>
      <c r="AP746" s="65" t="n"/>
      <c r="AQ746" s="65" t="n"/>
      <c r="AR746" s="65" t="n"/>
      <c r="AS746" s="65" t="n"/>
      <c r="AT746" s="65" t="n"/>
      <c r="AU746" s="65" t="n"/>
      <c r="AV746" s="65" t="n"/>
      <c r="AW746" s="65" t="n"/>
      <c r="AX746" s="65" t="n"/>
      <c r="AY746" s="65" t="n"/>
      <c r="AZ746" s="65" t="n"/>
      <c r="BA746" s="65" t="n"/>
      <c r="BB746" s="65" t="n"/>
      <c r="BC746" s="65" t="n"/>
      <c r="BD746" s="65" t="n"/>
      <c r="BE746" s="65" t="n"/>
      <c r="BF746" s="65" t="n"/>
      <c r="BG746" s="65" t="n"/>
    </row>
    <row r="747">
      <c r="F747" s="68" t="n"/>
      <c r="G747" s="68">
        <f>IF(B747="","",F747-I747 )</f>
        <v/>
      </c>
      <c r="H747" s="5">
        <f>IF(G747="","",G747/F747)</f>
        <v/>
      </c>
      <c r="I747" s="62">
        <f>SUM(テーブル9[[#This Row],[五大]:[工場材]])</f>
        <v/>
      </c>
      <c r="J747" s="65" t="n"/>
      <c r="K747" s="65" t="n"/>
      <c r="L747" s="65" t="n"/>
      <c r="M747" s="65" t="n"/>
      <c r="N747" s="65" t="n"/>
      <c r="O747" s="65" t="n"/>
      <c r="P747" s="65" t="n"/>
      <c r="Q747" s="65" t="n"/>
      <c r="R747" s="65" t="n"/>
      <c r="S747" s="65" t="n"/>
      <c r="T747" s="65" t="n"/>
      <c r="U747" s="65" t="n"/>
      <c r="V747" s="65" t="n"/>
      <c r="W747" s="65" t="n"/>
      <c r="X747" s="66" t="n"/>
      <c r="Y747" s="65" t="n"/>
      <c r="Z747" s="65" t="n"/>
      <c r="AA747" s="65" t="n"/>
      <c r="AB747" s="65" t="n"/>
      <c r="AC747" s="65" t="n"/>
      <c r="AD747" s="65" t="n"/>
      <c r="AE747" s="65" t="n"/>
      <c r="AF747" s="65" t="n"/>
      <c r="AG747" s="65" t="n"/>
      <c r="AH747" s="65" t="n"/>
      <c r="AI747" s="65" t="n"/>
      <c r="AJ747" s="65" t="n"/>
      <c r="AK747" s="65" t="n"/>
      <c r="AL747" s="65" t="n"/>
      <c r="AM747" s="65" t="n"/>
      <c r="AN747" s="65" t="n"/>
      <c r="AO747" s="65" t="n"/>
      <c r="AP747" s="65" t="n"/>
      <c r="AQ747" s="65" t="n"/>
      <c r="AR747" s="65" t="n"/>
      <c r="AS747" s="65" t="n"/>
      <c r="AT747" s="65" t="n"/>
      <c r="AU747" s="65" t="n"/>
      <c r="AV747" s="65" t="n"/>
      <c r="AW747" s="65" t="n"/>
      <c r="AX747" s="65" t="n"/>
      <c r="AY747" s="65" t="n"/>
      <c r="AZ747" s="65" t="n"/>
      <c r="BA747" s="65" t="n"/>
      <c r="BB747" s="65" t="n"/>
      <c r="BC747" s="65" t="n"/>
      <c r="BD747" s="65" t="n"/>
      <c r="BE747" s="65" t="n"/>
      <c r="BF747" s="65" t="n"/>
      <c r="BG747" s="65" t="n"/>
    </row>
    <row r="748">
      <c r="F748" s="68" t="n"/>
      <c r="G748" s="68">
        <f>IF(B748="","",F748-I748 )</f>
        <v/>
      </c>
      <c r="H748" s="5">
        <f>IF(G748="","",G748/F748)</f>
        <v/>
      </c>
      <c r="I748" s="62">
        <f>SUM(テーブル9[[#This Row],[五大]:[工場材]])</f>
        <v/>
      </c>
      <c r="J748" s="65" t="n"/>
      <c r="K748" s="65" t="n"/>
      <c r="L748" s="65" t="n"/>
      <c r="M748" s="65" t="n"/>
      <c r="N748" s="65" t="n"/>
      <c r="O748" s="65" t="n"/>
      <c r="P748" s="65" t="n"/>
      <c r="Q748" s="65" t="n"/>
      <c r="R748" s="65" t="n"/>
      <c r="S748" s="65" t="n"/>
      <c r="T748" s="65" t="n"/>
      <c r="U748" s="65" t="n"/>
      <c r="V748" s="65" t="n"/>
      <c r="W748" s="65" t="n"/>
      <c r="X748" s="66" t="n"/>
      <c r="Y748" s="65" t="n"/>
      <c r="Z748" s="65" t="n"/>
      <c r="AA748" s="65" t="n"/>
      <c r="AB748" s="65" t="n"/>
      <c r="AC748" s="65" t="n"/>
      <c r="AD748" s="65" t="n"/>
      <c r="AE748" s="65" t="n"/>
      <c r="AF748" s="65" t="n"/>
      <c r="AG748" s="65" t="n"/>
      <c r="AH748" s="65" t="n"/>
      <c r="AI748" s="65" t="n"/>
      <c r="AJ748" s="65" t="n"/>
      <c r="AK748" s="65" t="n"/>
      <c r="AL748" s="65" t="n"/>
      <c r="AM748" s="65" t="n"/>
      <c r="AN748" s="65" t="n"/>
      <c r="AO748" s="65" t="n"/>
      <c r="AP748" s="65" t="n"/>
      <c r="AQ748" s="65" t="n"/>
      <c r="AR748" s="65" t="n"/>
      <c r="AS748" s="65" t="n"/>
      <c r="AT748" s="65" t="n"/>
      <c r="AU748" s="65" t="n"/>
      <c r="AV748" s="65" t="n"/>
      <c r="AW748" s="65" t="n"/>
      <c r="AX748" s="65" t="n"/>
      <c r="AY748" s="65" t="n"/>
      <c r="AZ748" s="65" t="n"/>
      <c r="BA748" s="65" t="n"/>
      <c r="BB748" s="65" t="n"/>
      <c r="BC748" s="65" t="n"/>
      <c r="BD748" s="65" t="n"/>
      <c r="BE748" s="65" t="n"/>
      <c r="BF748" s="65" t="n"/>
      <c r="BG748" s="65" t="n"/>
    </row>
    <row r="749">
      <c r="F749" s="68" t="n"/>
      <c r="G749" s="68">
        <f>IF(B749="","",F749-I749 )</f>
        <v/>
      </c>
      <c r="H749" s="5">
        <f>IF(G749="","",G749/F749)</f>
        <v/>
      </c>
      <c r="I749" s="62">
        <f>SUM(テーブル9[[#This Row],[五大]:[工場材]])</f>
        <v/>
      </c>
      <c r="J749" s="65" t="n"/>
      <c r="K749" s="65" t="n"/>
      <c r="L749" s="65" t="n"/>
      <c r="M749" s="65" t="n"/>
      <c r="N749" s="65" t="n"/>
      <c r="O749" s="65" t="n"/>
      <c r="P749" s="65" t="n"/>
      <c r="Q749" s="65" t="n"/>
      <c r="R749" s="65" t="n"/>
      <c r="S749" s="65" t="n"/>
      <c r="T749" s="65" t="n"/>
      <c r="U749" s="65" t="n"/>
      <c r="V749" s="65" t="n"/>
      <c r="W749" s="65" t="n"/>
      <c r="X749" s="66" t="n"/>
      <c r="Y749" s="65" t="n"/>
      <c r="Z749" s="65" t="n"/>
      <c r="AA749" s="65" t="n"/>
      <c r="AB749" s="65" t="n"/>
      <c r="AC749" s="65" t="n"/>
      <c r="AD749" s="65" t="n"/>
      <c r="AE749" s="65" t="n"/>
      <c r="AF749" s="65" t="n"/>
      <c r="AG749" s="65" t="n"/>
      <c r="AH749" s="65" t="n"/>
      <c r="AI749" s="65" t="n"/>
      <c r="AJ749" s="65" t="n"/>
      <c r="AK749" s="65" t="n"/>
      <c r="AL749" s="65" t="n"/>
      <c r="AM749" s="65" t="n"/>
      <c r="AN749" s="65" t="n"/>
      <c r="AO749" s="65" t="n"/>
      <c r="AP749" s="65" t="n"/>
      <c r="AQ749" s="65" t="n"/>
      <c r="AR749" s="65" t="n"/>
      <c r="AS749" s="65" t="n"/>
      <c r="AT749" s="65" t="n"/>
      <c r="AU749" s="65" t="n"/>
      <c r="AV749" s="65" t="n"/>
      <c r="AW749" s="65" t="n"/>
      <c r="AX749" s="65" t="n"/>
      <c r="AY749" s="65" t="n"/>
      <c r="AZ749" s="65" t="n"/>
      <c r="BA749" s="65" t="n"/>
      <c r="BB749" s="65" t="n"/>
      <c r="BC749" s="65" t="n"/>
      <c r="BD749" s="65" t="n"/>
      <c r="BE749" s="65" t="n"/>
      <c r="BF749" s="65" t="n"/>
      <c r="BG749" s="65" t="n"/>
    </row>
    <row r="750">
      <c r="F750" s="68" t="n"/>
      <c r="G750" s="68">
        <f>IF(B750="","",F750-I750 )</f>
        <v/>
      </c>
      <c r="H750" s="5">
        <f>IF(G750="","",G750/F750)</f>
        <v/>
      </c>
      <c r="I750" s="62">
        <f>SUM(テーブル9[[#This Row],[五大]:[工場材]])</f>
        <v/>
      </c>
      <c r="J750" s="65" t="n"/>
      <c r="K750" s="65" t="n"/>
      <c r="L750" s="65" t="n"/>
      <c r="M750" s="65" t="n"/>
      <c r="N750" s="65" t="n"/>
      <c r="O750" s="65" t="n"/>
      <c r="P750" s="65" t="n"/>
      <c r="Q750" s="65" t="n"/>
      <c r="R750" s="65" t="n"/>
      <c r="S750" s="65" t="n"/>
      <c r="T750" s="65" t="n"/>
      <c r="U750" s="65" t="n"/>
      <c r="V750" s="65" t="n"/>
      <c r="W750" s="65" t="n"/>
      <c r="X750" s="66" t="n"/>
      <c r="Y750" s="65" t="n"/>
      <c r="Z750" s="65" t="n"/>
      <c r="AA750" s="65" t="n"/>
      <c r="AB750" s="65" t="n"/>
      <c r="AC750" s="65" t="n"/>
      <c r="AD750" s="65" t="n"/>
      <c r="AE750" s="65" t="n"/>
      <c r="AF750" s="65" t="n"/>
      <c r="AG750" s="65" t="n"/>
      <c r="AH750" s="65" t="n"/>
      <c r="AI750" s="65" t="n"/>
      <c r="AJ750" s="65" t="n"/>
      <c r="AK750" s="65" t="n"/>
      <c r="AL750" s="65" t="n"/>
      <c r="AM750" s="65" t="n"/>
      <c r="AN750" s="65" t="n"/>
      <c r="AO750" s="65" t="n"/>
      <c r="AP750" s="65" t="n"/>
      <c r="AQ750" s="65" t="n"/>
      <c r="AR750" s="65" t="n"/>
      <c r="AS750" s="65" t="n"/>
      <c r="AT750" s="65" t="n"/>
      <c r="AU750" s="65" t="n"/>
      <c r="AV750" s="65" t="n"/>
      <c r="AW750" s="65" t="n"/>
      <c r="AX750" s="65" t="n"/>
      <c r="AY750" s="65" t="n"/>
      <c r="AZ750" s="65" t="n"/>
      <c r="BA750" s="65" t="n"/>
      <c r="BB750" s="65" t="n"/>
      <c r="BC750" s="65" t="n"/>
      <c r="BD750" s="65" t="n"/>
      <c r="BE750" s="65" t="n"/>
      <c r="BF750" s="65" t="n"/>
      <c r="BG750" s="65" t="n"/>
    </row>
    <row r="751">
      <c r="F751" s="68" t="n"/>
      <c r="G751" s="68">
        <f>IF(B751="","",F751-I751 )</f>
        <v/>
      </c>
      <c r="H751" s="5">
        <f>IF(G751="","",G751/F751)</f>
        <v/>
      </c>
      <c r="I751" s="62">
        <f>SUM(テーブル9[[#This Row],[五大]:[工場材]])</f>
        <v/>
      </c>
      <c r="J751" s="65" t="n"/>
      <c r="K751" s="65" t="n"/>
      <c r="L751" s="65" t="n"/>
      <c r="M751" s="65" t="n"/>
      <c r="N751" s="65" t="n"/>
      <c r="O751" s="65" t="n"/>
      <c r="P751" s="65" t="n"/>
      <c r="Q751" s="65" t="n"/>
      <c r="R751" s="65" t="n"/>
      <c r="S751" s="65" t="n"/>
      <c r="T751" s="65" t="n"/>
      <c r="U751" s="65" t="n"/>
      <c r="V751" s="65" t="n"/>
      <c r="W751" s="65" t="n"/>
      <c r="X751" s="66" t="n"/>
      <c r="Y751" s="65" t="n"/>
      <c r="Z751" s="65" t="n"/>
      <c r="AA751" s="65" t="n"/>
      <c r="AB751" s="65" t="n"/>
      <c r="AC751" s="65" t="n"/>
      <c r="AD751" s="65" t="n"/>
      <c r="AE751" s="65" t="n"/>
      <c r="AF751" s="65" t="n"/>
      <c r="AG751" s="65" t="n"/>
      <c r="AH751" s="65" t="n"/>
      <c r="AI751" s="65" t="n"/>
      <c r="AJ751" s="65" t="n"/>
      <c r="AK751" s="65" t="n"/>
      <c r="AL751" s="65" t="n"/>
      <c r="AM751" s="65" t="n"/>
      <c r="AN751" s="65" t="n"/>
      <c r="AO751" s="65" t="n"/>
      <c r="AP751" s="65" t="n"/>
      <c r="AQ751" s="65" t="n"/>
      <c r="AR751" s="65" t="n"/>
      <c r="AS751" s="65" t="n"/>
      <c r="AT751" s="65" t="n"/>
      <c r="AU751" s="65" t="n"/>
      <c r="AV751" s="65" t="n"/>
      <c r="AW751" s="65" t="n"/>
      <c r="AX751" s="65" t="n"/>
      <c r="AY751" s="65" t="n"/>
      <c r="AZ751" s="65" t="n"/>
      <c r="BA751" s="65" t="n"/>
      <c r="BB751" s="65" t="n"/>
      <c r="BC751" s="65" t="n"/>
      <c r="BD751" s="65" t="n"/>
      <c r="BE751" s="65" t="n"/>
      <c r="BF751" s="65" t="n"/>
      <c r="BG751" s="65" t="n"/>
    </row>
    <row r="752">
      <c r="F752" s="68" t="n"/>
      <c r="G752" s="68">
        <f>IF(B752="","",F752-I752 )</f>
        <v/>
      </c>
      <c r="H752" s="5">
        <f>IF(G752="","",G752/F752)</f>
        <v/>
      </c>
      <c r="I752" s="62">
        <f>SUM(テーブル9[[#This Row],[五大]:[工場材]])</f>
        <v/>
      </c>
      <c r="J752" s="65" t="n"/>
      <c r="K752" s="65" t="n"/>
      <c r="L752" s="65" t="n"/>
      <c r="M752" s="65" t="n"/>
      <c r="N752" s="65" t="n"/>
      <c r="O752" s="65" t="n"/>
      <c r="P752" s="65" t="n"/>
      <c r="Q752" s="65" t="n"/>
      <c r="R752" s="65" t="n"/>
      <c r="S752" s="65" t="n"/>
      <c r="T752" s="65" t="n"/>
      <c r="U752" s="65" t="n"/>
      <c r="V752" s="65" t="n"/>
      <c r="W752" s="65" t="n"/>
      <c r="X752" s="66" t="n"/>
      <c r="Y752" s="65" t="n"/>
      <c r="Z752" s="65" t="n"/>
      <c r="AA752" s="65" t="n"/>
      <c r="AB752" s="65" t="n"/>
      <c r="AC752" s="65" t="n"/>
      <c r="AD752" s="65" t="n"/>
      <c r="AE752" s="65" t="n"/>
      <c r="AF752" s="65" t="n"/>
      <c r="AG752" s="65" t="n"/>
      <c r="AH752" s="65" t="n"/>
      <c r="AI752" s="65" t="n"/>
      <c r="AJ752" s="65" t="n"/>
      <c r="AK752" s="65" t="n"/>
      <c r="AL752" s="65" t="n"/>
      <c r="AM752" s="65" t="n"/>
      <c r="AN752" s="65" t="n"/>
      <c r="AO752" s="65" t="n"/>
      <c r="AP752" s="65" t="n"/>
      <c r="AQ752" s="65" t="n"/>
      <c r="AR752" s="65" t="n"/>
      <c r="AS752" s="65" t="n"/>
      <c r="AT752" s="65" t="n"/>
      <c r="AU752" s="65" t="n"/>
      <c r="AV752" s="65" t="n"/>
      <c r="AW752" s="65" t="n"/>
      <c r="AX752" s="65" t="n"/>
      <c r="AY752" s="65" t="n"/>
      <c r="AZ752" s="65" t="n"/>
      <c r="BA752" s="65" t="n"/>
      <c r="BB752" s="65" t="n"/>
      <c r="BC752" s="65" t="n"/>
      <c r="BD752" s="65" t="n"/>
      <c r="BE752" s="65" t="n"/>
      <c r="BF752" s="65" t="n"/>
      <c r="BG752" s="65" t="n"/>
    </row>
    <row r="753">
      <c r="F753" s="68" t="n"/>
      <c r="G753" s="68">
        <f>IF(B753="","",F753-I753 )</f>
        <v/>
      </c>
      <c r="H753" s="5">
        <f>IF(G753="","",G753/F753)</f>
        <v/>
      </c>
      <c r="I753" s="62">
        <f>SUM(テーブル9[[#This Row],[五大]:[工場材]])</f>
        <v/>
      </c>
      <c r="J753" s="65" t="n"/>
      <c r="K753" s="65" t="n"/>
      <c r="L753" s="65" t="n"/>
      <c r="M753" s="65" t="n"/>
      <c r="N753" s="65" t="n"/>
      <c r="O753" s="65" t="n"/>
      <c r="P753" s="65" t="n"/>
      <c r="Q753" s="65" t="n"/>
      <c r="R753" s="65" t="n"/>
      <c r="S753" s="65" t="n"/>
      <c r="T753" s="65" t="n"/>
      <c r="U753" s="65" t="n"/>
      <c r="V753" s="65" t="n"/>
      <c r="W753" s="65" t="n"/>
      <c r="X753" s="66" t="n"/>
      <c r="Y753" s="65" t="n"/>
      <c r="Z753" s="65" t="n"/>
      <c r="AA753" s="65" t="n"/>
      <c r="AB753" s="65" t="n"/>
      <c r="AC753" s="65" t="n"/>
      <c r="AD753" s="65" t="n"/>
      <c r="AE753" s="65" t="n"/>
      <c r="AF753" s="65" t="n"/>
      <c r="AG753" s="65" t="n"/>
      <c r="AH753" s="65" t="n"/>
      <c r="AI753" s="65" t="n"/>
      <c r="AJ753" s="65" t="n"/>
      <c r="AK753" s="65" t="n"/>
      <c r="AL753" s="65" t="n"/>
      <c r="AM753" s="65" t="n"/>
      <c r="AN753" s="65" t="n"/>
      <c r="AO753" s="65" t="n"/>
      <c r="AP753" s="65" t="n"/>
      <c r="AQ753" s="65" t="n"/>
      <c r="AR753" s="65" t="n"/>
      <c r="AS753" s="65" t="n"/>
      <c r="AT753" s="65" t="n"/>
      <c r="AU753" s="65" t="n"/>
      <c r="AV753" s="65" t="n"/>
      <c r="AW753" s="65" t="n"/>
      <c r="AX753" s="65" t="n"/>
      <c r="AY753" s="65" t="n"/>
      <c r="AZ753" s="65" t="n"/>
      <c r="BA753" s="65" t="n"/>
      <c r="BB753" s="65" t="n"/>
      <c r="BC753" s="65" t="n"/>
      <c r="BD753" s="65" t="n"/>
      <c r="BE753" s="65" t="n"/>
      <c r="BF753" s="65" t="n"/>
      <c r="BG753" s="65" t="n"/>
    </row>
    <row r="754">
      <c r="F754" s="68" t="n"/>
      <c r="G754" s="68">
        <f>IF(B754="","",F754-I754 )</f>
        <v/>
      </c>
      <c r="H754" s="5">
        <f>IF(G754="","",G754/F754)</f>
        <v/>
      </c>
      <c r="I754" s="62">
        <f>SUM(テーブル9[[#This Row],[五大]:[工場材]])</f>
        <v/>
      </c>
      <c r="J754" s="65" t="n"/>
      <c r="K754" s="65" t="n"/>
      <c r="L754" s="65" t="n"/>
      <c r="M754" s="65" t="n"/>
      <c r="N754" s="65" t="n"/>
      <c r="O754" s="65" t="n"/>
      <c r="P754" s="65" t="n"/>
      <c r="Q754" s="65" t="n"/>
      <c r="R754" s="65" t="n"/>
      <c r="S754" s="65" t="n"/>
      <c r="T754" s="65" t="n"/>
      <c r="U754" s="65" t="n"/>
      <c r="V754" s="65" t="n"/>
      <c r="W754" s="65" t="n"/>
      <c r="X754" s="66" t="n"/>
      <c r="Y754" s="65" t="n"/>
      <c r="Z754" s="65" t="n"/>
      <c r="AA754" s="65" t="n"/>
      <c r="AB754" s="65" t="n"/>
      <c r="AC754" s="65" t="n"/>
      <c r="AD754" s="65" t="n"/>
      <c r="AE754" s="65" t="n"/>
      <c r="AF754" s="65" t="n"/>
      <c r="AG754" s="65" t="n"/>
      <c r="AH754" s="65" t="n"/>
      <c r="AI754" s="65" t="n"/>
      <c r="AJ754" s="65" t="n"/>
      <c r="AK754" s="65" t="n"/>
      <c r="AL754" s="65" t="n"/>
      <c r="AM754" s="65" t="n"/>
      <c r="AN754" s="65" t="n"/>
      <c r="AO754" s="65" t="n"/>
      <c r="AP754" s="65" t="n"/>
      <c r="AQ754" s="65" t="n"/>
      <c r="AR754" s="65" t="n"/>
      <c r="AS754" s="65" t="n"/>
      <c r="AT754" s="65" t="n"/>
      <c r="AU754" s="65" t="n"/>
      <c r="AV754" s="65" t="n"/>
      <c r="AW754" s="65" t="n"/>
      <c r="AX754" s="65" t="n"/>
      <c r="AY754" s="65" t="n"/>
      <c r="AZ754" s="65" t="n"/>
      <c r="BA754" s="65" t="n"/>
      <c r="BB754" s="65" t="n"/>
      <c r="BC754" s="65" t="n"/>
      <c r="BD754" s="65" t="n"/>
      <c r="BE754" s="65" t="n"/>
      <c r="BF754" s="65" t="n"/>
      <c r="BG754" s="65" t="n"/>
    </row>
    <row r="755">
      <c r="F755" s="68" t="n"/>
      <c r="G755" s="68">
        <f>IF(B755="","",F755-I755 )</f>
        <v/>
      </c>
      <c r="H755" s="5">
        <f>IF(G755="","",G755/F755)</f>
        <v/>
      </c>
      <c r="I755" s="62">
        <f>SUM(テーブル9[[#This Row],[五大]:[工場材]])</f>
        <v/>
      </c>
      <c r="J755" s="65" t="n"/>
      <c r="K755" s="65" t="n"/>
      <c r="L755" s="65" t="n"/>
      <c r="M755" s="65" t="n"/>
      <c r="N755" s="65" t="n"/>
      <c r="O755" s="65" t="n"/>
      <c r="P755" s="65" t="n"/>
      <c r="Q755" s="65" t="n"/>
      <c r="R755" s="65" t="n"/>
      <c r="S755" s="65" t="n"/>
      <c r="T755" s="65" t="n"/>
      <c r="U755" s="65" t="n"/>
      <c r="V755" s="65" t="n"/>
      <c r="W755" s="65" t="n"/>
      <c r="X755" s="66" t="n"/>
      <c r="Y755" s="65" t="n"/>
      <c r="Z755" s="65" t="n"/>
      <c r="AA755" s="65" t="n"/>
      <c r="AB755" s="65" t="n"/>
      <c r="AC755" s="65" t="n"/>
      <c r="AD755" s="65" t="n"/>
      <c r="AE755" s="65" t="n"/>
      <c r="AF755" s="65" t="n"/>
      <c r="AG755" s="65" t="n"/>
      <c r="AH755" s="65" t="n"/>
      <c r="AI755" s="65" t="n"/>
      <c r="AJ755" s="65" t="n"/>
      <c r="AK755" s="65" t="n"/>
      <c r="AL755" s="65" t="n"/>
      <c r="AM755" s="65" t="n"/>
      <c r="AN755" s="65" t="n"/>
      <c r="AO755" s="65" t="n"/>
      <c r="AP755" s="65" t="n"/>
      <c r="AQ755" s="65" t="n"/>
      <c r="AR755" s="65" t="n"/>
      <c r="AS755" s="65" t="n"/>
      <c r="AT755" s="65" t="n"/>
      <c r="AU755" s="65" t="n"/>
      <c r="AV755" s="65" t="n"/>
      <c r="AW755" s="65" t="n"/>
      <c r="AX755" s="65" t="n"/>
      <c r="AY755" s="65" t="n"/>
      <c r="AZ755" s="65" t="n"/>
      <c r="BA755" s="65" t="n"/>
      <c r="BB755" s="65" t="n"/>
      <c r="BC755" s="65" t="n"/>
      <c r="BD755" s="65" t="n"/>
      <c r="BE755" s="65" t="n"/>
      <c r="BF755" s="65" t="n"/>
      <c r="BG755" s="65" t="n"/>
    </row>
    <row r="756">
      <c r="F756" s="68" t="n"/>
      <c r="G756" s="68">
        <f>IF(B756="","",F756-I756 )</f>
        <v/>
      </c>
      <c r="H756" s="5">
        <f>IF(G756="","",G756/F756)</f>
        <v/>
      </c>
      <c r="I756" s="62">
        <f>SUM(テーブル9[[#This Row],[五大]:[工場材]])</f>
        <v/>
      </c>
      <c r="J756" s="65" t="n"/>
      <c r="K756" s="65" t="n"/>
      <c r="L756" s="65" t="n"/>
      <c r="M756" s="65" t="n"/>
      <c r="N756" s="65" t="n"/>
      <c r="O756" s="65" t="n"/>
      <c r="P756" s="65" t="n"/>
      <c r="Q756" s="65" t="n"/>
      <c r="R756" s="65" t="n"/>
      <c r="S756" s="65" t="n"/>
      <c r="T756" s="65" t="n"/>
      <c r="U756" s="65" t="n"/>
      <c r="V756" s="65" t="n"/>
      <c r="W756" s="65" t="n"/>
      <c r="X756" s="66" t="n"/>
      <c r="Y756" s="65" t="n"/>
      <c r="Z756" s="65" t="n"/>
      <c r="AA756" s="65" t="n"/>
      <c r="AB756" s="65" t="n"/>
      <c r="AC756" s="65" t="n"/>
      <c r="AD756" s="65" t="n"/>
      <c r="AE756" s="65" t="n"/>
      <c r="AF756" s="65" t="n"/>
      <c r="AG756" s="65" t="n"/>
      <c r="AH756" s="65" t="n"/>
      <c r="AI756" s="65" t="n"/>
      <c r="AJ756" s="65" t="n"/>
      <c r="AK756" s="65" t="n"/>
      <c r="AL756" s="65" t="n"/>
      <c r="AM756" s="65" t="n"/>
      <c r="AN756" s="65" t="n"/>
      <c r="AO756" s="65" t="n"/>
      <c r="AP756" s="65" t="n"/>
      <c r="AQ756" s="65" t="n"/>
      <c r="AR756" s="65" t="n"/>
      <c r="AS756" s="65" t="n"/>
      <c r="AT756" s="65" t="n"/>
      <c r="AU756" s="65" t="n"/>
      <c r="AV756" s="65" t="n"/>
      <c r="AW756" s="65" t="n"/>
      <c r="AX756" s="65" t="n"/>
      <c r="AY756" s="65" t="n"/>
      <c r="AZ756" s="65" t="n"/>
      <c r="BA756" s="65" t="n"/>
      <c r="BB756" s="65" t="n"/>
      <c r="BC756" s="65" t="n"/>
      <c r="BD756" s="65" t="n"/>
      <c r="BE756" s="65" t="n"/>
      <c r="BF756" s="65" t="n"/>
      <c r="BG756" s="65" t="n"/>
    </row>
    <row r="757">
      <c r="F757" s="68" t="n"/>
      <c r="G757" s="68">
        <f>IF(B757="","",F757-I757 )</f>
        <v/>
      </c>
      <c r="H757" s="5">
        <f>IF(G757="","",G757/F757)</f>
        <v/>
      </c>
      <c r="I757" s="62">
        <f>SUM(テーブル9[[#This Row],[五大]:[工場材]])</f>
        <v/>
      </c>
      <c r="J757" s="65" t="n"/>
      <c r="K757" s="65" t="n"/>
      <c r="L757" s="65" t="n"/>
      <c r="M757" s="65" t="n"/>
      <c r="N757" s="65" t="n"/>
      <c r="O757" s="65" t="n"/>
      <c r="P757" s="65" t="n"/>
      <c r="Q757" s="65" t="n"/>
      <c r="R757" s="65" t="n"/>
      <c r="S757" s="65" t="n"/>
      <c r="T757" s="65" t="n"/>
      <c r="U757" s="65" t="n"/>
      <c r="V757" s="65" t="n"/>
      <c r="W757" s="65" t="n"/>
      <c r="X757" s="66" t="n"/>
      <c r="Y757" s="65" t="n"/>
      <c r="Z757" s="65" t="n"/>
      <c r="AA757" s="65" t="n"/>
      <c r="AB757" s="65" t="n"/>
      <c r="AC757" s="65" t="n"/>
      <c r="AD757" s="65" t="n"/>
      <c r="AE757" s="65" t="n"/>
      <c r="AF757" s="65" t="n"/>
      <c r="AG757" s="65" t="n"/>
      <c r="AH757" s="65" t="n"/>
      <c r="AI757" s="65" t="n"/>
      <c r="AJ757" s="65" t="n"/>
      <c r="AK757" s="65" t="n"/>
      <c r="AL757" s="65" t="n"/>
      <c r="AM757" s="65" t="n"/>
      <c r="AN757" s="65" t="n"/>
      <c r="AO757" s="65" t="n"/>
      <c r="AP757" s="65" t="n"/>
      <c r="AQ757" s="65" t="n"/>
      <c r="AR757" s="65" t="n"/>
      <c r="AS757" s="65" t="n"/>
      <c r="AT757" s="65" t="n"/>
      <c r="AU757" s="65" t="n"/>
      <c r="AV757" s="65" t="n"/>
      <c r="AW757" s="65" t="n"/>
      <c r="AX757" s="65" t="n"/>
      <c r="AY757" s="65" t="n"/>
      <c r="AZ757" s="65" t="n"/>
      <c r="BA757" s="65" t="n"/>
      <c r="BB757" s="65" t="n"/>
      <c r="BC757" s="65" t="n"/>
      <c r="BD757" s="65" t="n"/>
      <c r="BE757" s="65" t="n"/>
      <c r="BF757" s="65" t="n"/>
      <c r="BG757" s="65" t="n"/>
    </row>
    <row r="758">
      <c r="F758" s="68" t="n"/>
      <c r="G758" s="68">
        <f>IF(B758="","",F758-I758 )</f>
        <v/>
      </c>
      <c r="H758" s="5">
        <f>IF(G758="","",G758/F758)</f>
        <v/>
      </c>
      <c r="I758" s="62">
        <f>SUM(テーブル9[[#This Row],[五大]:[工場材]])</f>
        <v/>
      </c>
      <c r="J758" s="65" t="n"/>
      <c r="K758" s="65" t="n"/>
      <c r="L758" s="65" t="n"/>
      <c r="M758" s="65" t="n"/>
      <c r="N758" s="65" t="n"/>
      <c r="O758" s="65" t="n"/>
      <c r="P758" s="65" t="n"/>
      <c r="Q758" s="65" t="n"/>
      <c r="R758" s="65" t="n"/>
      <c r="S758" s="65" t="n"/>
      <c r="T758" s="65" t="n"/>
      <c r="U758" s="65" t="n"/>
      <c r="V758" s="65" t="n"/>
      <c r="W758" s="65" t="n"/>
      <c r="X758" s="66" t="n"/>
      <c r="Y758" s="65" t="n"/>
      <c r="Z758" s="65" t="n"/>
      <c r="AA758" s="65" t="n"/>
      <c r="AB758" s="65" t="n"/>
      <c r="AC758" s="65" t="n"/>
      <c r="AD758" s="65" t="n"/>
      <c r="AE758" s="65" t="n"/>
      <c r="AF758" s="65" t="n"/>
      <c r="AG758" s="65" t="n"/>
      <c r="AH758" s="65" t="n"/>
      <c r="AI758" s="65" t="n"/>
      <c r="AJ758" s="65" t="n"/>
      <c r="AK758" s="65" t="n"/>
      <c r="AL758" s="65" t="n"/>
      <c r="AM758" s="65" t="n"/>
      <c r="AN758" s="65" t="n"/>
      <c r="AO758" s="65" t="n"/>
      <c r="AP758" s="65" t="n"/>
      <c r="AQ758" s="65" t="n"/>
      <c r="AR758" s="65" t="n"/>
      <c r="AS758" s="65" t="n"/>
      <c r="AT758" s="65" t="n"/>
      <c r="AU758" s="65" t="n"/>
      <c r="AV758" s="65" t="n"/>
      <c r="AW758" s="65" t="n"/>
      <c r="AX758" s="65" t="n"/>
      <c r="AY758" s="65" t="n"/>
      <c r="AZ758" s="65" t="n"/>
      <c r="BA758" s="65" t="n"/>
      <c r="BB758" s="65" t="n"/>
      <c r="BC758" s="65" t="n"/>
      <c r="BD758" s="65" t="n"/>
      <c r="BE758" s="65" t="n"/>
      <c r="BF758" s="65" t="n"/>
      <c r="BG758" s="65" t="n"/>
    </row>
    <row r="759">
      <c r="F759" s="68" t="n"/>
      <c r="G759" s="68">
        <f>IF(B759="","",F759-I759 )</f>
        <v/>
      </c>
      <c r="H759" s="5">
        <f>IF(G759="","",G759/F759)</f>
        <v/>
      </c>
      <c r="I759" s="62">
        <f>SUM(テーブル9[[#This Row],[五大]:[工場材]])</f>
        <v/>
      </c>
      <c r="J759" s="65" t="n"/>
      <c r="K759" s="65" t="n"/>
      <c r="L759" s="65" t="n"/>
      <c r="M759" s="65" t="n"/>
      <c r="N759" s="65" t="n"/>
      <c r="O759" s="65" t="n"/>
      <c r="P759" s="65" t="n"/>
      <c r="Q759" s="65" t="n"/>
      <c r="R759" s="65" t="n"/>
      <c r="S759" s="65" t="n"/>
      <c r="T759" s="65" t="n"/>
      <c r="U759" s="65" t="n"/>
      <c r="V759" s="65" t="n"/>
      <c r="W759" s="65" t="n"/>
      <c r="X759" s="66" t="n"/>
      <c r="Y759" s="65" t="n"/>
      <c r="Z759" s="65" t="n"/>
      <c r="AA759" s="65" t="n"/>
      <c r="AB759" s="65" t="n"/>
      <c r="AC759" s="65" t="n"/>
      <c r="AD759" s="65" t="n"/>
      <c r="AE759" s="65" t="n"/>
      <c r="AF759" s="65" t="n"/>
      <c r="AG759" s="65" t="n"/>
      <c r="AH759" s="65" t="n"/>
      <c r="AI759" s="65" t="n"/>
      <c r="AJ759" s="65" t="n"/>
      <c r="AK759" s="65" t="n"/>
      <c r="AL759" s="65" t="n"/>
      <c r="AM759" s="65" t="n"/>
      <c r="AN759" s="65" t="n"/>
      <c r="AO759" s="65" t="n"/>
      <c r="AP759" s="65" t="n"/>
      <c r="AQ759" s="65" t="n"/>
      <c r="AR759" s="65" t="n"/>
      <c r="AS759" s="65" t="n"/>
      <c r="AT759" s="65" t="n"/>
      <c r="AU759" s="65" t="n"/>
      <c r="AV759" s="65" t="n"/>
      <c r="AW759" s="65" t="n"/>
      <c r="AX759" s="65" t="n"/>
      <c r="AY759" s="65" t="n"/>
      <c r="AZ759" s="65" t="n"/>
      <c r="BA759" s="65" t="n"/>
      <c r="BB759" s="65" t="n"/>
      <c r="BC759" s="65" t="n"/>
      <c r="BD759" s="65" t="n"/>
      <c r="BE759" s="65" t="n"/>
      <c r="BF759" s="65" t="n"/>
      <c r="BG759" s="65" t="n"/>
    </row>
    <row r="760">
      <c r="F760" s="68" t="n"/>
      <c r="G760" s="68">
        <f>IF(B760="","",F760-I760 )</f>
        <v/>
      </c>
      <c r="H760" s="5">
        <f>IF(G760="","",G760/F760)</f>
        <v/>
      </c>
      <c r="I760" s="62">
        <f>SUM(テーブル9[[#This Row],[五大]:[工場材]])</f>
        <v/>
      </c>
      <c r="J760" s="65" t="n"/>
      <c r="K760" s="65" t="n"/>
      <c r="L760" s="65" t="n"/>
      <c r="M760" s="65" t="n"/>
      <c r="N760" s="65" t="n"/>
      <c r="O760" s="65" t="n"/>
      <c r="P760" s="65" t="n"/>
      <c r="Q760" s="65" t="n"/>
      <c r="R760" s="65" t="n"/>
      <c r="S760" s="65" t="n"/>
      <c r="T760" s="65" t="n"/>
      <c r="U760" s="65" t="n"/>
      <c r="V760" s="65" t="n"/>
      <c r="W760" s="65" t="n"/>
      <c r="X760" s="66" t="n"/>
      <c r="Y760" s="65" t="n"/>
      <c r="Z760" s="65" t="n"/>
      <c r="AA760" s="65" t="n"/>
      <c r="AB760" s="65" t="n"/>
      <c r="AC760" s="65" t="n"/>
      <c r="AD760" s="65" t="n"/>
      <c r="AE760" s="65" t="n"/>
      <c r="AF760" s="65" t="n"/>
      <c r="AG760" s="65" t="n"/>
      <c r="AH760" s="65" t="n"/>
      <c r="AI760" s="65" t="n"/>
      <c r="AJ760" s="65" t="n"/>
      <c r="AK760" s="65" t="n"/>
      <c r="AL760" s="65" t="n"/>
      <c r="AM760" s="65" t="n"/>
      <c r="AN760" s="65" t="n"/>
      <c r="AO760" s="65" t="n"/>
      <c r="AP760" s="65" t="n"/>
      <c r="AQ760" s="65" t="n"/>
      <c r="AR760" s="65" t="n"/>
      <c r="AS760" s="65" t="n"/>
      <c r="AT760" s="65" t="n"/>
      <c r="AU760" s="65" t="n"/>
      <c r="AV760" s="65" t="n"/>
      <c r="AW760" s="65" t="n"/>
      <c r="AX760" s="65" t="n"/>
      <c r="AY760" s="65" t="n"/>
      <c r="AZ760" s="65" t="n"/>
      <c r="BA760" s="65" t="n"/>
      <c r="BB760" s="65" t="n"/>
      <c r="BC760" s="65" t="n"/>
      <c r="BD760" s="65" t="n"/>
      <c r="BE760" s="65" t="n"/>
      <c r="BF760" s="65" t="n"/>
      <c r="BG760" s="65" t="n"/>
    </row>
    <row r="761">
      <c r="F761" s="68" t="n"/>
      <c r="G761" s="68">
        <f>IF(B761="","",F761-I761 )</f>
        <v/>
      </c>
      <c r="H761" s="5">
        <f>IF(G761="","",G761/F761)</f>
        <v/>
      </c>
      <c r="I761" s="62">
        <f>SUM(テーブル9[[#This Row],[五大]:[工場材]])</f>
        <v/>
      </c>
      <c r="J761" s="65" t="n"/>
      <c r="K761" s="65" t="n"/>
      <c r="L761" s="65" t="n"/>
      <c r="M761" s="65" t="n"/>
      <c r="N761" s="65" t="n"/>
      <c r="O761" s="65" t="n"/>
      <c r="P761" s="65" t="n"/>
      <c r="Q761" s="65" t="n"/>
      <c r="R761" s="65" t="n"/>
      <c r="S761" s="65" t="n"/>
      <c r="T761" s="65" t="n"/>
      <c r="U761" s="65" t="n"/>
      <c r="V761" s="65" t="n"/>
      <c r="W761" s="65" t="n"/>
      <c r="X761" s="66" t="n"/>
      <c r="Y761" s="65" t="n"/>
      <c r="Z761" s="65" t="n"/>
      <c r="AA761" s="65" t="n"/>
      <c r="AB761" s="65" t="n"/>
      <c r="AC761" s="65" t="n"/>
      <c r="AD761" s="65" t="n"/>
      <c r="AE761" s="65" t="n"/>
      <c r="AF761" s="65" t="n"/>
      <c r="AG761" s="65" t="n"/>
      <c r="AH761" s="65" t="n"/>
      <c r="AI761" s="65" t="n"/>
      <c r="AJ761" s="65" t="n"/>
      <c r="AK761" s="65" t="n"/>
      <c r="AL761" s="65" t="n"/>
      <c r="AM761" s="65" t="n"/>
      <c r="AN761" s="65" t="n"/>
      <c r="AO761" s="65" t="n"/>
      <c r="AP761" s="65" t="n"/>
      <c r="AQ761" s="65" t="n"/>
      <c r="AR761" s="65" t="n"/>
      <c r="AS761" s="65" t="n"/>
      <c r="AT761" s="65" t="n"/>
      <c r="AU761" s="65" t="n"/>
      <c r="AV761" s="65" t="n"/>
      <c r="AW761" s="65" t="n"/>
      <c r="AX761" s="65" t="n"/>
      <c r="AY761" s="65" t="n"/>
      <c r="AZ761" s="65" t="n"/>
      <c r="BA761" s="65" t="n"/>
      <c r="BB761" s="65" t="n"/>
      <c r="BC761" s="65" t="n"/>
      <c r="BD761" s="65" t="n"/>
      <c r="BE761" s="65" t="n"/>
      <c r="BF761" s="65" t="n"/>
      <c r="BG761" s="65" t="n"/>
    </row>
    <row r="762">
      <c r="F762" s="68" t="n"/>
      <c r="G762" s="68">
        <f>IF(B762="","",F762-I762 )</f>
        <v/>
      </c>
      <c r="H762" s="5">
        <f>IF(G762="","",G762/F762)</f>
        <v/>
      </c>
      <c r="I762" s="62">
        <f>SUM(テーブル9[[#This Row],[五大]:[工場材]])</f>
        <v/>
      </c>
      <c r="J762" s="65" t="n"/>
      <c r="K762" s="65" t="n"/>
      <c r="L762" s="65" t="n"/>
      <c r="M762" s="65" t="n"/>
      <c r="N762" s="65" t="n"/>
      <c r="O762" s="65" t="n"/>
      <c r="P762" s="65" t="n"/>
      <c r="Q762" s="65" t="n"/>
      <c r="R762" s="65" t="n"/>
      <c r="S762" s="65" t="n"/>
      <c r="T762" s="65" t="n"/>
      <c r="U762" s="65" t="n"/>
      <c r="V762" s="65" t="n"/>
      <c r="W762" s="65" t="n"/>
      <c r="X762" s="66" t="n"/>
      <c r="Y762" s="65" t="n"/>
      <c r="Z762" s="65" t="n"/>
      <c r="AA762" s="65" t="n"/>
      <c r="AB762" s="65" t="n"/>
      <c r="AC762" s="65" t="n"/>
      <c r="AD762" s="65" t="n"/>
      <c r="AE762" s="65" t="n"/>
      <c r="AF762" s="65" t="n"/>
      <c r="AG762" s="65" t="n"/>
      <c r="AH762" s="65" t="n"/>
      <c r="AI762" s="65" t="n"/>
      <c r="AJ762" s="65" t="n"/>
      <c r="AK762" s="65" t="n"/>
      <c r="AL762" s="65" t="n"/>
      <c r="AM762" s="65" t="n"/>
      <c r="AN762" s="65" t="n"/>
      <c r="AO762" s="65" t="n"/>
      <c r="AP762" s="65" t="n"/>
      <c r="AQ762" s="65" t="n"/>
      <c r="AR762" s="65" t="n"/>
      <c r="AS762" s="65" t="n"/>
      <c r="AT762" s="65" t="n"/>
      <c r="AU762" s="65" t="n"/>
      <c r="AV762" s="65" t="n"/>
      <c r="AW762" s="65" t="n"/>
      <c r="AX762" s="65" t="n"/>
      <c r="AY762" s="65" t="n"/>
      <c r="AZ762" s="65" t="n"/>
      <c r="BA762" s="65" t="n"/>
      <c r="BB762" s="65" t="n"/>
      <c r="BC762" s="65" t="n"/>
      <c r="BD762" s="65" t="n"/>
      <c r="BE762" s="65" t="n"/>
      <c r="BF762" s="65" t="n"/>
      <c r="BG762" s="65" t="n"/>
    </row>
    <row r="763">
      <c r="F763" s="68" t="n"/>
      <c r="G763" s="68">
        <f>IF(B763="","",F763-I763 )</f>
        <v/>
      </c>
      <c r="H763" s="5">
        <f>IF(G763="","",G763/F763)</f>
        <v/>
      </c>
      <c r="I763" s="62">
        <f>SUM(テーブル9[[#This Row],[五大]:[工場材]])</f>
        <v/>
      </c>
      <c r="J763" s="65" t="n"/>
      <c r="K763" s="65" t="n"/>
      <c r="L763" s="65" t="n"/>
      <c r="M763" s="65" t="n"/>
      <c r="N763" s="65" t="n"/>
      <c r="O763" s="65" t="n"/>
      <c r="P763" s="65" t="n"/>
      <c r="Q763" s="65" t="n"/>
      <c r="R763" s="65" t="n"/>
      <c r="S763" s="65" t="n"/>
      <c r="T763" s="65" t="n"/>
      <c r="U763" s="65" t="n"/>
      <c r="V763" s="65" t="n"/>
      <c r="W763" s="65" t="n"/>
      <c r="X763" s="66" t="n"/>
      <c r="Y763" s="65" t="n"/>
      <c r="Z763" s="65" t="n"/>
      <c r="AA763" s="65" t="n"/>
      <c r="AB763" s="65" t="n"/>
      <c r="AC763" s="65" t="n"/>
      <c r="AD763" s="65" t="n"/>
      <c r="AE763" s="65" t="n"/>
      <c r="AF763" s="65" t="n"/>
      <c r="AG763" s="65" t="n"/>
      <c r="AH763" s="65" t="n"/>
      <c r="AI763" s="65" t="n"/>
      <c r="AJ763" s="65" t="n"/>
      <c r="AK763" s="65" t="n"/>
      <c r="AL763" s="65" t="n"/>
      <c r="AM763" s="65" t="n"/>
      <c r="AN763" s="65" t="n"/>
      <c r="AO763" s="65" t="n"/>
      <c r="AP763" s="65" t="n"/>
      <c r="AQ763" s="65" t="n"/>
      <c r="AR763" s="65" t="n"/>
      <c r="AS763" s="65" t="n"/>
      <c r="AT763" s="65" t="n"/>
      <c r="AU763" s="65" t="n"/>
      <c r="AV763" s="65" t="n"/>
      <c r="AW763" s="65" t="n"/>
      <c r="AX763" s="65" t="n"/>
      <c r="AY763" s="65" t="n"/>
      <c r="AZ763" s="65" t="n"/>
      <c r="BA763" s="65" t="n"/>
      <c r="BB763" s="65" t="n"/>
      <c r="BC763" s="65" t="n"/>
      <c r="BD763" s="65" t="n"/>
      <c r="BE763" s="65" t="n"/>
      <c r="BF763" s="65" t="n"/>
      <c r="BG763" s="65" t="n"/>
    </row>
    <row r="764">
      <c r="F764" s="68" t="n"/>
      <c r="G764" s="68">
        <f>IF(B764="","",F764-I764 )</f>
        <v/>
      </c>
      <c r="H764" s="5">
        <f>IF(G764="","",G764/F764)</f>
        <v/>
      </c>
      <c r="I764" s="62">
        <f>SUM(テーブル9[[#This Row],[五大]:[工場材]])</f>
        <v/>
      </c>
      <c r="J764" s="65" t="n"/>
      <c r="K764" s="65" t="n"/>
      <c r="L764" s="65" t="n"/>
      <c r="M764" s="65" t="n"/>
      <c r="N764" s="65" t="n"/>
      <c r="O764" s="65" t="n"/>
      <c r="P764" s="65" t="n"/>
      <c r="Q764" s="65" t="n"/>
      <c r="R764" s="65" t="n"/>
      <c r="S764" s="65" t="n"/>
      <c r="T764" s="65" t="n"/>
      <c r="U764" s="65" t="n"/>
      <c r="V764" s="65" t="n"/>
      <c r="W764" s="65" t="n"/>
      <c r="X764" s="66" t="n"/>
      <c r="Y764" s="65" t="n"/>
      <c r="Z764" s="65" t="n"/>
      <c r="AA764" s="65" t="n"/>
      <c r="AB764" s="65" t="n"/>
      <c r="AC764" s="65" t="n"/>
      <c r="AD764" s="65" t="n"/>
      <c r="AE764" s="65" t="n"/>
      <c r="AF764" s="65" t="n"/>
      <c r="AG764" s="65" t="n"/>
      <c r="AH764" s="65" t="n"/>
      <c r="AI764" s="65" t="n"/>
      <c r="AJ764" s="65" t="n"/>
      <c r="AK764" s="65" t="n"/>
      <c r="AL764" s="65" t="n"/>
      <c r="AM764" s="65" t="n"/>
      <c r="AN764" s="65" t="n"/>
      <c r="AO764" s="65" t="n"/>
      <c r="AP764" s="65" t="n"/>
      <c r="AQ764" s="65" t="n"/>
      <c r="AR764" s="65" t="n"/>
      <c r="AS764" s="65" t="n"/>
      <c r="AT764" s="65" t="n"/>
      <c r="AU764" s="65" t="n"/>
      <c r="AV764" s="65" t="n"/>
      <c r="AW764" s="65" t="n"/>
      <c r="AX764" s="65" t="n"/>
      <c r="AY764" s="65" t="n"/>
      <c r="AZ764" s="65" t="n"/>
      <c r="BA764" s="65" t="n"/>
      <c r="BB764" s="65" t="n"/>
      <c r="BC764" s="65" t="n"/>
      <c r="BD764" s="65" t="n"/>
      <c r="BE764" s="65" t="n"/>
      <c r="BF764" s="65" t="n"/>
      <c r="BG764" s="65" t="n"/>
    </row>
    <row r="765">
      <c r="F765" s="68" t="n"/>
      <c r="G765" s="68">
        <f>IF(B765="","",F765-I765 )</f>
        <v/>
      </c>
      <c r="H765" s="5">
        <f>IF(G765="","",G765/F765)</f>
        <v/>
      </c>
      <c r="I765" s="62">
        <f>SUM(テーブル9[[#This Row],[五大]:[工場材]])</f>
        <v/>
      </c>
      <c r="J765" s="65" t="n"/>
      <c r="K765" s="65" t="n"/>
      <c r="L765" s="65" t="n"/>
      <c r="M765" s="65" t="n"/>
      <c r="N765" s="65" t="n"/>
      <c r="O765" s="65" t="n"/>
      <c r="P765" s="65" t="n"/>
      <c r="Q765" s="65" t="n"/>
      <c r="R765" s="65" t="n"/>
      <c r="S765" s="65" t="n"/>
      <c r="T765" s="65" t="n"/>
      <c r="U765" s="65" t="n"/>
      <c r="V765" s="65" t="n"/>
      <c r="W765" s="65" t="n"/>
      <c r="X765" s="66" t="n"/>
      <c r="Y765" s="65" t="n"/>
      <c r="Z765" s="65" t="n"/>
      <c r="AA765" s="65" t="n"/>
      <c r="AB765" s="65" t="n"/>
      <c r="AC765" s="65" t="n"/>
      <c r="AD765" s="65" t="n"/>
      <c r="AE765" s="65" t="n"/>
      <c r="AF765" s="65" t="n"/>
      <c r="AG765" s="65" t="n"/>
      <c r="AH765" s="65" t="n"/>
      <c r="AI765" s="65" t="n"/>
      <c r="AJ765" s="65" t="n"/>
      <c r="AK765" s="65" t="n"/>
      <c r="AL765" s="65" t="n"/>
      <c r="AM765" s="65" t="n"/>
      <c r="AN765" s="65" t="n"/>
      <c r="AO765" s="65" t="n"/>
      <c r="AP765" s="65" t="n"/>
      <c r="AQ765" s="65" t="n"/>
      <c r="AR765" s="65" t="n"/>
      <c r="AS765" s="65" t="n"/>
      <c r="AT765" s="65" t="n"/>
      <c r="AU765" s="65" t="n"/>
      <c r="AV765" s="65" t="n"/>
      <c r="AW765" s="65" t="n"/>
      <c r="AX765" s="65" t="n"/>
      <c r="AY765" s="65" t="n"/>
      <c r="AZ765" s="65" t="n"/>
      <c r="BA765" s="65" t="n"/>
      <c r="BB765" s="65" t="n"/>
      <c r="BC765" s="65" t="n"/>
      <c r="BD765" s="65" t="n"/>
      <c r="BE765" s="65" t="n"/>
      <c r="BF765" s="65" t="n"/>
      <c r="BG765" s="65" t="n"/>
    </row>
    <row r="766">
      <c r="F766" s="68" t="n"/>
      <c r="G766" s="68">
        <f>IF(B766="","",F766-I766 )</f>
        <v/>
      </c>
      <c r="H766" s="5">
        <f>IF(G766="","",G766/F766)</f>
        <v/>
      </c>
      <c r="I766" s="62">
        <f>SUM(テーブル9[[#This Row],[五大]:[工場材]])</f>
        <v/>
      </c>
      <c r="J766" s="65" t="n"/>
      <c r="K766" s="65" t="n"/>
      <c r="L766" s="65" t="n"/>
      <c r="M766" s="65" t="n"/>
      <c r="N766" s="65" t="n"/>
      <c r="O766" s="65" t="n"/>
      <c r="P766" s="65" t="n"/>
      <c r="Q766" s="65" t="n"/>
      <c r="R766" s="65" t="n"/>
      <c r="S766" s="65" t="n"/>
      <c r="T766" s="65" t="n"/>
      <c r="U766" s="65" t="n"/>
      <c r="V766" s="65" t="n"/>
      <c r="W766" s="65" t="n"/>
      <c r="X766" s="66" t="n"/>
      <c r="Y766" s="65" t="n"/>
      <c r="Z766" s="65" t="n"/>
      <c r="AA766" s="65" t="n"/>
      <c r="AB766" s="65" t="n"/>
      <c r="AC766" s="65" t="n"/>
      <c r="AD766" s="65" t="n"/>
      <c r="AE766" s="65" t="n"/>
      <c r="AF766" s="65" t="n"/>
      <c r="AG766" s="65" t="n"/>
      <c r="AH766" s="65" t="n"/>
      <c r="AI766" s="65" t="n"/>
      <c r="AJ766" s="65" t="n"/>
      <c r="AK766" s="65" t="n"/>
      <c r="AL766" s="65" t="n"/>
      <c r="AM766" s="65" t="n"/>
      <c r="AN766" s="65" t="n"/>
      <c r="AO766" s="65" t="n"/>
      <c r="AP766" s="65" t="n"/>
      <c r="AQ766" s="65" t="n"/>
      <c r="AR766" s="65" t="n"/>
      <c r="AS766" s="65" t="n"/>
      <c r="AT766" s="65" t="n"/>
      <c r="AU766" s="65" t="n"/>
      <c r="AV766" s="65" t="n"/>
      <c r="AW766" s="65" t="n"/>
      <c r="AX766" s="65" t="n"/>
      <c r="AY766" s="65" t="n"/>
      <c r="AZ766" s="65" t="n"/>
      <c r="BA766" s="65" t="n"/>
      <c r="BB766" s="65" t="n"/>
      <c r="BC766" s="65" t="n"/>
      <c r="BD766" s="65" t="n"/>
      <c r="BE766" s="65" t="n"/>
      <c r="BF766" s="65" t="n"/>
      <c r="BG766" s="65" t="n"/>
    </row>
    <row r="767">
      <c r="F767" s="68" t="n"/>
      <c r="G767" s="68">
        <f>IF(B767="","",F767-I767 )</f>
        <v/>
      </c>
      <c r="H767" s="5">
        <f>IF(G767="","",G767/F767)</f>
        <v/>
      </c>
      <c r="I767" s="62">
        <f>SUM(テーブル9[[#This Row],[五大]:[工場材]])</f>
        <v/>
      </c>
      <c r="J767" s="65" t="n"/>
      <c r="K767" s="65" t="n"/>
      <c r="L767" s="65" t="n"/>
      <c r="M767" s="65" t="n"/>
      <c r="N767" s="65" t="n"/>
      <c r="O767" s="65" t="n"/>
      <c r="P767" s="65" t="n"/>
      <c r="Q767" s="65" t="n"/>
      <c r="R767" s="65" t="n"/>
      <c r="S767" s="65" t="n"/>
      <c r="T767" s="65" t="n"/>
      <c r="U767" s="65" t="n"/>
      <c r="V767" s="65" t="n"/>
      <c r="W767" s="65" t="n"/>
      <c r="X767" s="66" t="n"/>
      <c r="Y767" s="65" t="n"/>
      <c r="Z767" s="65" t="n"/>
      <c r="AA767" s="65" t="n"/>
      <c r="AB767" s="65" t="n"/>
      <c r="AC767" s="65" t="n"/>
      <c r="AD767" s="65" t="n"/>
      <c r="AE767" s="65" t="n"/>
      <c r="AF767" s="65" t="n"/>
      <c r="AG767" s="65" t="n"/>
      <c r="AH767" s="65" t="n"/>
      <c r="AI767" s="65" t="n"/>
      <c r="AJ767" s="65" t="n"/>
      <c r="AK767" s="65" t="n"/>
      <c r="AL767" s="65" t="n"/>
      <c r="AM767" s="65" t="n"/>
      <c r="AN767" s="65" t="n"/>
      <c r="AO767" s="65" t="n"/>
      <c r="AP767" s="65" t="n"/>
      <c r="AQ767" s="65" t="n"/>
      <c r="AR767" s="65" t="n"/>
      <c r="AS767" s="65" t="n"/>
      <c r="AT767" s="65" t="n"/>
      <c r="AU767" s="65" t="n"/>
      <c r="AV767" s="65" t="n"/>
      <c r="AW767" s="65" t="n"/>
      <c r="AX767" s="65" t="n"/>
      <c r="AY767" s="65" t="n"/>
      <c r="AZ767" s="65" t="n"/>
      <c r="BA767" s="65" t="n"/>
      <c r="BB767" s="65" t="n"/>
      <c r="BC767" s="65" t="n"/>
      <c r="BD767" s="65" t="n"/>
      <c r="BE767" s="65" t="n"/>
      <c r="BF767" s="65" t="n"/>
      <c r="BG767" s="65" t="n"/>
    </row>
    <row r="768">
      <c r="F768" s="68" t="n"/>
      <c r="G768" s="68">
        <f>IF(B768="","",F768-I768 )</f>
        <v/>
      </c>
      <c r="H768" s="5">
        <f>IF(G768="","",G768/F768)</f>
        <v/>
      </c>
      <c r="I768" s="62">
        <f>SUM(テーブル9[[#This Row],[五大]:[工場材]])</f>
        <v/>
      </c>
      <c r="J768" s="65" t="n"/>
      <c r="K768" s="65" t="n"/>
      <c r="L768" s="65" t="n"/>
      <c r="M768" s="65" t="n"/>
      <c r="N768" s="65" t="n"/>
      <c r="O768" s="65" t="n"/>
      <c r="P768" s="65" t="n"/>
      <c r="Q768" s="65" t="n"/>
      <c r="R768" s="65" t="n"/>
      <c r="S768" s="65" t="n"/>
      <c r="T768" s="65" t="n"/>
      <c r="U768" s="65" t="n"/>
      <c r="V768" s="65" t="n"/>
      <c r="W768" s="65" t="n"/>
      <c r="X768" s="66" t="n"/>
      <c r="Y768" s="65" t="n"/>
      <c r="Z768" s="65" t="n"/>
      <c r="AA768" s="65" t="n"/>
      <c r="AB768" s="65" t="n"/>
      <c r="AC768" s="65" t="n"/>
      <c r="AD768" s="65" t="n"/>
      <c r="AE768" s="65" t="n"/>
      <c r="AF768" s="65" t="n"/>
      <c r="AG768" s="65" t="n"/>
      <c r="AH768" s="65" t="n"/>
      <c r="AI768" s="65" t="n"/>
      <c r="AJ768" s="65" t="n"/>
      <c r="AK768" s="65" t="n"/>
      <c r="AL768" s="65" t="n"/>
      <c r="AM768" s="65" t="n"/>
      <c r="AN768" s="65" t="n"/>
      <c r="AO768" s="65" t="n"/>
      <c r="AP768" s="65" t="n"/>
      <c r="AQ768" s="65" t="n"/>
      <c r="AR768" s="65" t="n"/>
      <c r="AS768" s="65" t="n"/>
      <c r="AT768" s="65" t="n"/>
      <c r="AU768" s="65" t="n"/>
      <c r="AV768" s="65" t="n"/>
      <c r="AW768" s="65" t="n"/>
      <c r="AX768" s="65" t="n"/>
      <c r="AY768" s="65" t="n"/>
      <c r="AZ768" s="65" t="n"/>
      <c r="BA768" s="65" t="n"/>
      <c r="BB768" s="65" t="n"/>
      <c r="BC768" s="65" t="n"/>
      <c r="BD768" s="65" t="n"/>
      <c r="BE768" s="65" t="n"/>
      <c r="BF768" s="65" t="n"/>
      <c r="BG768" s="65" t="n"/>
    </row>
    <row r="769">
      <c r="F769" s="68" t="n"/>
      <c r="G769" s="68">
        <f>IF(B769="","",F769-I769 )</f>
        <v/>
      </c>
      <c r="H769" s="5">
        <f>IF(G769="","",G769/F769)</f>
        <v/>
      </c>
      <c r="I769" s="62">
        <f>SUM(テーブル9[[#This Row],[五大]:[工場材]])</f>
        <v/>
      </c>
      <c r="J769" s="65" t="n"/>
      <c r="K769" s="65" t="n"/>
      <c r="L769" s="65" t="n"/>
      <c r="M769" s="65" t="n"/>
      <c r="N769" s="65" t="n"/>
      <c r="O769" s="65" t="n"/>
      <c r="P769" s="65" t="n"/>
      <c r="Q769" s="65" t="n"/>
      <c r="R769" s="65" t="n"/>
      <c r="S769" s="65" t="n"/>
      <c r="T769" s="65" t="n"/>
      <c r="U769" s="65" t="n"/>
      <c r="V769" s="65" t="n"/>
      <c r="W769" s="65" t="n"/>
      <c r="X769" s="66" t="n"/>
      <c r="Y769" s="65" t="n"/>
      <c r="Z769" s="65" t="n"/>
      <c r="AA769" s="65" t="n"/>
      <c r="AB769" s="65" t="n"/>
      <c r="AC769" s="65" t="n"/>
      <c r="AD769" s="65" t="n"/>
      <c r="AE769" s="65" t="n"/>
      <c r="AF769" s="65" t="n"/>
      <c r="AG769" s="65" t="n"/>
      <c r="AH769" s="65" t="n"/>
      <c r="AI769" s="65" t="n"/>
      <c r="AJ769" s="65" t="n"/>
      <c r="AK769" s="65" t="n"/>
      <c r="AL769" s="65" t="n"/>
      <c r="AM769" s="65" t="n"/>
      <c r="AN769" s="65" t="n"/>
      <c r="AO769" s="65" t="n"/>
      <c r="AP769" s="65" t="n"/>
      <c r="AQ769" s="65" t="n"/>
      <c r="AR769" s="65" t="n"/>
      <c r="AS769" s="65" t="n"/>
      <c r="AT769" s="65" t="n"/>
      <c r="AU769" s="65" t="n"/>
      <c r="AV769" s="65" t="n"/>
      <c r="AW769" s="65" t="n"/>
      <c r="AX769" s="65" t="n"/>
      <c r="AY769" s="65" t="n"/>
      <c r="AZ769" s="65" t="n"/>
      <c r="BA769" s="65" t="n"/>
      <c r="BB769" s="65" t="n"/>
      <c r="BC769" s="65" t="n"/>
      <c r="BD769" s="65" t="n"/>
      <c r="BE769" s="65" t="n"/>
      <c r="BF769" s="65" t="n"/>
      <c r="BG769" s="65" t="n"/>
    </row>
    <row r="770">
      <c r="F770" s="68" t="n"/>
      <c r="G770" s="68">
        <f>IF(B770="","",F770-I770 )</f>
        <v/>
      </c>
      <c r="H770" s="5">
        <f>IF(G770="","",G770/F770)</f>
        <v/>
      </c>
      <c r="I770" s="62">
        <f>SUM(テーブル9[[#This Row],[五大]:[工場材]])</f>
        <v/>
      </c>
      <c r="J770" s="65" t="n"/>
      <c r="K770" s="65" t="n"/>
      <c r="L770" s="65" t="n"/>
      <c r="M770" s="65" t="n"/>
      <c r="N770" s="65" t="n"/>
      <c r="O770" s="65" t="n"/>
      <c r="P770" s="65" t="n"/>
      <c r="Q770" s="65" t="n"/>
      <c r="R770" s="65" t="n"/>
      <c r="S770" s="65" t="n"/>
      <c r="T770" s="65" t="n"/>
      <c r="U770" s="65" t="n"/>
      <c r="V770" s="65" t="n"/>
      <c r="W770" s="65" t="n"/>
      <c r="X770" s="66" t="n"/>
      <c r="Y770" s="65" t="n"/>
      <c r="Z770" s="65" t="n"/>
      <c r="AA770" s="65" t="n"/>
      <c r="AB770" s="65" t="n"/>
      <c r="AC770" s="65" t="n"/>
      <c r="AD770" s="65" t="n"/>
      <c r="AE770" s="65" t="n"/>
      <c r="AF770" s="65" t="n"/>
      <c r="AG770" s="65" t="n"/>
      <c r="AH770" s="65" t="n"/>
      <c r="AI770" s="65" t="n"/>
      <c r="AJ770" s="65" t="n"/>
      <c r="AK770" s="65" t="n"/>
      <c r="AL770" s="65" t="n"/>
      <c r="AM770" s="65" t="n"/>
      <c r="AN770" s="65" t="n"/>
      <c r="AO770" s="65" t="n"/>
      <c r="AP770" s="65" t="n"/>
      <c r="AQ770" s="65" t="n"/>
      <c r="AR770" s="65" t="n"/>
      <c r="AS770" s="65" t="n"/>
      <c r="AT770" s="65" t="n"/>
      <c r="AU770" s="65" t="n"/>
      <c r="AV770" s="65" t="n"/>
      <c r="AW770" s="65" t="n"/>
      <c r="AX770" s="65" t="n"/>
      <c r="AY770" s="65" t="n"/>
      <c r="AZ770" s="65" t="n"/>
      <c r="BA770" s="65" t="n"/>
      <c r="BB770" s="65" t="n"/>
      <c r="BC770" s="65" t="n"/>
      <c r="BD770" s="65" t="n"/>
      <c r="BE770" s="65" t="n"/>
      <c r="BF770" s="65" t="n"/>
      <c r="BG770" s="65" t="n"/>
    </row>
    <row r="771">
      <c r="F771" s="68" t="n"/>
      <c r="G771" s="68">
        <f>IF(B771="","",F771-I771 )</f>
        <v/>
      </c>
      <c r="H771" s="5">
        <f>IF(G771="","",G771/F771)</f>
        <v/>
      </c>
      <c r="I771" s="62">
        <f>SUM(テーブル9[[#This Row],[五大]:[工場材]])</f>
        <v/>
      </c>
      <c r="J771" s="65" t="n"/>
      <c r="K771" s="65" t="n"/>
      <c r="L771" s="65" t="n"/>
      <c r="M771" s="65" t="n"/>
      <c r="N771" s="65" t="n"/>
      <c r="O771" s="65" t="n"/>
      <c r="P771" s="65" t="n"/>
      <c r="Q771" s="65" t="n"/>
      <c r="R771" s="65" t="n"/>
      <c r="S771" s="65" t="n"/>
      <c r="T771" s="65" t="n"/>
      <c r="U771" s="65" t="n"/>
      <c r="V771" s="65" t="n"/>
      <c r="W771" s="65" t="n"/>
      <c r="X771" s="66" t="n"/>
      <c r="Y771" s="65" t="n"/>
      <c r="Z771" s="65" t="n"/>
      <c r="AA771" s="65" t="n"/>
      <c r="AB771" s="65" t="n"/>
      <c r="AC771" s="65" t="n"/>
      <c r="AD771" s="65" t="n"/>
      <c r="AE771" s="65" t="n"/>
      <c r="AF771" s="65" t="n"/>
      <c r="AG771" s="65" t="n"/>
      <c r="AH771" s="65" t="n"/>
      <c r="AI771" s="65" t="n"/>
      <c r="AJ771" s="65" t="n"/>
      <c r="AK771" s="65" t="n"/>
      <c r="AL771" s="65" t="n"/>
      <c r="AM771" s="65" t="n"/>
      <c r="AN771" s="65" t="n"/>
      <c r="AO771" s="65" t="n"/>
      <c r="AP771" s="65" t="n"/>
      <c r="AQ771" s="65" t="n"/>
      <c r="AR771" s="65" t="n"/>
      <c r="AS771" s="65" t="n"/>
      <c r="AT771" s="65" t="n"/>
      <c r="AU771" s="65" t="n"/>
      <c r="AV771" s="65" t="n"/>
      <c r="AW771" s="65" t="n"/>
      <c r="AX771" s="65" t="n"/>
      <c r="AY771" s="65" t="n"/>
      <c r="AZ771" s="65" t="n"/>
      <c r="BA771" s="65" t="n"/>
      <c r="BB771" s="65" t="n"/>
      <c r="BC771" s="65" t="n"/>
      <c r="BD771" s="65" t="n"/>
      <c r="BE771" s="65" t="n"/>
      <c r="BF771" s="65" t="n"/>
      <c r="BG771" s="65" t="n"/>
    </row>
    <row r="772">
      <c r="F772" s="68" t="n"/>
      <c r="G772" s="68">
        <f>IF(B772="","",F772-I772 )</f>
        <v/>
      </c>
      <c r="H772" s="5">
        <f>IF(G772="","",G772/F772)</f>
        <v/>
      </c>
      <c r="I772" s="62">
        <f>SUM(テーブル9[[#This Row],[五大]:[工場材]])</f>
        <v/>
      </c>
      <c r="J772" s="65" t="n"/>
      <c r="K772" s="65" t="n"/>
      <c r="L772" s="65" t="n"/>
      <c r="M772" s="65" t="n"/>
      <c r="N772" s="65" t="n"/>
      <c r="O772" s="65" t="n"/>
      <c r="P772" s="65" t="n"/>
      <c r="Q772" s="65" t="n"/>
      <c r="R772" s="65" t="n"/>
      <c r="S772" s="65" t="n"/>
      <c r="T772" s="65" t="n"/>
      <c r="U772" s="65" t="n"/>
      <c r="V772" s="65" t="n"/>
      <c r="W772" s="65" t="n"/>
      <c r="X772" s="66" t="n"/>
      <c r="Y772" s="65" t="n"/>
      <c r="Z772" s="65" t="n"/>
      <c r="AA772" s="65" t="n"/>
      <c r="AB772" s="65" t="n"/>
      <c r="AC772" s="65" t="n"/>
      <c r="AD772" s="65" t="n"/>
      <c r="AE772" s="65" t="n"/>
      <c r="AF772" s="65" t="n"/>
      <c r="AG772" s="65" t="n"/>
      <c r="AH772" s="65" t="n"/>
      <c r="AI772" s="65" t="n"/>
      <c r="AJ772" s="65" t="n"/>
      <c r="AK772" s="65" t="n"/>
      <c r="AL772" s="65" t="n"/>
      <c r="AM772" s="65" t="n"/>
      <c r="AN772" s="65" t="n"/>
      <c r="AO772" s="65" t="n"/>
      <c r="AP772" s="65" t="n"/>
      <c r="AQ772" s="65" t="n"/>
      <c r="AR772" s="65" t="n"/>
      <c r="AS772" s="65" t="n"/>
      <c r="AT772" s="65" t="n"/>
      <c r="AU772" s="65" t="n"/>
      <c r="AV772" s="65" t="n"/>
      <c r="AW772" s="65" t="n"/>
      <c r="AX772" s="65" t="n"/>
      <c r="AY772" s="65" t="n"/>
      <c r="AZ772" s="65" t="n"/>
      <c r="BA772" s="65" t="n"/>
      <c r="BB772" s="65" t="n"/>
      <c r="BC772" s="65" t="n"/>
      <c r="BD772" s="65" t="n"/>
      <c r="BE772" s="65" t="n"/>
      <c r="BF772" s="65" t="n"/>
      <c r="BG772" s="65" t="n"/>
    </row>
    <row r="773">
      <c r="F773" s="68" t="n"/>
      <c r="G773" s="68">
        <f>IF(B773="","",F773-I773 )</f>
        <v/>
      </c>
      <c r="H773" s="5">
        <f>IF(G773="","",G773/F773)</f>
        <v/>
      </c>
      <c r="I773" s="62">
        <f>SUM(テーブル9[[#This Row],[五大]:[工場材]])</f>
        <v/>
      </c>
      <c r="J773" s="65" t="n"/>
      <c r="K773" s="65" t="n"/>
      <c r="L773" s="65" t="n"/>
      <c r="M773" s="65" t="n"/>
      <c r="N773" s="65" t="n"/>
      <c r="O773" s="65" t="n"/>
      <c r="P773" s="65" t="n"/>
      <c r="Q773" s="65" t="n"/>
      <c r="R773" s="65" t="n"/>
      <c r="S773" s="65" t="n"/>
      <c r="T773" s="65" t="n"/>
      <c r="U773" s="65" t="n"/>
      <c r="V773" s="65" t="n"/>
      <c r="W773" s="65" t="n"/>
      <c r="X773" s="66" t="n"/>
      <c r="Y773" s="65" t="n"/>
      <c r="Z773" s="65" t="n"/>
      <c r="AA773" s="65" t="n"/>
      <c r="AB773" s="65" t="n"/>
      <c r="AC773" s="65" t="n"/>
      <c r="AD773" s="65" t="n"/>
      <c r="AE773" s="65" t="n"/>
      <c r="AF773" s="65" t="n"/>
      <c r="AG773" s="65" t="n"/>
      <c r="AH773" s="65" t="n"/>
      <c r="AI773" s="65" t="n"/>
      <c r="AJ773" s="65" t="n"/>
      <c r="AK773" s="65" t="n"/>
      <c r="AL773" s="65" t="n"/>
      <c r="AM773" s="65" t="n"/>
      <c r="AN773" s="65" t="n"/>
      <c r="AO773" s="65" t="n"/>
      <c r="AP773" s="65" t="n"/>
      <c r="AQ773" s="65" t="n"/>
      <c r="AR773" s="65" t="n"/>
      <c r="AS773" s="65" t="n"/>
      <c r="AT773" s="65" t="n"/>
      <c r="AU773" s="65" t="n"/>
      <c r="AV773" s="65" t="n"/>
      <c r="AW773" s="65" t="n"/>
      <c r="AX773" s="65" t="n"/>
      <c r="AY773" s="65" t="n"/>
      <c r="AZ773" s="65" t="n"/>
      <c r="BA773" s="65" t="n"/>
      <c r="BB773" s="65" t="n"/>
      <c r="BC773" s="65" t="n"/>
      <c r="BD773" s="65" t="n"/>
      <c r="BE773" s="65" t="n"/>
      <c r="BF773" s="65" t="n"/>
      <c r="BG773" s="65" t="n"/>
    </row>
    <row r="774">
      <c r="F774" s="68" t="n"/>
      <c r="G774" s="68">
        <f>IF(B774="","",F774-I774 )</f>
        <v/>
      </c>
      <c r="H774" s="5">
        <f>IF(G774="","",G774/F774)</f>
        <v/>
      </c>
      <c r="I774" s="62">
        <f>SUM(テーブル9[[#This Row],[五大]:[工場材]])</f>
        <v/>
      </c>
      <c r="J774" s="65" t="n"/>
      <c r="K774" s="65" t="n"/>
      <c r="L774" s="65" t="n"/>
      <c r="M774" s="65" t="n"/>
      <c r="N774" s="65" t="n"/>
      <c r="O774" s="65" t="n"/>
      <c r="P774" s="65" t="n"/>
      <c r="Q774" s="65" t="n"/>
      <c r="R774" s="65" t="n"/>
      <c r="S774" s="65" t="n"/>
      <c r="T774" s="65" t="n"/>
      <c r="U774" s="65" t="n"/>
      <c r="V774" s="65" t="n"/>
      <c r="W774" s="65" t="n"/>
      <c r="X774" s="66" t="n"/>
      <c r="Y774" s="65" t="n"/>
      <c r="Z774" s="65" t="n"/>
      <c r="AA774" s="65" t="n"/>
      <c r="AB774" s="65" t="n"/>
      <c r="AC774" s="65" t="n"/>
      <c r="AD774" s="65" t="n"/>
      <c r="AE774" s="65" t="n"/>
      <c r="AF774" s="65" t="n"/>
      <c r="AG774" s="65" t="n"/>
      <c r="AH774" s="65" t="n"/>
      <c r="AI774" s="65" t="n"/>
      <c r="AJ774" s="65" t="n"/>
      <c r="AK774" s="65" t="n"/>
      <c r="AL774" s="65" t="n"/>
      <c r="AM774" s="65" t="n"/>
      <c r="AN774" s="65" t="n"/>
      <c r="AO774" s="65" t="n"/>
      <c r="AP774" s="65" t="n"/>
      <c r="AQ774" s="65" t="n"/>
      <c r="AR774" s="65" t="n"/>
      <c r="AS774" s="65" t="n"/>
      <c r="AT774" s="65" t="n"/>
      <c r="AU774" s="65" t="n"/>
      <c r="AV774" s="65" t="n"/>
      <c r="AW774" s="65" t="n"/>
      <c r="AX774" s="65" t="n"/>
      <c r="AY774" s="65" t="n"/>
      <c r="AZ774" s="65" t="n"/>
      <c r="BA774" s="65" t="n"/>
      <c r="BB774" s="65" t="n"/>
      <c r="BC774" s="65" t="n"/>
      <c r="BD774" s="65" t="n"/>
      <c r="BE774" s="65" t="n"/>
      <c r="BF774" s="65" t="n"/>
      <c r="BG774" s="65" t="n"/>
    </row>
    <row r="775">
      <c r="F775" s="68" t="n"/>
      <c r="G775" s="68">
        <f>IF(B775="","",F775-I775 )</f>
        <v/>
      </c>
      <c r="H775" s="5">
        <f>IF(G775="","",G775/F775)</f>
        <v/>
      </c>
      <c r="I775" s="62">
        <f>SUM(テーブル9[[#This Row],[五大]:[工場材]])</f>
        <v/>
      </c>
      <c r="J775" s="65" t="n"/>
      <c r="K775" s="65" t="n"/>
      <c r="L775" s="65" t="n"/>
      <c r="M775" s="65" t="n"/>
      <c r="N775" s="65" t="n"/>
      <c r="O775" s="65" t="n"/>
      <c r="P775" s="65" t="n"/>
      <c r="Q775" s="65" t="n"/>
      <c r="R775" s="65" t="n"/>
      <c r="S775" s="65" t="n"/>
      <c r="T775" s="65" t="n"/>
      <c r="U775" s="65" t="n"/>
      <c r="V775" s="65" t="n"/>
      <c r="W775" s="65" t="n"/>
      <c r="X775" s="66" t="n"/>
      <c r="Y775" s="65" t="n"/>
      <c r="Z775" s="65" t="n"/>
      <c r="AA775" s="65" t="n"/>
      <c r="AB775" s="65" t="n"/>
      <c r="AC775" s="65" t="n"/>
      <c r="AD775" s="65" t="n"/>
      <c r="AE775" s="65" t="n"/>
      <c r="AF775" s="65" t="n"/>
      <c r="AG775" s="65" t="n"/>
      <c r="AH775" s="65" t="n"/>
      <c r="AI775" s="65" t="n"/>
      <c r="AJ775" s="65" t="n"/>
      <c r="AK775" s="65" t="n"/>
      <c r="AL775" s="65" t="n"/>
      <c r="AM775" s="65" t="n"/>
      <c r="AN775" s="65" t="n"/>
      <c r="AO775" s="65" t="n"/>
      <c r="AP775" s="65" t="n"/>
      <c r="AQ775" s="65" t="n"/>
      <c r="AR775" s="65" t="n"/>
      <c r="AS775" s="65" t="n"/>
      <c r="AT775" s="65" t="n"/>
      <c r="AU775" s="65" t="n"/>
      <c r="AV775" s="65" t="n"/>
      <c r="AW775" s="65" t="n"/>
      <c r="AX775" s="65" t="n"/>
      <c r="AY775" s="65" t="n"/>
      <c r="AZ775" s="65" t="n"/>
      <c r="BA775" s="65" t="n"/>
      <c r="BB775" s="65" t="n"/>
      <c r="BC775" s="65" t="n"/>
      <c r="BD775" s="65" t="n"/>
      <c r="BE775" s="65" t="n"/>
      <c r="BF775" s="65" t="n"/>
      <c r="BG775" s="65" t="n"/>
    </row>
    <row r="776">
      <c r="F776" s="68" t="n"/>
      <c r="G776" s="68">
        <f>IF(B776="","",F776-I776 )</f>
        <v/>
      </c>
      <c r="H776" s="5">
        <f>IF(G776="","",G776/F776)</f>
        <v/>
      </c>
      <c r="I776" s="62">
        <f>SUM(テーブル9[[#This Row],[五大]:[工場材]])</f>
        <v/>
      </c>
      <c r="J776" s="65" t="n"/>
      <c r="K776" s="65" t="n"/>
      <c r="L776" s="65" t="n"/>
      <c r="M776" s="65" t="n"/>
      <c r="N776" s="65" t="n"/>
      <c r="O776" s="65" t="n"/>
      <c r="P776" s="65" t="n"/>
      <c r="Q776" s="65" t="n"/>
      <c r="R776" s="65" t="n"/>
      <c r="S776" s="65" t="n"/>
      <c r="T776" s="65" t="n"/>
      <c r="U776" s="65" t="n"/>
      <c r="V776" s="65" t="n"/>
      <c r="W776" s="65" t="n"/>
      <c r="X776" s="66" t="n"/>
      <c r="Y776" s="65" t="n"/>
      <c r="Z776" s="65" t="n"/>
      <c r="AA776" s="65" t="n"/>
      <c r="AB776" s="65" t="n"/>
      <c r="AC776" s="65" t="n"/>
      <c r="AD776" s="65" t="n"/>
      <c r="AE776" s="65" t="n"/>
      <c r="AF776" s="65" t="n"/>
      <c r="AG776" s="65" t="n"/>
      <c r="AH776" s="65" t="n"/>
      <c r="AI776" s="65" t="n"/>
      <c r="AJ776" s="65" t="n"/>
      <c r="AK776" s="65" t="n"/>
      <c r="AL776" s="65" t="n"/>
      <c r="AM776" s="65" t="n"/>
      <c r="AN776" s="65" t="n"/>
      <c r="AO776" s="65" t="n"/>
      <c r="AP776" s="65" t="n"/>
      <c r="AQ776" s="65" t="n"/>
      <c r="AR776" s="65" t="n"/>
      <c r="AS776" s="65" t="n"/>
      <c r="AT776" s="65" t="n"/>
      <c r="AU776" s="65" t="n"/>
      <c r="AV776" s="65" t="n"/>
      <c r="AW776" s="65" t="n"/>
      <c r="AX776" s="65" t="n"/>
      <c r="AY776" s="65" t="n"/>
      <c r="AZ776" s="65" t="n"/>
      <c r="BA776" s="65" t="n"/>
      <c r="BB776" s="65" t="n"/>
      <c r="BC776" s="65" t="n"/>
      <c r="BD776" s="65" t="n"/>
      <c r="BE776" s="65" t="n"/>
      <c r="BF776" s="65" t="n"/>
      <c r="BG776" s="65" t="n"/>
    </row>
    <row r="777">
      <c r="F777" s="68" t="n"/>
      <c r="G777" s="68">
        <f>IF(B777="","",F777-I777 )</f>
        <v/>
      </c>
      <c r="H777" s="5">
        <f>IF(G777="","",G777/F777)</f>
        <v/>
      </c>
      <c r="I777" s="62">
        <f>SUM(テーブル9[[#This Row],[五大]:[工場材]])</f>
        <v/>
      </c>
      <c r="J777" s="65" t="n"/>
      <c r="K777" s="65" t="n"/>
      <c r="L777" s="65" t="n"/>
      <c r="M777" s="65" t="n"/>
      <c r="N777" s="65" t="n"/>
      <c r="O777" s="65" t="n"/>
      <c r="P777" s="65" t="n"/>
      <c r="Q777" s="65" t="n"/>
      <c r="R777" s="65" t="n"/>
      <c r="S777" s="65" t="n"/>
      <c r="T777" s="65" t="n"/>
      <c r="U777" s="65" t="n"/>
      <c r="V777" s="65" t="n"/>
      <c r="W777" s="65" t="n"/>
      <c r="X777" s="66" t="n"/>
      <c r="Y777" s="65" t="n"/>
      <c r="Z777" s="65" t="n"/>
      <c r="AA777" s="65" t="n"/>
      <c r="AB777" s="65" t="n"/>
      <c r="AC777" s="65" t="n"/>
      <c r="AD777" s="65" t="n"/>
      <c r="AE777" s="65" t="n"/>
      <c r="AF777" s="65" t="n"/>
      <c r="AG777" s="65" t="n"/>
      <c r="AH777" s="65" t="n"/>
      <c r="AI777" s="65" t="n"/>
      <c r="AJ777" s="65" t="n"/>
      <c r="AK777" s="65" t="n"/>
      <c r="AL777" s="65" t="n"/>
      <c r="AM777" s="65" t="n"/>
      <c r="AN777" s="65" t="n"/>
      <c r="AO777" s="65" t="n"/>
      <c r="AP777" s="65" t="n"/>
      <c r="AQ777" s="65" t="n"/>
      <c r="AR777" s="65" t="n"/>
      <c r="AS777" s="65" t="n"/>
      <c r="AT777" s="65" t="n"/>
      <c r="AU777" s="65" t="n"/>
      <c r="AV777" s="65" t="n"/>
      <c r="AW777" s="65" t="n"/>
      <c r="AX777" s="65" t="n"/>
      <c r="AY777" s="65" t="n"/>
      <c r="AZ777" s="65" t="n"/>
      <c r="BA777" s="65" t="n"/>
      <c r="BB777" s="65" t="n"/>
      <c r="BC777" s="65" t="n"/>
      <c r="BD777" s="65" t="n"/>
      <c r="BE777" s="65" t="n"/>
      <c r="BF777" s="65" t="n"/>
      <c r="BG777" s="65" t="n"/>
    </row>
    <row r="778">
      <c r="F778" s="68" t="n"/>
      <c r="G778" s="68">
        <f>IF(B778="","",F778-I778 )</f>
        <v/>
      </c>
      <c r="H778" s="5">
        <f>IF(G778="","",G778/F778)</f>
        <v/>
      </c>
      <c r="I778" s="62">
        <f>SUM(テーブル9[[#This Row],[五大]:[工場材]])</f>
        <v/>
      </c>
      <c r="J778" s="65" t="n"/>
      <c r="K778" s="65" t="n"/>
      <c r="L778" s="65" t="n"/>
      <c r="M778" s="65" t="n"/>
      <c r="N778" s="65" t="n"/>
      <c r="O778" s="65" t="n"/>
      <c r="P778" s="65" t="n"/>
      <c r="Q778" s="65" t="n"/>
      <c r="R778" s="65" t="n"/>
      <c r="S778" s="65" t="n"/>
      <c r="T778" s="65" t="n"/>
      <c r="U778" s="65" t="n"/>
      <c r="V778" s="65" t="n"/>
      <c r="W778" s="65" t="n"/>
      <c r="X778" s="66" t="n"/>
      <c r="Y778" s="65" t="n"/>
      <c r="Z778" s="65" t="n"/>
      <c r="AA778" s="65" t="n"/>
      <c r="AB778" s="65" t="n"/>
      <c r="AC778" s="65" t="n"/>
      <c r="AD778" s="65" t="n"/>
      <c r="AE778" s="65" t="n"/>
      <c r="AF778" s="65" t="n"/>
      <c r="AG778" s="65" t="n"/>
      <c r="AH778" s="65" t="n"/>
      <c r="AI778" s="65" t="n"/>
      <c r="AJ778" s="65" t="n"/>
      <c r="AK778" s="65" t="n"/>
      <c r="AL778" s="65" t="n"/>
      <c r="AM778" s="65" t="n"/>
      <c r="AN778" s="65" t="n"/>
      <c r="AO778" s="65" t="n"/>
      <c r="AP778" s="65" t="n"/>
      <c r="AQ778" s="65" t="n"/>
      <c r="AR778" s="65" t="n"/>
      <c r="AS778" s="65" t="n"/>
      <c r="AT778" s="65" t="n"/>
      <c r="AU778" s="65" t="n"/>
      <c r="AV778" s="65" t="n"/>
      <c r="AW778" s="65" t="n"/>
      <c r="AX778" s="65" t="n"/>
      <c r="AY778" s="65" t="n"/>
      <c r="AZ778" s="65" t="n"/>
      <c r="BA778" s="65" t="n"/>
      <c r="BB778" s="65" t="n"/>
      <c r="BC778" s="65" t="n"/>
      <c r="BD778" s="65" t="n"/>
      <c r="BE778" s="65" t="n"/>
      <c r="BF778" s="65" t="n"/>
      <c r="BG778" s="65" t="n"/>
    </row>
    <row r="779">
      <c r="F779" s="68" t="n"/>
      <c r="G779" s="68">
        <f>IF(B779="","",F779-I779 )</f>
        <v/>
      </c>
      <c r="H779" s="5">
        <f>IF(G779="","",G779/F779)</f>
        <v/>
      </c>
      <c r="I779" s="62">
        <f>SUM(テーブル9[[#This Row],[五大]:[工場材]])</f>
        <v/>
      </c>
      <c r="J779" s="65" t="n"/>
      <c r="K779" s="65" t="n"/>
      <c r="L779" s="65" t="n"/>
      <c r="M779" s="65" t="n"/>
      <c r="N779" s="65" t="n"/>
      <c r="O779" s="65" t="n"/>
      <c r="P779" s="65" t="n"/>
      <c r="Q779" s="65" t="n"/>
      <c r="R779" s="65" t="n"/>
      <c r="S779" s="65" t="n"/>
      <c r="T779" s="65" t="n"/>
      <c r="U779" s="65" t="n"/>
      <c r="V779" s="65" t="n"/>
      <c r="W779" s="65" t="n"/>
      <c r="X779" s="66" t="n"/>
      <c r="Y779" s="65" t="n"/>
      <c r="Z779" s="65" t="n"/>
      <c r="AA779" s="65" t="n"/>
      <c r="AB779" s="65" t="n"/>
      <c r="AC779" s="65" t="n"/>
      <c r="AD779" s="65" t="n"/>
      <c r="AE779" s="65" t="n"/>
      <c r="AF779" s="65" t="n"/>
      <c r="AG779" s="65" t="n"/>
      <c r="AH779" s="65" t="n"/>
      <c r="AI779" s="65" t="n"/>
      <c r="AJ779" s="65" t="n"/>
      <c r="AK779" s="65" t="n"/>
      <c r="AL779" s="65" t="n"/>
      <c r="AM779" s="65" t="n"/>
      <c r="AN779" s="65" t="n"/>
      <c r="AO779" s="65" t="n"/>
      <c r="AP779" s="65" t="n"/>
      <c r="AQ779" s="65" t="n"/>
      <c r="AR779" s="65" t="n"/>
      <c r="AS779" s="65" t="n"/>
      <c r="AT779" s="65" t="n"/>
      <c r="AU779" s="65" t="n"/>
      <c r="AV779" s="65" t="n"/>
      <c r="AW779" s="65" t="n"/>
      <c r="AX779" s="65" t="n"/>
      <c r="AY779" s="65" t="n"/>
      <c r="AZ779" s="65" t="n"/>
      <c r="BA779" s="65" t="n"/>
      <c r="BB779" s="65" t="n"/>
      <c r="BC779" s="65" t="n"/>
      <c r="BD779" s="65" t="n"/>
      <c r="BE779" s="65" t="n"/>
      <c r="BF779" s="65" t="n"/>
      <c r="BG779" s="65" t="n"/>
    </row>
    <row r="780">
      <c r="F780" s="68" t="n"/>
      <c r="G780" s="68">
        <f>IF(B780="","",F780-I780 )</f>
        <v/>
      </c>
      <c r="H780" s="5">
        <f>IF(G780="","",G780/F780)</f>
        <v/>
      </c>
      <c r="I780" s="62">
        <f>SUM(テーブル9[[#This Row],[五大]:[工場材]])</f>
        <v/>
      </c>
      <c r="J780" s="65" t="n"/>
      <c r="K780" s="65" t="n"/>
      <c r="L780" s="65" t="n"/>
      <c r="M780" s="65" t="n"/>
      <c r="N780" s="65" t="n"/>
      <c r="O780" s="65" t="n"/>
      <c r="P780" s="65" t="n"/>
      <c r="Q780" s="65" t="n"/>
      <c r="R780" s="65" t="n"/>
      <c r="S780" s="65" t="n"/>
      <c r="T780" s="65" t="n"/>
      <c r="U780" s="65" t="n"/>
      <c r="V780" s="65" t="n"/>
      <c r="W780" s="65" t="n"/>
      <c r="X780" s="66" t="n"/>
      <c r="Y780" s="65" t="n"/>
      <c r="Z780" s="65" t="n"/>
      <c r="AA780" s="65" t="n"/>
      <c r="AB780" s="65" t="n"/>
      <c r="AC780" s="65" t="n"/>
      <c r="AD780" s="65" t="n"/>
      <c r="AE780" s="65" t="n"/>
      <c r="AF780" s="65" t="n"/>
      <c r="AG780" s="65" t="n"/>
      <c r="AH780" s="65" t="n"/>
      <c r="AI780" s="65" t="n"/>
      <c r="AJ780" s="65" t="n"/>
      <c r="AK780" s="65" t="n"/>
      <c r="AL780" s="65" t="n"/>
      <c r="AM780" s="65" t="n"/>
      <c r="AN780" s="65" t="n"/>
      <c r="AO780" s="65" t="n"/>
      <c r="AP780" s="65" t="n"/>
      <c r="AQ780" s="65" t="n"/>
      <c r="AR780" s="65" t="n"/>
      <c r="AS780" s="65" t="n"/>
      <c r="AT780" s="65" t="n"/>
      <c r="AU780" s="65" t="n"/>
      <c r="AV780" s="65" t="n"/>
      <c r="AW780" s="65" t="n"/>
      <c r="AX780" s="65" t="n"/>
      <c r="AY780" s="65" t="n"/>
      <c r="AZ780" s="65" t="n"/>
      <c r="BA780" s="65" t="n"/>
      <c r="BB780" s="65" t="n"/>
      <c r="BC780" s="65" t="n"/>
      <c r="BD780" s="65" t="n"/>
      <c r="BE780" s="65" t="n"/>
      <c r="BF780" s="65" t="n"/>
      <c r="BG780" s="65" t="n"/>
    </row>
    <row r="781">
      <c r="F781" s="68" t="n"/>
      <c r="G781" s="68">
        <f>IF(B781="","",F781-I781 )</f>
        <v/>
      </c>
      <c r="H781" s="5">
        <f>IF(G781="","",G781/F781)</f>
        <v/>
      </c>
      <c r="I781" s="62">
        <f>SUM(テーブル9[[#This Row],[五大]:[工場材]])</f>
        <v/>
      </c>
      <c r="J781" s="65" t="n"/>
      <c r="K781" s="65" t="n"/>
      <c r="L781" s="65" t="n"/>
      <c r="M781" s="65" t="n"/>
      <c r="N781" s="65" t="n"/>
      <c r="O781" s="65" t="n"/>
      <c r="P781" s="65" t="n"/>
      <c r="Q781" s="65" t="n"/>
      <c r="R781" s="65" t="n"/>
      <c r="S781" s="65" t="n"/>
      <c r="T781" s="65" t="n"/>
      <c r="U781" s="65" t="n"/>
      <c r="V781" s="65" t="n"/>
      <c r="W781" s="65" t="n"/>
      <c r="X781" s="66" t="n"/>
      <c r="Y781" s="65" t="n"/>
      <c r="Z781" s="65" t="n"/>
      <c r="AA781" s="65" t="n"/>
      <c r="AB781" s="65" t="n"/>
      <c r="AC781" s="65" t="n"/>
      <c r="AD781" s="65" t="n"/>
      <c r="AE781" s="65" t="n"/>
      <c r="AF781" s="65" t="n"/>
      <c r="AG781" s="65" t="n"/>
      <c r="AH781" s="65" t="n"/>
      <c r="AI781" s="65" t="n"/>
      <c r="AJ781" s="65" t="n"/>
      <c r="AK781" s="65" t="n"/>
      <c r="AL781" s="65" t="n"/>
      <c r="AM781" s="65" t="n"/>
      <c r="AN781" s="65" t="n"/>
      <c r="AO781" s="65" t="n"/>
      <c r="AP781" s="65" t="n"/>
      <c r="AQ781" s="65" t="n"/>
      <c r="AR781" s="65" t="n"/>
      <c r="AS781" s="65" t="n"/>
      <c r="AT781" s="65" t="n"/>
      <c r="AU781" s="65" t="n"/>
      <c r="AV781" s="65" t="n"/>
      <c r="AW781" s="65" t="n"/>
      <c r="AX781" s="65" t="n"/>
      <c r="AY781" s="65" t="n"/>
      <c r="AZ781" s="65" t="n"/>
      <c r="BA781" s="65" t="n"/>
      <c r="BB781" s="65" t="n"/>
      <c r="BC781" s="65" t="n"/>
      <c r="BD781" s="65" t="n"/>
      <c r="BE781" s="65" t="n"/>
      <c r="BF781" s="65" t="n"/>
      <c r="BG781" s="65" t="n"/>
    </row>
    <row r="782">
      <c r="F782" s="68" t="n"/>
      <c r="G782" s="68">
        <f>IF(B782="","",F782-I782 )</f>
        <v/>
      </c>
      <c r="H782" s="5">
        <f>IF(G782="","",G782/F782)</f>
        <v/>
      </c>
      <c r="I782" s="62">
        <f>SUM(テーブル9[[#This Row],[五大]:[工場材]])</f>
        <v/>
      </c>
      <c r="J782" s="65" t="n"/>
      <c r="K782" s="65" t="n"/>
      <c r="L782" s="65" t="n"/>
      <c r="M782" s="65" t="n"/>
      <c r="N782" s="65" t="n"/>
      <c r="O782" s="65" t="n"/>
      <c r="P782" s="65" t="n"/>
      <c r="Q782" s="65" t="n"/>
      <c r="R782" s="65" t="n"/>
      <c r="S782" s="65" t="n"/>
      <c r="T782" s="65" t="n"/>
      <c r="U782" s="65" t="n"/>
      <c r="V782" s="65" t="n"/>
      <c r="W782" s="65" t="n"/>
      <c r="X782" s="66" t="n"/>
      <c r="Y782" s="65" t="n"/>
      <c r="Z782" s="65" t="n"/>
      <c r="AA782" s="65" t="n"/>
      <c r="AB782" s="65" t="n"/>
      <c r="AC782" s="65" t="n"/>
      <c r="AD782" s="65" t="n"/>
      <c r="AE782" s="65" t="n"/>
      <c r="AF782" s="65" t="n"/>
      <c r="AG782" s="65" t="n"/>
      <c r="AH782" s="65" t="n"/>
      <c r="AI782" s="65" t="n"/>
      <c r="AJ782" s="65" t="n"/>
      <c r="AK782" s="65" t="n"/>
      <c r="AL782" s="65" t="n"/>
      <c r="AM782" s="65" t="n"/>
      <c r="AN782" s="65" t="n"/>
      <c r="AO782" s="65" t="n"/>
      <c r="AP782" s="65" t="n"/>
      <c r="AQ782" s="65" t="n"/>
      <c r="AR782" s="65" t="n"/>
      <c r="AS782" s="65" t="n"/>
      <c r="AT782" s="65" t="n"/>
      <c r="AU782" s="65" t="n"/>
      <c r="AV782" s="65" t="n"/>
      <c r="AW782" s="65" t="n"/>
      <c r="AX782" s="65" t="n"/>
      <c r="AY782" s="65" t="n"/>
      <c r="AZ782" s="65" t="n"/>
      <c r="BA782" s="65" t="n"/>
      <c r="BB782" s="65" t="n"/>
      <c r="BC782" s="65" t="n"/>
      <c r="BD782" s="65" t="n"/>
      <c r="BE782" s="65" t="n"/>
      <c r="BF782" s="65" t="n"/>
      <c r="BG782" s="65" t="n"/>
    </row>
    <row r="783">
      <c r="F783" s="68" t="n"/>
      <c r="G783" s="68">
        <f>IF(B783="","",F783-I783 )</f>
        <v/>
      </c>
      <c r="H783" s="5">
        <f>IF(G783="","",G783/F783)</f>
        <v/>
      </c>
      <c r="I783" s="62">
        <f>SUM(テーブル9[[#This Row],[五大]:[工場材]])</f>
        <v/>
      </c>
      <c r="J783" s="65" t="n"/>
      <c r="K783" s="65" t="n"/>
      <c r="L783" s="65" t="n"/>
      <c r="M783" s="65" t="n"/>
      <c r="N783" s="65" t="n"/>
      <c r="O783" s="65" t="n"/>
      <c r="P783" s="65" t="n"/>
      <c r="Q783" s="65" t="n"/>
      <c r="R783" s="65" t="n"/>
      <c r="S783" s="65" t="n"/>
      <c r="T783" s="65" t="n"/>
      <c r="U783" s="65" t="n"/>
      <c r="V783" s="65" t="n"/>
      <c r="W783" s="65" t="n"/>
      <c r="X783" s="66" t="n"/>
      <c r="Y783" s="65" t="n"/>
      <c r="Z783" s="65" t="n"/>
      <c r="AA783" s="65" t="n"/>
      <c r="AB783" s="65" t="n"/>
      <c r="AC783" s="65" t="n"/>
      <c r="AD783" s="65" t="n"/>
      <c r="AE783" s="65" t="n"/>
      <c r="AF783" s="65" t="n"/>
      <c r="AG783" s="65" t="n"/>
      <c r="AH783" s="65" t="n"/>
      <c r="AI783" s="65" t="n"/>
      <c r="AJ783" s="65" t="n"/>
      <c r="AK783" s="65" t="n"/>
      <c r="AL783" s="65" t="n"/>
      <c r="AM783" s="65" t="n"/>
      <c r="AN783" s="65" t="n"/>
      <c r="AO783" s="65" t="n"/>
      <c r="AP783" s="65" t="n"/>
      <c r="AQ783" s="65" t="n"/>
      <c r="AR783" s="65" t="n"/>
      <c r="AS783" s="65" t="n"/>
      <c r="AT783" s="65" t="n"/>
      <c r="AU783" s="65" t="n"/>
      <c r="AV783" s="65" t="n"/>
      <c r="AW783" s="65" t="n"/>
      <c r="AX783" s="65" t="n"/>
      <c r="AY783" s="65" t="n"/>
      <c r="AZ783" s="65" t="n"/>
      <c r="BA783" s="65" t="n"/>
      <c r="BB783" s="65" t="n"/>
      <c r="BC783" s="65" t="n"/>
      <c r="BD783" s="65" t="n"/>
      <c r="BE783" s="65" t="n"/>
      <c r="BF783" s="65" t="n"/>
      <c r="BG783" s="65" t="n"/>
    </row>
    <row r="784">
      <c r="F784" s="68" t="n"/>
      <c r="G784" s="68">
        <f>IF(B784="","",F784-I784 )</f>
        <v/>
      </c>
      <c r="H784" s="5">
        <f>IF(G784="","",G784/F784)</f>
        <v/>
      </c>
      <c r="I784" s="62">
        <f>SUM(テーブル9[[#This Row],[五大]:[工場材]])</f>
        <v/>
      </c>
      <c r="J784" s="65" t="n"/>
      <c r="K784" s="65" t="n"/>
      <c r="L784" s="65" t="n"/>
      <c r="M784" s="65" t="n"/>
      <c r="N784" s="65" t="n"/>
      <c r="O784" s="65" t="n"/>
      <c r="P784" s="65" t="n"/>
      <c r="Q784" s="65" t="n"/>
      <c r="R784" s="65" t="n"/>
      <c r="S784" s="65" t="n"/>
      <c r="T784" s="65" t="n"/>
      <c r="U784" s="65" t="n"/>
      <c r="V784" s="65" t="n"/>
      <c r="W784" s="65" t="n"/>
      <c r="X784" s="66" t="n"/>
      <c r="Y784" s="65" t="n"/>
      <c r="Z784" s="65" t="n"/>
      <c r="AA784" s="65" t="n"/>
      <c r="AB784" s="65" t="n"/>
      <c r="AC784" s="65" t="n"/>
      <c r="AD784" s="65" t="n"/>
      <c r="AE784" s="65" t="n"/>
      <c r="AF784" s="65" t="n"/>
      <c r="AG784" s="65" t="n"/>
      <c r="AH784" s="65" t="n"/>
      <c r="AI784" s="65" t="n"/>
      <c r="AJ784" s="65" t="n"/>
      <c r="AK784" s="65" t="n"/>
      <c r="AL784" s="65" t="n"/>
      <c r="AM784" s="65" t="n"/>
      <c r="AN784" s="65" t="n"/>
      <c r="AO784" s="65" t="n"/>
      <c r="AP784" s="65" t="n"/>
      <c r="AQ784" s="65" t="n"/>
      <c r="AR784" s="65" t="n"/>
      <c r="AS784" s="65" t="n"/>
      <c r="AT784" s="65" t="n"/>
      <c r="AU784" s="65" t="n"/>
      <c r="AV784" s="65" t="n"/>
      <c r="AW784" s="65" t="n"/>
      <c r="AX784" s="65" t="n"/>
      <c r="AY784" s="65" t="n"/>
      <c r="AZ784" s="65" t="n"/>
      <c r="BA784" s="65" t="n"/>
      <c r="BB784" s="65" t="n"/>
      <c r="BC784" s="65" t="n"/>
      <c r="BD784" s="65" t="n"/>
      <c r="BE784" s="65" t="n"/>
      <c r="BF784" s="65" t="n"/>
      <c r="BG784" s="65" t="n"/>
    </row>
    <row r="785">
      <c r="F785" s="68" t="n"/>
      <c r="G785" s="68">
        <f>IF(B785="","",F785-I785 )</f>
        <v/>
      </c>
      <c r="H785" s="5">
        <f>IF(G785="","",G785/F785)</f>
        <v/>
      </c>
      <c r="I785" s="62">
        <f>SUM(テーブル9[[#This Row],[五大]:[工場材]])</f>
        <v/>
      </c>
      <c r="J785" s="65" t="n"/>
      <c r="K785" s="65" t="n"/>
      <c r="L785" s="65" t="n"/>
      <c r="M785" s="65" t="n"/>
      <c r="N785" s="65" t="n"/>
      <c r="O785" s="65" t="n"/>
      <c r="P785" s="65" t="n"/>
      <c r="Q785" s="65" t="n"/>
      <c r="R785" s="65" t="n"/>
      <c r="S785" s="65" t="n"/>
      <c r="T785" s="65" t="n"/>
      <c r="U785" s="65" t="n"/>
      <c r="V785" s="65" t="n"/>
      <c r="W785" s="65" t="n"/>
      <c r="X785" s="66" t="n"/>
      <c r="Y785" s="65" t="n"/>
      <c r="Z785" s="65" t="n"/>
      <c r="AA785" s="65" t="n"/>
      <c r="AB785" s="65" t="n"/>
      <c r="AC785" s="65" t="n"/>
      <c r="AD785" s="65" t="n"/>
      <c r="AE785" s="65" t="n"/>
      <c r="AF785" s="65" t="n"/>
      <c r="AG785" s="65" t="n"/>
      <c r="AH785" s="65" t="n"/>
      <c r="AI785" s="65" t="n"/>
      <c r="AJ785" s="65" t="n"/>
      <c r="AK785" s="65" t="n"/>
      <c r="AL785" s="65" t="n"/>
      <c r="AM785" s="65" t="n"/>
      <c r="AN785" s="65" t="n"/>
      <c r="AO785" s="65" t="n"/>
      <c r="AP785" s="65" t="n"/>
      <c r="AQ785" s="65" t="n"/>
      <c r="AR785" s="65" t="n"/>
      <c r="AS785" s="65" t="n"/>
      <c r="AT785" s="65" t="n"/>
      <c r="AU785" s="65" t="n"/>
      <c r="AV785" s="65" t="n"/>
      <c r="AW785" s="65" t="n"/>
      <c r="AX785" s="65" t="n"/>
      <c r="AY785" s="65" t="n"/>
      <c r="AZ785" s="65" t="n"/>
      <c r="BA785" s="65" t="n"/>
      <c r="BB785" s="65" t="n"/>
      <c r="BC785" s="65" t="n"/>
      <c r="BD785" s="65" t="n"/>
      <c r="BE785" s="65" t="n"/>
      <c r="BF785" s="65" t="n"/>
      <c r="BG785" s="65" t="n"/>
    </row>
    <row r="786">
      <c r="F786" s="68" t="n"/>
      <c r="G786" s="68">
        <f>IF(B786="","",F786-I786 )</f>
        <v/>
      </c>
      <c r="H786" s="5">
        <f>IF(G786="","",G786/F786)</f>
        <v/>
      </c>
      <c r="I786" s="62">
        <f>SUM(テーブル9[[#This Row],[五大]:[工場材]])</f>
        <v/>
      </c>
      <c r="J786" s="65" t="n"/>
      <c r="K786" s="65" t="n"/>
      <c r="L786" s="65" t="n"/>
      <c r="M786" s="65" t="n"/>
      <c r="N786" s="65" t="n"/>
      <c r="O786" s="65" t="n"/>
      <c r="P786" s="65" t="n"/>
      <c r="Q786" s="65" t="n"/>
      <c r="R786" s="65" t="n"/>
      <c r="S786" s="65" t="n"/>
      <c r="T786" s="65" t="n"/>
      <c r="U786" s="65" t="n"/>
      <c r="V786" s="65" t="n"/>
      <c r="W786" s="65" t="n"/>
      <c r="X786" s="66" t="n"/>
      <c r="Y786" s="65" t="n"/>
      <c r="Z786" s="65" t="n"/>
      <c r="AA786" s="65" t="n"/>
      <c r="AB786" s="65" t="n"/>
      <c r="AC786" s="65" t="n"/>
      <c r="AD786" s="65" t="n"/>
      <c r="AE786" s="65" t="n"/>
      <c r="AF786" s="65" t="n"/>
      <c r="AG786" s="65" t="n"/>
      <c r="AH786" s="65" t="n"/>
      <c r="AI786" s="65" t="n"/>
      <c r="AJ786" s="65" t="n"/>
      <c r="AK786" s="65" t="n"/>
      <c r="AL786" s="65" t="n"/>
      <c r="AM786" s="65" t="n"/>
      <c r="AN786" s="65" t="n"/>
      <c r="AO786" s="65" t="n"/>
      <c r="AP786" s="65" t="n"/>
      <c r="AQ786" s="65" t="n"/>
      <c r="AR786" s="65" t="n"/>
      <c r="AS786" s="65" t="n"/>
      <c r="AT786" s="65" t="n"/>
      <c r="AU786" s="65" t="n"/>
      <c r="AV786" s="65" t="n"/>
      <c r="AW786" s="65" t="n"/>
      <c r="AX786" s="65" t="n"/>
      <c r="AY786" s="65" t="n"/>
      <c r="AZ786" s="65" t="n"/>
      <c r="BA786" s="65" t="n"/>
      <c r="BB786" s="65" t="n"/>
      <c r="BC786" s="65" t="n"/>
      <c r="BD786" s="65" t="n"/>
      <c r="BE786" s="65" t="n"/>
      <c r="BF786" s="65" t="n"/>
      <c r="BG786" s="65" t="n"/>
    </row>
    <row r="787">
      <c r="F787" s="68" t="n"/>
      <c r="G787" s="68">
        <f>IF(B787="","",F787-I787 )</f>
        <v/>
      </c>
      <c r="H787" s="5">
        <f>IF(G787="","",G787/F787)</f>
        <v/>
      </c>
      <c r="I787" s="62">
        <f>SUM(テーブル9[[#This Row],[五大]:[工場材]])</f>
        <v/>
      </c>
      <c r="J787" s="65" t="n"/>
      <c r="K787" s="65" t="n"/>
      <c r="L787" s="65" t="n"/>
      <c r="M787" s="65" t="n"/>
      <c r="N787" s="65" t="n"/>
      <c r="O787" s="65" t="n"/>
      <c r="P787" s="65" t="n"/>
      <c r="Q787" s="65" t="n"/>
      <c r="R787" s="65" t="n"/>
      <c r="S787" s="65" t="n"/>
      <c r="T787" s="65" t="n"/>
      <c r="U787" s="65" t="n"/>
      <c r="V787" s="65" t="n"/>
      <c r="W787" s="65" t="n"/>
      <c r="X787" s="66" t="n"/>
      <c r="Y787" s="65" t="n"/>
      <c r="Z787" s="65" t="n"/>
      <c r="AA787" s="65" t="n"/>
      <c r="AB787" s="65" t="n"/>
      <c r="AC787" s="65" t="n"/>
      <c r="AD787" s="65" t="n"/>
      <c r="AE787" s="65" t="n"/>
      <c r="AF787" s="65" t="n"/>
      <c r="AG787" s="65" t="n"/>
      <c r="AH787" s="65" t="n"/>
      <c r="AI787" s="65" t="n"/>
      <c r="AJ787" s="65" t="n"/>
      <c r="AK787" s="65" t="n"/>
      <c r="AL787" s="65" t="n"/>
      <c r="AM787" s="65" t="n"/>
      <c r="AN787" s="65" t="n"/>
      <c r="AO787" s="65" t="n"/>
      <c r="AP787" s="65" t="n"/>
      <c r="AQ787" s="65" t="n"/>
      <c r="AR787" s="65" t="n"/>
      <c r="AS787" s="65" t="n"/>
      <c r="AT787" s="65" t="n"/>
      <c r="AU787" s="65" t="n"/>
      <c r="AV787" s="65" t="n"/>
      <c r="AW787" s="65" t="n"/>
      <c r="AX787" s="65" t="n"/>
      <c r="AY787" s="65" t="n"/>
      <c r="AZ787" s="65" t="n"/>
      <c r="BA787" s="65" t="n"/>
      <c r="BB787" s="65" t="n"/>
      <c r="BC787" s="65" t="n"/>
      <c r="BD787" s="65" t="n"/>
      <c r="BE787" s="65" t="n"/>
      <c r="BF787" s="65" t="n"/>
      <c r="BG787" s="65" t="n"/>
    </row>
    <row r="788">
      <c r="F788" s="68" t="n"/>
      <c r="G788" s="68">
        <f>IF(B788="","",F788-I788 )</f>
        <v/>
      </c>
      <c r="H788" s="5">
        <f>IF(G788="","",G788/F788)</f>
        <v/>
      </c>
      <c r="I788" s="62">
        <f>SUM(テーブル9[[#This Row],[五大]:[工場材]])</f>
        <v/>
      </c>
      <c r="J788" s="65" t="n"/>
      <c r="K788" s="65" t="n"/>
      <c r="L788" s="65" t="n"/>
      <c r="M788" s="65" t="n"/>
      <c r="N788" s="65" t="n"/>
      <c r="O788" s="65" t="n"/>
      <c r="P788" s="65" t="n"/>
      <c r="Q788" s="65" t="n"/>
      <c r="R788" s="65" t="n"/>
      <c r="S788" s="65" t="n"/>
      <c r="T788" s="65" t="n"/>
      <c r="U788" s="65" t="n"/>
      <c r="V788" s="65" t="n"/>
      <c r="W788" s="65" t="n"/>
      <c r="X788" s="66" t="n"/>
      <c r="Y788" s="65" t="n"/>
      <c r="Z788" s="65" t="n"/>
      <c r="AA788" s="65" t="n"/>
      <c r="AB788" s="65" t="n"/>
      <c r="AC788" s="65" t="n"/>
      <c r="AD788" s="65" t="n"/>
      <c r="AE788" s="65" t="n"/>
      <c r="AF788" s="65" t="n"/>
      <c r="AG788" s="65" t="n"/>
      <c r="AH788" s="65" t="n"/>
      <c r="AI788" s="65" t="n"/>
      <c r="AJ788" s="65" t="n"/>
      <c r="AK788" s="65" t="n"/>
      <c r="AL788" s="65" t="n"/>
      <c r="AM788" s="65" t="n"/>
      <c r="AN788" s="65" t="n"/>
      <c r="AO788" s="65" t="n"/>
      <c r="AP788" s="65" t="n"/>
      <c r="AQ788" s="65" t="n"/>
      <c r="AR788" s="65" t="n"/>
      <c r="AS788" s="65" t="n"/>
      <c r="AT788" s="65" t="n"/>
      <c r="AU788" s="65" t="n"/>
      <c r="AV788" s="65" t="n"/>
      <c r="AW788" s="65" t="n"/>
      <c r="AX788" s="65" t="n"/>
      <c r="AY788" s="65" t="n"/>
      <c r="AZ788" s="65" t="n"/>
      <c r="BA788" s="65" t="n"/>
      <c r="BB788" s="65" t="n"/>
      <c r="BC788" s="65" t="n"/>
      <c r="BD788" s="65" t="n"/>
      <c r="BE788" s="65" t="n"/>
      <c r="BF788" s="65" t="n"/>
      <c r="BG788" s="65" t="n"/>
    </row>
    <row r="789">
      <c r="F789" s="68" t="n"/>
      <c r="G789" s="68">
        <f>IF(B789="","",F789-I789 )</f>
        <v/>
      </c>
      <c r="H789" s="5">
        <f>IF(G789="","",G789/F789)</f>
        <v/>
      </c>
      <c r="I789" s="62">
        <f>SUM(テーブル9[[#This Row],[五大]:[工場材]])</f>
        <v/>
      </c>
      <c r="J789" s="65" t="n"/>
      <c r="K789" s="65" t="n"/>
      <c r="L789" s="65" t="n"/>
      <c r="M789" s="65" t="n"/>
      <c r="N789" s="65" t="n"/>
      <c r="O789" s="65" t="n"/>
      <c r="P789" s="65" t="n"/>
      <c r="Q789" s="65" t="n"/>
      <c r="R789" s="65" t="n"/>
      <c r="S789" s="65" t="n"/>
      <c r="T789" s="65" t="n"/>
      <c r="U789" s="65" t="n"/>
      <c r="V789" s="65" t="n"/>
      <c r="W789" s="65" t="n"/>
      <c r="X789" s="66" t="n"/>
      <c r="Y789" s="65" t="n"/>
      <c r="Z789" s="65" t="n"/>
      <c r="AA789" s="65" t="n"/>
      <c r="AB789" s="65" t="n"/>
      <c r="AC789" s="65" t="n"/>
      <c r="AD789" s="65" t="n"/>
      <c r="AE789" s="65" t="n"/>
      <c r="AF789" s="65" t="n"/>
      <c r="AG789" s="65" t="n"/>
      <c r="AH789" s="65" t="n"/>
      <c r="AI789" s="65" t="n"/>
      <c r="AJ789" s="65" t="n"/>
      <c r="AK789" s="65" t="n"/>
      <c r="AL789" s="65" t="n"/>
      <c r="AM789" s="65" t="n"/>
      <c r="AN789" s="65" t="n"/>
      <c r="AO789" s="65" t="n"/>
      <c r="AP789" s="65" t="n"/>
      <c r="AQ789" s="65" t="n"/>
      <c r="AR789" s="65" t="n"/>
      <c r="AS789" s="65" t="n"/>
      <c r="AT789" s="65" t="n"/>
      <c r="AU789" s="65" t="n"/>
      <c r="AV789" s="65" t="n"/>
      <c r="AW789" s="65" t="n"/>
      <c r="AX789" s="65" t="n"/>
      <c r="AY789" s="65" t="n"/>
      <c r="AZ789" s="65" t="n"/>
      <c r="BA789" s="65" t="n"/>
      <c r="BB789" s="65" t="n"/>
      <c r="BC789" s="65" t="n"/>
      <c r="BD789" s="65" t="n"/>
      <c r="BE789" s="65" t="n"/>
      <c r="BF789" s="65" t="n"/>
      <c r="BG789" s="65" t="n"/>
    </row>
    <row r="790">
      <c r="F790" s="68" t="n"/>
      <c r="G790" s="68">
        <f>IF(B790="","",F790-I790 )</f>
        <v/>
      </c>
      <c r="H790" s="5">
        <f>IF(G790="","",G790/F790)</f>
        <v/>
      </c>
      <c r="I790" s="62">
        <f>SUM(テーブル9[[#This Row],[五大]:[工場材]])</f>
        <v/>
      </c>
      <c r="J790" s="65" t="n"/>
      <c r="K790" s="65" t="n"/>
      <c r="L790" s="65" t="n"/>
      <c r="M790" s="65" t="n"/>
      <c r="N790" s="65" t="n"/>
      <c r="O790" s="65" t="n"/>
      <c r="P790" s="65" t="n"/>
      <c r="Q790" s="65" t="n"/>
      <c r="R790" s="65" t="n"/>
      <c r="S790" s="65" t="n"/>
      <c r="T790" s="65" t="n"/>
      <c r="U790" s="65" t="n"/>
      <c r="V790" s="65" t="n"/>
      <c r="W790" s="65" t="n"/>
      <c r="X790" s="66" t="n"/>
      <c r="Y790" s="65" t="n"/>
      <c r="Z790" s="65" t="n"/>
      <c r="AA790" s="65" t="n"/>
      <c r="AB790" s="65" t="n"/>
      <c r="AC790" s="65" t="n"/>
      <c r="AD790" s="65" t="n"/>
      <c r="AE790" s="65" t="n"/>
      <c r="AF790" s="65" t="n"/>
      <c r="AG790" s="65" t="n"/>
      <c r="AH790" s="65" t="n"/>
      <c r="AI790" s="65" t="n"/>
      <c r="AJ790" s="65" t="n"/>
      <c r="AK790" s="65" t="n"/>
      <c r="AL790" s="65" t="n"/>
      <c r="AM790" s="65" t="n"/>
      <c r="AN790" s="65" t="n"/>
      <c r="AO790" s="65" t="n"/>
      <c r="AP790" s="65" t="n"/>
      <c r="AQ790" s="65" t="n"/>
      <c r="AR790" s="65" t="n"/>
      <c r="AS790" s="65" t="n"/>
      <c r="AT790" s="65" t="n"/>
      <c r="AU790" s="65" t="n"/>
      <c r="AV790" s="65" t="n"/>
      <c r="AW790" s="65" t="n"/>
      <c r="AX790" s="65" t="n"/>
      <c r="AY790" s="65" t="n"/>
      <c r="AZ790" s="65" t="n"/>
      <c r="BA790" s="65" t="n"/>
      <c r="BB790" s="65" t="n"/>
      <c r="BC790" s="65" t="n"/>
      <c r="BD790" s="65" t="n"/>
      <c r="BE790" s="65" t="n"/>
      <c r="BF790" s="65" t="n"/>
      <c r="BG790" s="65" t="n"/>
    </row>
    <row r="791">
      <c r="F791" s="68" t="n"/>
      <c r="G791" s="68">
        <f>IF(B791="","",F791-I791 )</f>
        <v/>
      </c>
      <c r="H791" s="5">
        <f>IF(G791="","",G791/F791)</f>
        <v/>
      </c>
      <c r="I791" s="62">
        <f>SUM(テーブル9[[#This Row],[五大]:[工場材]])</f>
        <v/>
      </c>
      <c r="J791" s="65" t="n"/>
      <c r="K791" s="65" t="n"/>
      <c r="L791" s="65" t="n"/>
      <c r="M791" s="65" t="n"/>
      <c r="N791" s="65" t="n"/>
      <c r="O791" s="65" t="n"/>
      <c r="P791" s="65" t="n"/>
      <c r="Q791" s="65" t="n"/>
      <c r="R791" s="65" t="n"/>
      <c r="S791" s="65" t="n"/>
      <c r="T791" s="65" t="n"/>
      <c r="U791" s="65" t="n"/>
      <c r="V791" s="65" t="n"/>
      <c r="W791" s="65" t="n"/>
      <c r="X791" s="66" t="n"/>
      <c r="Y791" s="65" t="n"/>
      <c r="Z791" s="65" t="n"/>
      <c r="AA791" s="65" t="n"/>
      <c r="AB791" s="65" t="n"/>
      <c r="AC791" s="65" t="n"/>
      <c r="AD791" s="65" t="n"/>
      <c r="AE791" s="65" t="n"/>
      <c r="AF791" s="65" t="n"/>
      <c r="AG791" s="65" t="n"/>
      <c r="AH791" s="65" t="n"/>
      <c r="AI791" s="65" t="n"/>
      <c r="AJ791" s="65" t="n"/>
      <c r="AK791" s="65" t="n"/>
      <c r="AL791" s="65" t="n"/>
      <c r="AM791" s="65" t="n"/>
      <c r="AN791" s="65" t="n"/>
      <c r="AO791" s="65" t="n"/>
      <c r="AP791" s="65" t="n"/>
      <c r="AQ791" s="65" t="n"/>
      <c r="AR791" s="65" t="n"/>
      <c r="AS791" s="65" t="n"/>
      <c r="AT791" s="65" t="n"/>
      <c r="AU791" s="65" t="n"/>
      <c r="AV791" s="65" t="n"/>
      <c r="AW791" s="65" t="n"/>
      <c r="AX791" s="65" t="n"/>
      <c r="AY791" s="65" t="n"/>
      <c r="AZ791" s="65" t="n"/>
      <c r="BA791" s="65" t="n"/>
      <c r="BB791" s="65" t="n"/>
      <c r="BC791" s="65" t="n"/>
      <c r="BD791" s="65" t="n"/>
      <c r="BE791" s="65" t="n"/>
      <c r="BF791" s="65" t="n"/>
      <c r="BG791" s="65" t="n"/>
    </row>
    <row r="792">
      <c r="F792" s="68" t="n"/>
      <c r="G792" s="68">
        <f>IF(B792="","",F792-I792 )</f>
        <v/>
      </c>
      <c r="H792" s="5">
        <f>IF(G792="","",G792/F792)</f>
        <v/>
      </c>
      <c r="I792" s="62">
        <f>SUM(テーブル9[[#This Row],[五大]:[工場材]])</f>
        <v/>
      </c>
      <c r="J792" s="65" t="n"/>
      <c r="K792" s="65" t="n"/>
      <c r="L792" s="65" t="n"/>
      <c r="M792" s="65" t="n"/>
      <c r="N792" s="65" t="n"/>
      <c r="O792" s="65" t="n"/>
      <c r="P792" s="65" t="n"/>
      <c r="Q792" s="65" t="n"/>
      <c r="R792" s="65" t="n"/>
      <c r="S792" s="65" t="n"/>
      <c r="T792" s="65" t="n"/>
      <c r="U792" s="65" t="n"/>
      <c r="V792" s="65" t="n"/>
      <c r="W792" s="65" t="n"/>
      <c r="X792" s="66" t="n"/>
      <c r="Y792" s="65" t="n"/>
      <c r="Z792" s="65" t="n"/>
      <c r="AA792" s="65" t="n"/>
      <c r="AB792" s="65" t="n"/>
      <c r="AC792" s="65" t="n"/>
      <c r="AD792" s="65" t="n"/>
      <c r="AE792" s="65" t="n"/>
      <c r="AF792" s="65" t="n"/>
      <c r="AG792" s="65" t="n"/>
      <c r="AH792" s="65" t="n"/>
      <c r="AI792" s="65" t="n"/>
      <c r="AJ792" s="65" t="n"/>
      <c r="AK792" s="65" t="n"/>
      <c r="AL792" s="65" t="n"/>
      <c r="AM792" s="65" t="n"/>
      <c r="AN792" s="65" t="n"/>
      <c r="AO792" s="65" t="n"/>
      <c r="AP792" s="65" t="n"/>
      <c r="AQ792" s="65" t="n"/>
      <c r="AR792" s="65" t="n"/>
      <c r="AS792" s="65" t="n"/>
      <c r="AT792" s="65" t="n"/>
      <c r="AU792" s="65" t="n"/>
      <c r="AV792" s="65" t="n"/>
      <c r="AW792" s="65" t="n"/>
      <c r="AX792" s="65" t="n"/>
      <c r="AY792" s="65" t="n"/>
      <c r="AZ792" s="65" t="n"/>
      <c r="BA792" s="65" t="n"/>
      <c r="BB792" s="65" t="n"/>
      <c r="BC792" s="65" t="n"/>
      <c r="BD792" s="65" t="n"/>
      <c r="BE792" s="65" t="n"/>
      <c r="BF792" s="65" t="n"/>
      <c r="BG792" s="65" t="n"/>
    </row>
    <row r="793">
      <c r="F793" s="68" t="n"/>
      <c r="G793" s="68">
        <f>IF(B793="","",F793-I793 )</f>
        <v/>
      </c>
      <c r="H793" s="5">
        <f>IF(G793="","",G793/F793)</f>
        <v/>
      </c>
      <c r="I793" s="62">
        <f>SUM(テーブル9[[#This Row],[五大]:[工場材]])</f>
        <v/>
      </c>
      <c r="J793" s="65" t="n"/>
      <c r="K793" s="65" t="n"/>
      <c r="L793" s="65" t="n"/>
      <c r="M793" s="65" t="n"/>
      <c r="N793" s="65" t="n"/>
      <c r="O793" s="65" t="n"/>
      <c r="P793" s="65" t="n"/>
      <c r="Q793" s="65" t="n"/>
      <c r="R793" s="65" t="n"/>
      <c r="S793" s="65" t="n"/>
      <c r="T793" s="65" t="n"/>
      <c r="U793" s="65" t="n"/>
      <c r="V793" s="65" t="n"/>
      <c r="W793" s="65" t="n"/>
      <c r="X793" s="66" t="n"/>
      <c r="Y793" s="65" t="n"/>
      <c r="Z793" s="65" t="n"/>
      <c r="AA793" s="65" t="n"/>
      <c r="AB793" s="65" t="n"/>
      <c r="AC793" s="65" t="n"/>
      <c r="AD793" s="65" t="n"/>
      <c r="AE793" s="65" t="n"/>
      <c r="AF793" s="65" t="n"/>
      <c r="AG793" s="65" t="n"/>
      <c r="AH793" s="65" t="n"/>
      <c r="AI793" s="65" t="n"/>
      <c r="AJ793" s="65" t="n"/>
      <c r="AK793" s="65" t="n"/>
      <c r="AL793" s="65" t="n"/>
      <c r="AM793" s="65" t="n"/>
      <c r="AN793" s="65" t="n"/>
      <c r="AO793" s="65" t="n"/>
      <c r="AP793" s="65" t="n"/>
      <c r="AQ793" s="65" t="n"/>
      <c r="AR793" s="65" t="n"/>
      <c r="AS793" s="65" t="n"/>
      <c r="AT793" s="65" t="n"/>
      <c r="AU793" s="65" t="n"/>
      <c r="AV793" s="65" t="n"/>
      <c r="AW793" s="65" t="n"/>
      <c r="AX793" s="65" t="n"/>
      <c r="AY793" s="65" t="n"/>
      <c r="AZ793" s="65" t="n"/>
      <c r="BA793" s="65" t="n"/>
      <c r="BB793" s="65" t="n"/>
      <c r="BC793" s="65" t="n"/>
      <c r="BD793" s="65" t="n"/>
      <c r="BE793" s="65" t="n"/>
      <c r="BF793" s="65" t="n"/>
      <c r="BG793" s="65" t="n"/>
    </row>
    <row r="794">
      <c r="F794" s="68" t="n"/>
      <c r="G794" s="68">
        <f>IF(B794="","",F794-I794 )</f>
        <v/>
      </c>
      <c r="H794" s="5">
        <f>IF(G794="","",G794/F794)</f>
        <v/>
      </c>
      <c r="I794" s="62">
        <f>SUM(テーブル9[[#This Row],[五大]:[工場材]])</f>
        <v/>
      </c>
      <c r="J794" s="65" t="n"/>
      <c r="K794" s="65" t="n"/>
      <c r="L794" s="65" t="n"/>
      <c r="M794" s="65" t="n"/>
      <c r="N794" s="65" t="n"/>
      <c r="O794" s="65" t="n"/>
      <c r="P794" s="65" t="n"/>
      <c r="Q794" s="65" t="n"/>
      <c r="R794" s="65" t="n"/>
      <c r="S794" s="65" t="n"/>
      <c r="T794" s="65" t="n"/>
      <c r="U794" s="65" t="n"/>
      <c r="V794" s="65" t="n"/>
      <c r="W794" s="65" t="n"/>
      <c r="X794" s="66" t="n"/>
      <c r="Y794" s="65" t="n"/>
      <c r="Z794" s="65" t="n"/>
      <c r="AA794" s="65" t="n"/>
      <c r="AB794" s="65" t="n"/>
      <c r="AC794" s="65" t="n"/>
      <c r="AD794" s="65" t="n"/>
      <c r="AE794" s="65" t="n"/>
      <c r="AF794" s="65" t="n"/>
      <c r="AG794" s="65" t="n"/>
      <c r="AH794" s="65" t="n"/>
      <c r="AI794" s="65" t="n"/>
      <c r="AJ794" s="65" t="n"/>
      <c r="AK794" s="65" t="n"/>
      <c r="AL794" s="65" t="n"/>
      <c r="AM794" s="65" t="n"/>
      <c r="AN794" s="65" t="n"/>
      <c r="AO794" s="65" t="n"/>
      <c r="AP794" s="65" t="n"/>
      <c r="AQ794" s="65" t="n"/>
      <c r="AR794" s="65" t="n"/>
      <c r="AS794" s="65" t="n"/>
      <c r="AT794" s="65" t="n"/>
      <c r="AU794" s="65" t="n"/>
      <c r="AV794" s="65" t="n"/>
      <c r="AW794" s="65" t="n"/>
      <c r="AX794" s="65" t="n"/>
      <c r="AY794" s="65" t="n"/>
      <c r="AZ794" s="65" t="n"/>
      <c r="BA794" s="65" t="n"/>
      <c r="BB794" s="65" t="n"/>
      <c r="BC794" s="65" t="n"/>
      <c r="BD794" s="65" t="n"/>
      <c r="BE794" s="65" t="n"/>
      <c r="BF794" s="65" t="n"/>
      <c r="BG794" s="65" t="n"/>
    </row>
    <row r="795">
      <c r="F795" s="68" t="n"/>
      <c r="G795" s="68">
        <f>IF(B795="","",F795-I795 )</f>
        <v/>
      </c>
      <c r="H795" s="5">
        <f>IF(G795="","",G795/F795)</f>
        <v/>
      </c>
      <c r="I795" s="62">
        <f>SUM(テーブル9[[#This Row],[五大]:[工場材]])</f>
        <v/>
      </c>
      <c r="J795" s="65" t="n"/>
      <c r="K795" s="65" t="n"/>
      <c r="L795" s="65" t="n"/>
      <c r="M795" s="65" t="n"/>
      <c r="N795" s="65" t="n"/>
      <c r="O795" s="65" t="n"/>
      <c r="P795" s="65" t="n"/>
      <c r="Q795" s="65" t="n"/>
      <c r="R795" s="65" t="n"/>
      <c r="S795" s="65" t="n"/>
      <c r="T795" s="65" t="n"/>
      <c r="U795" s="65" t="n"/>
      <c r="V795" s="65" t="n"/>
      <c r="W795" s="65" t="n"/>
      <c r="X795" s="66" t="n"/>
      <c r="Y795" s="65" t="n"/>
      <c r="Z795" s="65" t="n"/>
      <c r="AA795" s="65" t="n"/>
      <c r="AB795" s="65" t="n"/>
      <c r="AC795" s="65" t="n"/>
      <c r="AD795" s="65" t="n"/>
      <c r="AE795" s="65" t="n"/>
      <c r="AF795" s="65" t="n"/>
      <c r="AG795" s="65" t="n"/>
      <c r="AH795" s="65" t="n"/>
      <c r="AI795" s="65" t="n"/>
      <c r="AJ795" s="65" t="n"/>
      <c r="AK795" s="65" t="n"/>
      <c r="AL795" s="65" t="n"/>
      <c r="AM795" s="65" t="n"/>
      <c r="AN795" s="65" t="n"/>
      <c r="AO795" s="65" t="n"/>
      <c r="AP795" s="65" t="n"/>
      <c r="AQ795" s="65" t="n"/>
      <c r="AR795" s="65" t="n"/>
      <c r="AS795" s="65" t="n"/>
      <c r="AT795" s="65" t="n"/>
      <c r="AU795" s="65" t="n"/>
      <c r="AV795" s="65" t="n"/>
      <c r="AW795" s="65" t="n"/>
      <c r="AX795" s="65" t="n"/>
      <c r="AY795" s="65" t="n"/>
      <c r="AZ795" s="65" t="n"/>
      <c r="BA795" s="65" t="n"/>
      <c r="BB795" s="65" t="n"/>
      <c r="BC795" s="65" t="n"/>
      <c r="BD795" s="65" t="n"/>
      <c r="BE795" s="65" t="n"/>
      <c r="BF795" s="65" t="n"/>
      <c r="BG795" s="65" t="n"/>
    </row>
    <row r="796">
      <c r="F796" s="68" t="n"/>
      <c r="G796" s="68">
        <f>IF(B796="","",F796-I796 )</f>
        <v/>
      </c>
      <c r="H796" s="5">
        <f>IF(G796="","",G796/F796)</f>
        <v/>
      </c>
      <c r="I796" s="62">
        <f>SUM(テーブル9[[#This Row],[五大]:[工場材]])</f>
        <v/>
      </c>
      <c r="J796" s="65" t="n"/>
      <c r="K796" s="65" t="n"/>
      <c r="L796" s="65" t="n"/>
      <c r="M796" s="65" t="n"/>
      <c r="N796" s="65" t="n"/>
      <c r="O796" s="65" t="n"/>
      <c r="P796" s="65" t="n"/>
      <c r="Q796" s="65" t="n"/>
      <c r="R796" s="65" t="n"/>
      <c r="S796" s="65" t="n"/>
      <c r="T796" s="65" t="n"/>
      <c r="U796" s="65" t="n"/>
      <c r="V796" s="65" t="n"/>
      <c r="W796" s="65" t="n"/>
      <c r="X796" s="66" t="n"/>
      <c r="Y796" s="65" t="n"/>
      <c r="Z796" s="65" t="n"/>
      <c r="AA796" s="65" t="n"/>
      <c r="AB796" s="65" t="n"/>
      <c r="AC796" s="65" t="n"/>
      <c r="AD796" s="65" t="n"/>
      <c r="AE796" s="65" t="n"/>
      <c r="AF796" s="65" t="n"/>
      <c r="AG796" s="65" t="n"/>
      <c r="AH796" s="65" t="n"/>
      <c r="AI796" s="65" t="n"/>
      <c r="AJ796" s="65" t="n"/>
      <c r="AK796" s="65" t="n"/>
      <c r="AL796" s="65" t="n"/>
      <c r="AM796" s="65" t="n"/>
      <c r="AN796" s="65" t="n"/>
      <c r="AO796" s="65" t="n"/>
      <c r="AP796" s="65" t="n"/>
      <c r="AQ796" s="65" t="n"/>
      <c r="AR796" s="65" t="n"/>
      <c r="AS796" s="65" t="n"/>
      <c r="AT796" s="65" t="n"/>
      <c r="AU796" s="65" t="n"/>
      <c r="AV796" s="65" t="n"/>
      <c r="AW796" s="65" t="n"/>
      <c r="AX796" s="65" t="n"/>
      <c r="AY796" s="65" t="n"/>
      <c r="AZ796" s="65" t="n"/>
      <c r="BA796" s="65" t="n"/>
      <c r="BB796" s="65" t="n"/>
      <c r="BC796" s="65" t="n"/>
      <c r="BD796" s="65" t="n"/>
      <c r="BE796" s="65" t="n"/>
      <c r="BF796" s="65" t="n"/>
      <c r="BG796" s="65" t="n"/>
    </row>
    <row r="797">
      <c r="F797" s="68" t="n"/>
      <c r="G797" s="68">
        <f>IF(B797="","",F797-I797 )</f>
        <v/>
      </c>
      <c r="H797" s="5">
        <f>IF(G797="","",G797/F797)</f>
        <v/>
      </c>
      <c r="I797" s="62">
        <f>SUM(テーブル9[[#This Row],[五大]:[工場材]])</f>
        <v/>
      </c>
      <c r="J797" s="65" t="n"/>
      <c r="K797" s="65" t="n"/>
      <c r="L797" s="65" t="n"/>
      <c r="M797" s="65" t="n"/>
      <c r="N797" s="65" t="n"/>
      <c r="O797" s="65" t="n"/>
      <c r="P797" s="65" t="n"/>
      <c r="Q797" s="65" t="n"/>
      <c r="R797" s="65" t="n"/>
      <c r="S797" s="65" t="n"/>
      <c r="T797" s="65" t="n"/>
      <c r="U797" s="65" t="n"/>
      <c r="V797" s="65" t="n"/>
      <c r="W797" s="65" t="n"/>
      <c r="X797" s="66" t="n"/>
      <c r="Y797" s="65" t="n"/>
      <c r="Z797" s="65" t="n"/>
      <c r="AA797" s="65" t="n"/>
      <c r="AB797" s="65" t="n"/>
      <c r="AC797" s="65" t="n"/>
      <c r="AD797" s="65" t="n"/>
      <c r="AE797" s="65" t="n"/>
      <c r="AF797" s="65" t="n"/>
      <c r="AG797" s="65" t="n"/>
      <c r="AH797" s="65" t="n"/>
      <c r="AI797" s="65" t="n"/>
      <c r="AJ797" s="65" t="n"/>
      <c r="AK797" s="65" t="n"/>
      <c r="AL797" s="65" t="n"/>
      <c r="AM797" s="65" t="n"/>
      <c r="AN797" s="65" t="n"/>
      <c r="AO797" s="65" t="n"/>
      <c r="AP797" s="65" t="n"/>
      <c r="AQ797" s="65" t="n"/>
      <c r="AR797" s="65" t="n"/>
      <c r="AS797" s="65" t="n"/>
      <c r="AT797" s="65" t="n"/>
      <c r="AU797" s="65" t="n"/>
      <c r="AV797" s="65" t="n"/>
      <c r="AW797" s="65" t="n"/>
      <c r="AX797" s="65" t="n"/>
      <c r="AY797" s="65" t="n"/>
      <c r="AZ797" s="65" t="n"/>
      <c r="BA797" s="65" t="n"/>
      <c r="BB797" s="65" t="n"/>
      <c r="BC797" s="65" t="n"/>
      <c r="BD797" s="65" t="n"/>
      <c r="BE797" s="65" t="n"/>
      <c r="BF797" s="65" t="n"/>
      <c r="BG797" s="65" t="n"/>
    </row>
    <row r="798">
      <c r="F798" s="68" t="n"/>
      <c r="G798" s="68">
        <f>IF(B798="","",F798-I798 )</f>
        <v/>
      </c>
      <c r="H798" s="5">
        <f>IF(G798="","",G798/F798)</f>
        <v/>
      </c>
      <c r="I798" s="62">
        <f>SUM(テーブル9[[#This Row],[五大]:[工場材]])</f>
        <v/>
      </c>
      <c r="J798" s="65" t="n"/>
      <c r="K798" s="65" t="n"/>
      <c r="L798" s="65" t="n"/>
      <c r="M798" s="65" t="n"/>
      <c r="N798" s="65" t="n"/>
      <c r="O798" s="65" t="n"/>
      <c r="P798" s="65" t="n"/>
      <c r="Q798" s="65" t="n"/>
      <c r="R798" s="65" t="n"/>
      <c r="S798" s="65" t="n"/>
      <c r="T798" s="65" t="n"/>
      <c r="U798" s="65" t="n"/>
      <c r="V798" s="65" t="n"/>
      <c r="W798" s="65" t="n"/>
      <c r="X798" s="66" t="n"/>
      <c r="Y798" s="65" t="n"/>
      <c r="Z798" s="65" t="n"/>
      <c r="AA798" s="65" t="n"/>
      <c r="AB798" s="65" t="n"/>
      <c r="AC798" s="65" t="n"/>
      <c r="AD798" s="65" t="n"/>
      <c r="AE798" s="65" t="n"/>
      <c r="AF798" s="65" t="n"/>
      <c r="AG798" s="65" t="n"/>
      <c r="AH798" s="65" t="n"/>
      <c r="AI798" s="65" t="n"/>
      <c r="AJ798" s="65" t="n"/>
      <c r="AK798" s="65" t="n"/>
      <c r="AL798" s="65" t="n"/>
      <c r="AM798" s="65" t="n"/>
      <c r="AN798" s="65" t="n"/>
      <c r="AO798" s="65" t="n"/>
      <c r="AP798" s="65" t="n"/>
      <c r="AQ798" s="65" t="n"/>
      <c r="AR798" s="65" t="n"/>
      <c r="AS798" s="65" t="n"/>
      <c r="AT798" s="65" t="n"/>
      <c r="AU798" s="65" t="n"/>
      <c r="AV798" s="65" t="n"/>
      <c r="AW798" s="65" t="n"/>
      <c r="AX798" s="65" t="n"/>
      <c r="AY798" s="65" t="n"/>
      <c r="AZ798" s="65" t="n"/>
      <c r="BA798" s="65" t="n"/>
      <c r="BB798" s="65" t="n"/>
      <c r="BC798" s="65" t="n"/>
      <c r="BD798" s="65" t="n"/>
      <c r="BE798" s="65" t="n"/>
      <c r="BF798" s="65" t="n"/>
      <c r="BG798" s="65" t="n"/>
    </row>
    <row r="799">
      <c r="F799" s="68" t="n"/>
      <c r="G799" s="68">
        <f>IF(B799="","",F799-I799 )</f>
        <v/>
      </c>
      <c r="H799" s="5">
        <f>IF(G799="","",G799/F799)</f>
        <v/>
      </c>
      <c r="I799" s="62">
        <f>SUM(テーブル9[[#This Row],[五大]:[工場材]])</f>
        <v/>
      </c>
      <c r="J799" s="65" t="n"/>
      <c r="K799" s="65" t="n"/>
      <c r="L799" s="65" t="n"/>
      <c r="M799" s="65" t="n"/>
      <c r="N799" s="65" t="n"/>
      <c r="O799" s="65" t="n"/>
      <c r="P799" s="65" t="n"/>
      <c r="Q799" s="65" t="n"/>
      <c r="R799" s="65" t="n"/>
      <c r="S799" s="65" t="n"/>
      <c r="T799" s="65" t="n"/>
      <c r="U799" s="65" t="n"/>
      <c r="V799" s="65" t="n"/>
      <c r="W799" s="65" t="n"/>
      <c r="X799" s="66" t="n"/>
      <c r="Y799" s="65" t="n"/>
      <c r="Z799" s="65" t="n"/>
      <c r="AA799" s="65" t="n"/>
      <c r="AB799" s="65" t="n"/>
      <c r="AC799" s="65" t="n"/>
      <c r="AD799" s="65" t="n"/>
      <c r="AE799" s="65" t="n"/>
      <c r="AF799" s="65" t="n"/>
      <c r="AG799" s="65" t="n"/>
      <c r="AH799" s="65" t="n"/>
      <c r="AI799" s="65" t="n"/>
      <c r="AJ799" s="65" t="n"/>
      <c r="AK799" s="65" t="n"/>
      <c r="AL799" s="65" t="n"/>
      <c r="AM799" s="65" t="n"/>
      <c r="AN799" s="65" t="n"/>
      <c r="AO799" s="65" t="n"/>
      <c r="AP799" s="65" t="n"/>
      <c r="AQ799" s="65" t="n"/>
      <c r="AR799" s="65" t="n"/>
      <c r="AS799" s="65" t="n"/>
      <c r="AT799" s="65" t="n"/>
      <c r="AU799" s="65" t="n"/>
      <c r="AV799" s="65" t="n"/>
      <c r="AW799" s="65" t="n"/>
      <c r="AX799" s="65" t="n"/>
      <c r="AY799" s="65" t="n"/>
      <c r="AZ799" s="65" t="n"/>
      <c r="BA799" s="65" t="n"/>
      <c r="BB799" s="65" t="n"/>
      <c r="BC799" s="65" t="n"/>
      <c r="BD799" s="65" t="n"/>
      <c r="BE799" s="65" t="n"/>
      <c r="BF799" s="65" t="n"/>
      <c r="BG799" s="65" t="n"/>
    </row>
    <row r="800">
      <c r="F800" s="68" t="n"/>
      <c r="G800" s="68">
        <f>IF(B800="","",F800-I800 )</f>
        <v/>
      </c>
      <c r="H800" s="5">
        <f>IF(G800="","",G800/F800)</f>
        <v/>
      </c>
      <c r="I800" s="62">
        <f>SUM(テーブル9[[#This Row],[五大]:[工場材]])</f>
        <v/>
      </c>
      <c r="J800" s="65" t="n"/>
      <c r="K800" s="65" t="n"/>
      <c r="L800" s="65" t="n"/>
      <c r="M800" s="65" t="n"/>
      <c r="N800" s="65" t="n"/>
      <c r="O800" s="65" t="n"/>
      <c r="P800" s="65" t="n"/>
      <c r="Q800" s="65" t="n"/>
      <c r="R800" s="65" t="n"/>
      <c r="S800" s="65" t="n"/>
      <c r="T800" s="65" t="n"/>
      <c r="U800" s="65" t="n"/>
      <c r="V800" s="65" t="n"/>
      <c r="W800" s="65" t="n"/>
      <c r="X800" s="66" t="n"/>
      <c r="Y800" s="65" t="n"/>
      <c r="Z800" s="65" t="n"/>
      <c r="AA800" s="65" t="n"/>
      <c r="AB800" s="65" t="n"/>
      <c r="AC800" s="65" t="n"/>
      <c r="AD800" s="65" t="n"/>
      <c r="AE800" s="65" t="n"/>
      <c r="AF800" s="65" t="n"/>
      <c r="AG800" s="65" t="n"/>
      <c r="AH800" s="65" t="n"/>
      <c r="AI800" s="65" t="n"/>
      <c r="AJ800" s="65" t="n"/>
      <c r="AK800" s="65" t="n"/>
      <c r="AL800" s="65" t="n"/>
      <c r="AM800" s="65" t="n"/>
      <c r="AN800" s="65" t="n"/>
      <c r="AO800" s="65" t="n"/>
      <c r="AP800" s="65" t="n"/>
      <c r="AQ800" s="65" t="n"/>
      <c r="AR800" s="65" t="n"/>
      <c r="AS800" s="65" t="n"/>
      <c r="AT800" s="65" t="n"/>
      <c r="AU800" s="65" t="n"/>
      <c r="AV800" s="65" t="n"/>
      <c r="AW800" s="65" t="n"/>
      <c r="AX800" s="65" t="n"/>
      <c r="AY800" s="65" t="n"/>
      <c r="AZ800" s="65" t="n"/>
      <c r="BA800" s="65" t="n"/>
      <c r="BB800" s="65" t="n"/>
      <c r="BC800" s="65" t="n"/>
      <c r="BD800" s="65" t="n"/>
      <c r="BE800" s="65" t="n"/>
      <c r="BF800" s="65" t="n"/>
      <c r="BG800" s="65" t="n"/>
    </row>
    <row r="801">
      <c r="F801" s="68" t="n"/>
      <c r="G801" s="68">
        <f>IF(B801="","",F801-I801 )</f>
        <v/>
      </c>
      <c r="H801" s="5">
        <f>IF(G801="","",G801/F801)</f>
        <v/>
      </c>
      <c r="I801" s="62">
        <f>SUM(テーブル9[[#This Row],[五大]:[工場材]])</f>
        <v/>
      </c>
      <c r="J801" s="65" t="n"/>
      <c r="K801" s="65" t="n"/>
      <c r="L801" s="65" t="n"/>
      <c r="M801" s="65" t="n"/>
      <c r="N801" s="65" t="n"/>
      <c r="O801" s="65" t="n"/>
      <c r="P801" s="65" t="n"/>
      <c r="Q801" s="65" t="n"/>
      <c r="R801" s="65" t="n"/>
      <c r="S801" s="65" t="n"/>
      <c r="T801" s="65" t="n"/>
      <c r="U801" s="65" t="n"/>
      <c r="V801" s="65" t="n"/>
      <c r="W801" s="65" t="n"/>
      <c r="X801" s="66" t="n"/>
      <c r="Y801" s="65" t="n"/>
      <c r="Z801" s="65" t="n"/>
      <c r="AA801" s="65" t="n"/>
      <c r="AB801" s="65" t="n"/>
      <c r="AC801" s="65" t="n"/>
      <c r="AD801" s="65" t="n"/>
      <c r="AE801" s="65" t="n"/>
      <c r="AF801" s="65" t="n"/>
      <c r="AG801" s="65" t="n"/>
      <c r="AH801" s="65" t="n"/>
      <c r="AI801" s="65" t="n"/>
      <c r="AJ801" s="65" t="n"/>
      <c r="AK801" s="65" t="n"/>
      <c r="AL801" s="65" t="n"/>
      <c r="AM801" s="65" t="n"/>
      <c r="AN801" s="65" t="n"/>
      <c r="AO801" s="65" t="n"/>
      <c r="AP801" s="65" t="n"/>
      <c r="AQ801" s="65" t="n"/>
      <c r="AR801" s="65" t="n"/>
      <c r="AS801" s="65" t="n"/>
      <c r="AT801" s="65" t="n"/>
      <c r="AU801" s="65" t="n"/>
      <c r="AV801" s="65" t="n"/>
      <c r="AW801" s="65" t="n"/>
      <c r="AX801" s="65" t="n"/>
      <c r="AY801" s="65" t="n"/>
      <c r="AZ801" s="65" t="n"/>
      <c r="BA801" s="65" t="n"/>
      <c r="BB801" s="65" t="n"/>
      <c r="BC801" s="65" t="n"/>
      <c r="BD801" s="65" t="n"/>
      <c r="BE801" s="65" t="n"/>
      <c r="BF801" s="65" t="n"/>
      <c r="BG801" s="65" t="n"/>
    </row>
    <row r="802">
      <c r="F802" s="68" t="n"/>
      <c r="G802" s="68">
        <f>IF(B802="","",F802-I802 )</f>
        <v/>
      </c>
      <c r="H802" s="5">
        <f>IF(G802="","",G802/F802)</f>
        <v/>
      </c>
      <c r="I802" s="62">
        <f>SUM(テーブル9[[#This Row],[五大]:[工場材]])</f>
        <v/>
      </c>
      <c r="J802" s="65" t="n"/>
      <c r="K802" s="65" t="n"/>
      <c r="L802" s="65" t="n"/>
      <c r="M802" s="65" t="n"/>
      <c r="N802" s="65" t="n"/>
      <c r="O802" s="65" t="n"/>
      <c r="P802" s="65" t="n"/>
      <c r="Q802" s="65" t="n"/>
      <c r="R802" s="65" t="n"/>
      <c r="S802" s="65" t="n"/>
      <c r="T802" s="65" t="n"/>
      <c r="U802" s="65" t="n"/>
      <c r="V802" s="65" t="n"/>
      <c r="W802" s="65" t="n"/>
      <c r="X802" s="66" t="n"/>
      <c r="Y802" s="65" t="n"/>
      <c r="Z802" s="65" t="n"/>
      <c r="AA802" s="65" t="n"/>
      <c r="AB802" s="65" t="n"/>
      <c r="AC802" s="65" t="n"/>
      <c r="AD802" s="65" t="n"/>
      <c r="AE802" s="65" t="n"/>
      <c r="AF802" s="65" t="n"/>
      <c r="AG802" s="65" t="n"/>
      <c r="AH802" s="65" t="n"/>
      <c r="AI802" s="65" t="n"/>
      <c r="AJ802" s="65" t="n"/>
      <c r="AK802" s="65" t="n"/>
      <c r="AL802" s="65" t="n"/>
      <c r="AM802" s="65" t="n"/>
      <c r="AN802" s="65" t="n"/>
      <c r="AO802" s="65" t="n"/>
      <c r="AP802" s="65" t="n"/>
      <c r="AQ802" s="65" t="n"/>
      <c r="AR802" s="65" t="n"/>
      <c r="AS802" s="65" t="n"/>
      <c r="AT802" s="65" t="n"/>
      <c r="AU802" s="65" t="n"/>
      <c r="AV802" s="65" t="n"/>
      <c r="AW802" s="65" t="n"/>
      <c r="AX802" s="65" t="n"/>
      <c r="AY802" s="65" t="n"/>
      <c r="AZ802" s="65" t="n"/>
      <c r="BA802" s="65" t="n"/>
      <c r="BB802" s="65" t="n"/>
      <c r="BC802" s="65" t="n"/>
      <c r="BD802" s="65" t="n"/>
      <c r="BE802" s="65" t="n"/>
      <c r="BF802" s="65" t="n"/>
      <c r="BG802" s="65" t="n"/>
    </row>
    <row r="803">
      <c r="F803" s="68" t="n"/>
      <c r="G803" s="68">
        <f>IF(B803="","",F803-I803 )</f>
        <v/>
      </c>
      <c r="H803" s="5">
        <f>IF(G803="","",G803/F803)</f>
        <v/>
      </c>
      <c r="I803" s="62">
        <f>SUM(テーブル9[[#This Row],[五大]:[工場材]])</f>
        <v/>
      </c>
      <c r="J803" s="65" t="n"/>
      <c r="K803" s="65" t="n"/>
      <c r="L803" s="65" t="n"/>
      <c r="M803" s="65" t="n"/>
      <c r="N803" s="65" t="n"/>
      <c r="O803" s="65" t="n"/>
      <c r="P803" s="65" t="n"/>
      <c r="Q803" s="65" t="n"/>
      <c r="R803" s="65" t="n"/>
      <c r="S803" s="65" t="n"/>
      <c r="T803" s="65" t="n"/>
      <c r="U803" s="65" t="n"/>
      <c r="V803" s="65" t="n"/>
      <c r="W803" s="65" t="n"/>
      <c r="X803" s="66" t="n"/>
      <c r="Y803" s="65" t="n"/>
      <c r="Z803" s="65" t="n"/>
      <c r="AA803" s="65" t="n"/>
      <c r="AB803" s="65" t="n"/>
      <c r="AC803" s="65" t="n"/>
      <c r="AD803" s="65" t="n"/>
      <c r="AE803" s="65" t="n"/>
      <c r="AF803" s="65" t="n"/>
      <c r="AG803" s="65" t="n"/>
      <c r="AH803" s="65" t="n"/>
      <c r="AI803" s="65" t="n"/>
      <c r="AJ803" s="65" t="n"/>
      <c r="AK803" s="65" t="n"/>
      <c r="AL803" s="65" t="n"/>
      <c r="AM803" s="65" t="n"/>
      <c r="AN803" s="65" t="n"/>
      <c r="AO803" s="65" t="n"/>
      <c r="AP803" s="65" t="n"/>
      <c r="AQ803" s="65" t="n"/>
      <c r="AR803" s="65" t="n"/>
      <c r="AS803" s="65" t="n"/>
      <c r="AT803" s="65" t="n"/>
      <c r="AU803" s="65" t="n"/>
      <c r="AV803" s="65" t="n"/>
      <c r="AW803" s="65" t="n"/>
      <c r="AX803" s="65" t="n"/>
      <c r="AY803" s="65" t="n"/>
      <c r="AZ803" s="65" t="n"/>
      <c r="BA803" s="65" t="n"/>
      <c r="BB803" s="65" t="n"/>
      <c r="BC803" s="65" t="n"/>
      <c r="BD803" s="65" t="n"/>
      <c r="BE803" s="65" t="n"/>
      <c r="BF803" s="65" t="n"/>
      <c r="BG803" s="65" t="n"/>
    </row>
    <row r="804">
      <c r="F804" s="68" t="n"/>
      <c r="G804" s="68">
        <f>IF(B804="","",F804-I804 )</f>
        <v/>
      </c>
      <c r="H804" s="5">
        <f>IF(G804="","",G804/F804)</f>
        <v/>
      </c>
      <c r="I804" s="62">
        <f>SUM(テーブル9[[#This Row],[五大]:[工場材]])</f>
        <v/>
      </c>
      <c r="J804" s="65" t="n"/>
      <c r="K804" s="65" t="n"/>
      <c r="L804" s="65" t="n"/>
      <c r="M804" s="65" t="n"/>
      <c r="N804" s="65" t="n"/>
      <c r="O804" s="65" t="n"/>
      <c r="P804" s="65" t="n"/>
      <c r="Q804" s="65" t="n"/>
      <c r="R804" s="65" t="n"/>
      <c r="S804" s="65" t="n"/>
      <c r="T804" s="65" t="n"/>
      <c r="U804" s="65" t="n"/>
      <c r="V804" s="65" t="n"/>
      <c r="W804" s="65" t="n"/>
      <c r="X804" s="66" t="n"/>
      <c r="Y804" s="65" t="n"/>
      <c r="Z804" s="65" t="n"/>
      <c r="AA804" s="65" t="n"/>
      <c r="AB804" s="65" t="n"/>
      <c r="AC804" s="65" t="n"/>
      <c r="AD804" s="65" t="n"/>
      <c r="AE804" s="65" t="n"/>
      <c r="AF804" s="65" t="n"/>
      <c r="AG804" s="65" t="n"/>
      <c r="AH804" s="65" t="n"/>
      <c r="AI804" s="65" t="n"/>
      <c r="AJ804" s="65" t="n"/>
      <c r="AK804" s="65" t="n"/>
      <c r="AL804" s="65" t="n"/>
      <c r="AM804" s="65" t="n"/>
      <c r="AN804" s="65" t="n"/>
      <c r="AO804" s="65" t="n"/>
      <c r="AP804" s="65" t="n"/>
      <c r="AQ804" s="65" t="n"/>
      <c r="AR804" s="65" t="n"/>
      <c r="AS804" s="65" t="n"/>
      <c r="AT804" s="65" t="n"/>
      <c r="AU804" s="65" t="n"/>
      <c r="AV804" s="65" t="n"/>
      <c r="AW804" s="65" t="n"/>
      <c r="AX804" s="65" t="n"/>
      <c r="AY804" s="65" t="n"/>
      <c r="AZ804" s="65" t="n"/>
      <c r="BA804" s="65" t="n"/>
      <c r="BB804" s="65" t="n"/>
      <c r="BC804" s="65" t="n"/>
      <c r="BD804" s="65" t="n"/>
      <c r="BE804" s="65" t="n"/>
      <c r="BF804" s="65" t="n"/>
      <c r="BG804" s="65" t="n"/>
    </row>
    <row r="805">
      <c r="F805" s="68" t="n"/>
      <c r="G805" s="68">
        <f>IF(B805="","",F805-I805 )</f>
        <v/>
      </c>
      <c r="H805" s="5">
        <f>IF(G805="","",G805/F805)</f>
        <v/>
      </c>
      <c r="I805" s="62">
        <f>SUM(テーブル9[[#This Row],[五大]:[工場材]])</f>
        <v/>
      </c>
      <c r="J805" s="65" t="n"/>
      <c r="K805" s="65" t="n"/>
      <c r="L805" s="65" t="n"/>
      <c r="M805" s="65" t="n"/>
      <c r="N805" s="65" t="n"/>
      <c r="O805" s="65" t="n"/>
      <c r="P805" s="65" t="n"/>
      <c r="Q805" s="65" t="n"/>
      <c r="R805" s="65" t="n"/>
      <c r="S805" s="65" t="n"/>
      <c r="T805" s="65" t="n"/>
      <c r="U805" s="65" t="n"/>
      <c r="V805" s="65" t="n"/>
      <c r="W805" s="65" t="n"/>
      <c r="X805" s="66" t="n"/>
      <c r="Y805" s="65" t="n"/>
      <c r="Z805" s="65" t="n"/>
      <c r="AA805" s="65" t="n"/>
      <c r="AB805" s="65" t="n"/>
      <c r="AC805" s="65" t="n"/>
      <c r="AD805" s="65" t="n"/>
      <c r="AE805" s="65" t="n"/>
      <c r="AF805" s="65" t="n"/>
      <c r="AG805" s="65" t="n"/>
      <c r="AH805" s="65" t="n"/>
      <c r="AI805" s="65" t="n"/>
      <c r="AJ805" s="65" t="n"/>
      <c r="AK805" s="65" t="n"/>
      <c r="AL805" s="65" t="n"/>
      <c r="AM805" s="65" t="n"/>
      <c r="AN805" s="65" t="n"/>
      <c r="AO805" s="65" t="n"/>
      <c r="AP805" s="65" t="n"/>
      <c r="AQ805" s="65" t="n"/>
      <c r="AR805" s="65" t="n"/>
      <c r="AS805" s="65" t="n"/>
      <c r="AT805" s="65" t="n"/>
      <c r="AU805" s="65" t="n"/>
      <c r="AV805" s="65" t="n"/>
      <c r="AW805" s="65" t="n"/>
      <c r="AX805" s="65" t="n"/>
      <c r="AY805" s="65" t="n"/>
      <c r="AZ805" s="65" t="n"/>
      <c r="BA805" s="65" t="n"/>
      <c r="BB805" s="65" t="n"/>
      <c r="BC805" s="65" t="n"/>
      <c r="BD805" s="65" t="n"/>
      <c r="BE805" s="65" t="n"/>
      <c r="BF805" s="65" t="n"/>
      <c r="BG805" s="65" t="n"/>
    </row>
    <row r="806">
      <c r="F806" s="68" t="n"/>
      <c r="G806" s="68">
        <f>IF(B806="","",F806-I806 )</f>
        <v/>
      </c>
      <c r="H806" s="5">
        <f>IF(G806="","",G806/F806)</f>
        <v/>
      </c>
      <c r="I806" s="62">
        <f>SUM(テーブル9[[#This Row],[五大]:[工場材]])</f>
        <v/>
      </c>
      <c r="J806" s="65" t="n"/>
      <c r="K806" s="65" t="n"/>
      <c r="L806" s="65" t="n"/>
      <c r="M806" s="65" t="n"/>
      <c r="N806" s="65" t="n"/>
      <c r="O806" s="65" t="n"/>
      <c r="P806" s="65" t="n"/>
      <c r="Q806" s="65" t="n"/>
      <c r="R806" s="65" t="n"/>
      <c r="S806" s="65" t="n"/>
      <c r="T806" s="65" t="n"/>
      <c r="U806" s="65" t="n"/>
      <c r="V806" s="65" t="n"/>
      <c r="W806" s="65" t="n"/>
      <c r="X806" s="66" t="n"/>
      <c r="Y806" s="65" t="n"/>
      <c r="Z806" s="65" t="n"/>
      <c r="AA806" s="65" t="n"/>
      <c r="AB806" s="65" t="n"/>
      <c r="AC806" s="65" t="n"/>
      <c r="AD806" s="65" t="n"/>
      <c r="AE806" s="65" t="n"/>
      <c r="AF806" s="65" t="n"/>
      <c r="AG806" s="65" t="n"/>
      <c r="AH806" s="65" t="n"/>
      <c r="AI806" s="65" t="n"/>
      <c r="AJ806" s="65" t="n"/>
      <c r="AK806" s="65" t="n"/>
      <c r="AL806" s="65" t="n"/>
      <c r="AM806" s="65" t="n"/>
      <c r="AN806" s="65" t="n"/>
      <c r="AO806" s="65" t="n"/>
      <c r="AP806" s="65" t="n"/>
      <c r="AQ806" s="65" t="n"/>
      <c r="AR806" s="65" t="n"/>
      <c r="AS806" s="65" t="n"/>
      <c r="AT806" s="65" t="n"/>
      <c r="AU806" s="65" t="n"/>
      <c r="AV806" s="65" t="n"/>
      <c r="AW806" s="65" t="n"/>
      <c r="AX806" s="65" t="n"/>
      <c r="AY806" s="65" t="n"/>
      <c r="AZ806" s="65" t="n"/>
      <c r="BA806" s="65" t="n"/>
      <c r="BB806" s="65" t="n"/>
      <c r="BC806" s="65" t="n"/>
      <c r="BD806" s="65" t="n"/>
      <c r="BE806" s="65" t="n"/>
      <c r="BF806" s="65" t="n"/>
      <c r="BG806" s="65" t="n"/>
    </row>
    <row r="807">
      <c r="F807" s="68" t="n"/>
      <c r="G807" s="68">
        <f>IF(B807="","",F807-I807 )</f>
        <v/>
      </c>
      <c r="H807" s="5">
        <f>IF(G807="","",G807/F807)</f>
        <v/>
      </c>
      <c r="I807" s="62">
        <f>SUM(テーブル9[[#This Row],[五大]:[工場材]])</f>
        <v/>
      </c>
      <c r="J807" s="65" t="n"/>
      <c r="K807" s="65" t="n"/>
      <c r="L807" s="65" t="n"/>
      <c r="M807" s="65" t="n"/>
      <c r="N807" s="65" t="n"/>
      <c r="O807" s="65" t="n"/>
      <c r="P807" s="65" t="n"/>
      <c r="Q807" s="65" t="n"/>
      <c r="R807" s="65" t="n"/>
      <c r="S807" s="65" t="n"/>
      <c r="T807" s="65" t="n"/>
      <c r="U807" s="65" t="n"/>
      <c r="V807" s="65" t="n"/>
      <c r="W807" s="65" t="n"/>
      <c r="X807" s="66" t="n"/>
      <c r="Y807" s="65" t="n"/>
      <c r="Z807" s="65" t="n"/>
      <c r="AA807" s="65" t="n"/>
      <c r="AB807" s="65" t="n"/>
      <c r="AC807" s="65" t="n"/>
      <c r="AD807" s="65" t="n"/>
      <c r="AE807" s="65" t="n"/>
      <c r="AF807" s="65" t="n"/>
      <c r="AG807" s="65" t="n"/>
      <c r="AH807" s="65" t="n"/>
      <c r="AI807" s="65" t="n"/>
      <c r="AJ807" s="65" t="n"/>
      <c r="AK807" s="65" t="n"/>
      <c r="AL807" s="65" t="n"/>
      <c r="AM807" s="65" t="n"/>
      <c r="AN807" s="65" t="n"/>
      <c r="AO807" s="65" t="n"/>
      <c r="AP807" s="65" t="n"/>
      <c r="AQ807" s="65" t="n"/>
      <c r="AR807" s="65" t="n"/>
      <c r="AS807" s="65" t="n"/>
      <c r="AT807" s="65" t="n"/>
      <c r="AU807" s="65" t="n"/>
      <c r="AV807" s="65" t="n"/>
      <c r="AW807" s="65" t="n"/>
      <c r="AX807" s="65" t="n"/>
      <c r="AY807" s="65" t="n"/>
      <c r="AZ807" s="65" t="n"/>
      <c r="BA807" s="65" t="n"/>
      <c r="BB807" s="65" t="n"/>
      <c r="BC807" s="65" t="n"/>
      <c r="BD807" s="65" t="n"/>
      <c r="BE807" s="65" t="n"/>
      <c r="BF807" s="65" t="n"/>
      <c r="BG807" s="65" t="n"/>
    </row>
    <row r="808">
      <c r="F808" s="68" t="n"/>
      <c r="G808" s="68">
        <f>IF(B808="","",F808-I808 )</f>
        <v/>
      </c>
      <c r="H808" s="5">
        <f>IF(G808="","",G808/F808)</f>
        <v/>
      </c>
      <c r="I808" s="62">
        <f>SUM(テーブル9[[#This Row],[五大]:[工場材]])</f>
        <v/>
      </c>
      <c r="J808" s="65" t="n"/>
      <c r="K808" s="65" t="n"/>
      <c r="L808" s="65" t="n"/>
      <c r="M808" s="65" t="n"/>
      <c r="N808" s="65" t="n"/>
      <c r="O808" s="65" t="n"/>
      <c r="P808" s="65" t="n"/>
      <c r="Q808" s="65" t="n"/>
      <c r="R808" s="65" t="n"/>
      <c r="S808" s="65" t="n"/>
      <c r="T808" s="65" t="n"/>
      <c r="U808" s="65" t="n"/>
      <c r="V808" s="65" t="n"/>
      <c r="W808" s="65" t="n"/>
      <c r="X808" s="66" t="n"/>
      <c r="Y808" s="65" t="n"/>
      <c r="Z808" s="65" t="n"/>
      <c r="AA808" s="65" t="n"/>
      <c r="AB808" s="65" t="n"/>
      <c r="AC808" s="65" t="n"/>
      <c r="AD808" s="65" t="n"/>
      <c r="AE808" s="65" t="n"/>
      <c r="AF808" s="65" t="n"/>
      <c r="AG808" s="65" t="n"/>
      <c r="AH808" s="65" t="n"/>
      <c r="AI808" s="65" t="n"/>
      <c r="AJ808" s="65" t="n"/>
      <c r="AK808" s="65" t="n"/>
      <c r="AL808" s="65" t="n"/>
      <c r="AM808" s="65" t="n"/>
      <c r="AN808" s="65" t="n"/>
      <c r="AO808" s="65" t="n"/>
      <c r="AP808" s="65" t="n"/>
      <c r="AQ808" s="65" t="n"/>
      <c r="AR808" s="65" t="n"/>
      <c r="AS808" s="65" t="n"/>
      <c r="AT808" s="65" t="n"/>
      <c r="AU808" s="65" t="n"/>
      <c r="AV808" s="65" t="n"/>
      <c r="AW808" s="65" t="n"/>
      <c r="AX808" s="65" t="n"/>
      <c r="AY808" s="65" t="n"/>
      <c r="AZ808" s="65" t="n"/>
      <c r="BA808" s="65" t="n"/>
      <c r="BB808" s="65" t="n"/>
      <c r="BC808" s="65" t="n"/>
      <c r="BD808" s="65" t="n"/>
      <c r="BE808" s="65" t="n"/>
      <c r="BF808" s="65" t="n"/>
      <c r="BG808" s="65" t="n"/>
    </row>
    <row r="809">
      <c r="F809" s="68" t="n"/>
      <c r="G809" s="68">
        <f>IF(B809="","",F809-I809 )</f>
        <v/>
      </c>
      <c r="H809" s="5">
        <f>IF(G809="","",G809/F809)</f>
        <v/>
      </c>
      <c r="I809" s="62">
        <f>SUM(テーブル9[[#This Row],[五大]:[工場材]])</f>
        <v/>
      </c>
      <c r="J809" s="65" t="n"/>
      <c r="K809" s="65" t="n"/>
      <c r="L809" s="65" t="n"/>
      <c r="M809" s="65" t="n"/>
      <c r="N809" s="65" t="n"/>
      <c r="O809" s="65" t="n"/>
      <c r="P809" s="65" t="n"/>
      <c r="Q809" s="65" t="n"/>
      <c r="R809" s="65" t="n"/>
      <c r="S809" s="65" t="n"/>
      <c r="T809" s="65" t="n"/>
      <c r="U809" s="65" t="n"/>
      <c r="V809" s="65" t="n"/>
      <c r="W809" s="65" t="n"/>
      <c r="X809" s="66" t="n"/>
      <c r="Y809" s="65" t="n"/>
      <c r="Z809" s="65" t="n"/>
      <c r="AA809" s="65" t="n"/>
      <c r="AB809" s="65" t="n"/>
      <c r="AC809" s="65" t="n"/>
      <c r="AD809" s="65" t="n"/>
      <c r="AE809" s="65" t="n"/>
      <c r="AF809" s="65" t="n"/>
      <c r="AG809" s="65" t="n"/>
      <c r="AH809" s="65" t="n"/>
      <c r="AI809" s="65" t="n"/>
      <c r="AJ809" s="65" t="n"/>
      <c r="AK809" s="65" t="n"/>
      <c r="AL809" s="65" t="n"/>
      <c r="AM809" s="65" t="n"/>
      <c r="AN809" s="65" t="n"/>
      <c r="AO809" s="65" t="n"/>
      <c r="AP809" s="65" t="n"/>
      <c r="AQ809" s="65" t="n"/>
      <c r="AR809" s="65" t="n"/>
      <c r="AS809" s="65" t="n"/>
      <c r="AT809" s="65" t="n"/>
      <c r="AU809" s="65" t="n"/>
      <c r="AV809" s="65" t="n"/>
      <c r="AW809" s="65" t="n"/>
      <c r="AX809" s="65" t="n"/>
      <c r="AY809" s="65" t="n"/>
      <c r="AZ809" s="65" t="n"/>
      <c r="BA809" s="65" t="n"/>
      <c r="BB809" s="65" t="n"/>
      <c r="BC809" s="65" t="n"/>
      <c r="BD809" s="65" t="n"/>
      <c r="BE809" s="65" t="n"/>
      <c r="BF809" s="65" t="n"/>
      <c r="BG809" s="65" t="n"/>
    </row>
    <row r="810">
      <c r="F810" s="68" t="n"/>
      <c r="G810" s="68">
        <f>IF(B810="","",F810-I810 )</f>
        <v/>
      </c>
      <c r="H810" s="5">
        <f>IF(G810="","",G810/F810)</f>
        <v/>
      </c>
      <c r="I810" s="62">
        <f>SUM(テーブル9[[#This Row],[五大]:[工場材]])</f>
        <v/>
      </c>
      <c r="J810" s="65" t="n"/>
      <c r="K810" s="65" t="n"/>
      <c r="L810" s="65" t="n"/>
      <c r="M810" s="65" t="n"/>
      <c r="N810" s="65" t="n"/>
      <c r="O810" s="65" t="n"/>
      <c r="P810" s="65" t="n"/>
      <c r="Q810" s="65" t="n"/>
      <c r="R810" s="65" t="n"/>
      <c r="S810" s="65" t="n"/>
      <c r="T810" s="65" t="n"/>
      <c r="U810" s="65" t="n"/>
      <c r="V810" s="65" t="n"/>
      <c r="W810" s="65" t="n"/>
      <c r="X810" s="66" t="n"/>
      <c r="Y810" s="65" t="n"/>
      <c r="Z810" s="65" t="n"/>
      <c r="AA810" s="65" t="n"/>
      <c r="AB810" s="65" t="n"/>
      <c r="AC810" s="65" t="n"/>
      <c r="AD810" s="65" t="n"/>
      <c r="AE810" s="65" t="n"/>
      <c r="AF810" s="65" t="n"/>
      <c r="AG810" s="65" t="n"/>
      <c r="AH810" s="65" t="n"/>
      <c r="AI810" s="65" t="n"/>
      <c r="AJ810" s="65" t="n"/>
      <c r="AK810" s="65" t="n"/>
      <c r="AL810" s="65" t="n"/>
      <c r="AM810" s="65" t="n"/>
      <c r="AN810" s="65" t="n"/>
      <c r="AO810" s="65" t="n"/>
      <c r="AP810" s="65" t="n"/>
      <c r="AQ810" s="65" t="n"/>
      <c r="AR810" s="65" t="n"/>
      <c r="AS810" s="65" t="n"/>
      <c r="AT810" s="65" t="n"/>
      <c r="AU810" s="65" t="n"/>
      <c r="AV810" s="65" t="n"/>
      <c r="AW810" s="65" t="n"/>
      <c r="AX810" s="65" t="n"/>
      <c r="AY810" s="65" t="n"/>
      <c r="AZ810" s="65" t="n"/>
      <c r="BA810" s="65" t="n"/>
      <c r="BB810" s="65" t="n"/>
      <c r="BC810" s="65" t="n"/>
      <c r="BD810" s="65" t="n"/>
      <c r="BE810" s="65" t="n"/>
      <c r="BF810" s="65" t="n"/>
      <c r="BG810" s="65" t="n"/>
    </row>
    <row r="811">
      <c r="F811" s="68" t="n"/>
      <c r="G811" s="68">
        <f>IF(B811="","",F811-I811 )</f>
        <v/>
      </c>
      <c r="H811" s="5">
        <f>IF(G811="","",G811/F811)</f>
        <v/>
      </c>
      <c r="I811" s="62">
        <f>SUM(テーブル9[[#This Row],[五大]:[工場材]])</f>
        <v/>
      </c>
      <c r="J811" s="65" t="n"/>
      <c r="K811" s="65" t="n"/>
      <c r="L811" s="65" t="n"/>
      <c r="M811" s="65" t="n"/>
      <c r="N811" s="65" t="n"/>
      <c r="O811" s="65" t="n"/>
      <c r="P811" s="65" t="n"/>
      <c r="Q811" s="65" t="n"/>
      <c r="R811" s="65" t="n"/>
      <c r="S811" s="65" t="n"/>
      <c r="T811" s="65" t="n"/>
      <c r="U811" s="65" t="n"/>
      <c r="V811" s="65" t="n"/>
      <c r="W811" s="65" t="n"/>
      <c r="X811" s="66" t="n"/>
      <c r="Y811" s="65" t="n"/>
      <c r="Z811" s="65" t="n"/>
      <c r="AA811" s="65" t="n"/>
      <c r="AB811" s="65" t="n"/>
      <c r="AC811" s="65" t="n"/>
      <c r="AD811" s="65" t="n"/>
      <c r="AE811" s="65" t="n"/>
      <c r="AF811" s="65" t="n"/>
      <c r="AG811" s="65" t="n"/>
      <c r="AH811" s="65" t="n"/>
      <c r="AI811" s="65" t="n"/>
      <c r="AJ811" s="65" t="n"/>
      <c r="AK811" s="65" t="n"/>
      <c r="AL811" s="65" t="n"/>
      <c r="AM811" s="65" t="n"/>
      <c r="AN811" s="65" t="n"/>
      <c r="AO811" s="65" t="n"/>
      <c r="AP811" s="65" t="n"/>
      <c r="AQ811" s="65" t="n"/>
      <c r="AR811" s="65" t="n"/>
      <c r="AS811" s="65" t="n"/>
      <c r="AT811" s="65" t="n"/>
      <c r="AU811" s="65" t="n"/>
      <c r="AV811" s="65" t="n"/>
      <c r="AW811" s="65" t="n"/>
      <c r="AX811" s="65" t="n"/>
      <c r="AY811" s="65" t="n"/>
      <c r="AZ811" s="65" t="n"/>
      <c r="BA811" s="65" t="n"/>
      <c r="BB811" s="65" t="n"/>
      <c r="BC811" s="65" t="n"/>
      <c r="BD811" s="65" t="n"/>
      <c r="BE811" s="65" t="n"/>
      <c r="BF811" s="65" t="n"/>
      <c r="BG811" s="65" t="n"/>
    </row>
    <row r="812">
      <c r="F812" s="68" t="n"/>
      <c r="G812" s="68">
        <f>IF(B812="","",F812-I812 )</f>
        <v/>
      </c>
      <c r="H812" s="5">
        <f>IF(G812="","",G812/F812)</f>
        <v/>
      </c>
      <c r="I812" s="62">
        <f>SUM(テーブル9[[#This Row],[五大]:[工場材]])</f>
        <v/>
      </c>
      <c r="J812" s="65" t="n"/>
      <c r="K812" s="65" t="n"/>
      <c r="L812" s="65" t="n"/>
      <c r="M812" s="65" t="n"/>
      <c r="N812" s="65" t="n"/>
      <c r="O812" s="65" t="n"/>
      <c r="P812" s="65" t="n"/>
      <c r="Q812" s="65" t="n"/>
      <c r="R812" s="65" t="n"/>
      <c r="S812" s="65" t="n"/>
      <c r="T812" s="65" t="n"/>
      <c r="U812" s="65" t="n"/>
      <c r="V812" s="65" t="n"/>
      <c r="W812" s="65" t="n"/>
      <c r="X812" s="66" t="n"/>
      <c r="Y812" s="65" t="n"/>
      <c r="Z812" s="65" t="n"/>
      <c r="AA812" s="65" t="n"/>
      <c r="AB812" s="65" t="n"/>
      <c r="AC812" s="65" t="n"/>
      <c r="AD812" s="65" t="n"/>
      <c r="AE812" s="65" t="n"/>
      <c r="AF812" s="65" t="n"/>
      <c r="AG812" s="65" t="n"/>
      <c r="AH812" s="65" t="n"/>
      <c r="AI812" s="65" t="n"/>
      <c r="AJ812" s="65" t="n"/>
      <c r="AK812" s="65" t="n"/>
      <c r="AL812" s="65" t="n"/>
      <c r="AM812" s="65" t="n"/>
      <c r="AN812" s="65" t="n"/>
      <c r="AO812" s="65" t="n"/>
      <c r="AP812" s="65" t="n"/>
      <c r="AQ812" s="65" t="n"/>
      <c r="AR812" s="65" t="n"/>
      <c r="AS812" s="65" t="n"/>
      <c r="AT812" s="65" t="n"/>
      <c r="AU812" s="65" t="n"/>
      <c r="AV812" s="65" t="n"/>
      <c r="AW812" s="65" t="n"/>
      <c r="AX812" s="65" t="n"/>
      <c r="AY812" s="65" t="n"/>
      <c r="AZ812" s="65" t="n"/>
      <c r="BA812" s="65" t="n"/>
      <c r="BB812" s="65" t="n"/>
      <c r="BC812" s="65" t="n"/>
      <c r="BD812" s="65" t="n"/>
      <c r="BE812" s="65" t="n"/>
      <c r="BF812" s="65" t="n"/>
      <c r="BG812" s="65" t="n"/>
    </row>
    <row r="813">
      <c r="F813" s="68" t="n"/>
      <c r="G813" s="68">
        <f>IF(B813="","",F813-I813 )</f>
        <v/>
      </c>
      <c r="H813" s="5">
        <f>IF(G813="","",G813/F813)</f>
        <v/>
      </c>
      <c r="I813" s="62">
        <f>SUM(テーブル9[[#This Row],[五大]:[工場材]])</f>
        <v/>
      </c>
      <c r="J813" s="65" t="n"/>
      <c r="K813" s="65" t="n"/>
      <c r="L813" s="65" t="n"/>
      <c r="M813" s="65" t="n"/>
      <c r="N813" s="65" t="n"/>
      <c r="O813" s="65" t="n"/>
      <c r="P813" s="65" t="n"/>
      <c r="Q813" s="65" t="n"/>
      <c r="R813" s="65" t="n"/>
      <c r="S813" s="65" t="n"/>
      <c r="T813" s="65" t="n"/>
      <c r="U813" s="65" t="n"/>
      <c r="V813" s="65" t="n"/>
      <c r="W813" s="65" t="n"/>
      <c r="X813" s="66" t="n"/>
      <c r="Y813" s="65" t="n"/>
      <c r="Z813" s="65" t="n"/>
      <c r="AA813" s="65" t="n"/>
      <c r="AB813" s="65" t="n"/>
      <c r="AC813" s="65" t="n"/>
      <c r="AD813" s="65" t="n"/>
      <c r="AE813" s="65" t="n"/>
      <c r="AF813" s="65" t="n"/>
      <c r="AG813" s="65" t="n"/>
      <c r="AH813" s="65" t="n"/>
      <c r="AI813" s="65" t="n"/>
      <c r="AJ813" s="65" t="n"/>
      <c r="AK813" s="65" t="n"/>
      <c r="AL813" s="65" t="n"/>
      <c r="AM813" s="65" t="n"/>
      <c r="AN813" s="65" t="n"/>
      <c r="AO813" s="65" t="n"/>
      <c r="AP813" s="65" t="n"/>
      <c r="AQ813" s="65" t="n"/>
      <c r="AR813" s="65" t="n"/>
      <c r="AS813" s="65" t="n"/>
      <c r="AT813" s="65" t="n"/>
      <c r="AU813" s="65" t="n"/>
      <c r="AV813" s="65" t="n"/>
      <c r="AW813" s="65" t="n"/>
      <c r="AX813" s="65" t="n"/>
      <c r="AY813" s="65" t="n"/>
      <c r="AZ813" s="65" t="n"/>
      <c r="BA813" s="65" t="n"/>
      <c r="BB813" s="65" t="n"/>
      <c r="BC813" s="65" t="n"/>
      <c r="BD813" s="65" t="n"/>
      <c r="BE813" s="65" t="n"/>
      <c r="BF813" s="65" t="n"/>
      <c r="BG813" s="65" t="n"/>
    </row>
    <row r="814">
      <c r="F814" s="68" t="n"/>
      <c r="G814" s="68">
        <f>IF(B814="","",F814-I814 )</f>
        <v/>
      </c>
      <c r="H814" s="5">
        <f>IF(G814="","",G814/F814)</f>
        <v/>
      </c>
      <c r="I814" s="62">
        <f>SUM(テーブル9[[#This Row],[五大]:[工場材]])</f>
        <v/>
      </c>
      <c r="J814" s="65" t="n"/>
      <c r="K814" s="65" t="n"/>
      <c r="L814" s="65" t="n"/>
      <c r="M814" s="65" t="n"/>
      <c r="N814" s="65" t="n"/>
      <c r="O814" s="65" t="n"/>
      <c r="P814" s="65" t="n"/>
      <c r="Q814" s="65" t="n"/>
      <c r="R814" s="65" t="n"/>
      <c r="S814" s="65" t="n"/>
      <c r="T814" s="65" t="n"/>
      <c r="U814" s="65" t="n"/>
      <c r="V814" s="65" t="n"/>
      <c r="W814" s="65" t="n"/>
      <c r="X814" s="66" t="n"/>
      <c r="Y814" s="65" t="n"/>
      <c r="Z814" s="65" t="n"/>
      <c r="AA814" s="65" t="n"/>
      <c r="AB814" s="65" t="n"/>
      <c r="AC814" s="65" t="n"/>
      <c r="AD814" s="65" t="n"/>
      <c r="AE814" s="65" t="n"/>
      <c r="AF814" s="65" t="n"/>
      <c r="AG814" s="65" t="n"/>
      <c r="AH814" s="65" t="n"/>
      <c r="AI814" s="65" t="n"/>
      <c r="AJ814" s="65" t="n"/>
      <c r="AK814" s="65" t="n"/>
      <c r="AL814" s="65" t="n"/>
      <c r="AM814" s="65" t="n"/>
      <c r="AN814" s="65" t="n"/>
      <c r="AO814" s="65" t="n"/>
      <c r="AP814" s="65" t="n"/>
      <c r="AQ814" s="65" t="n"/>
      <c r="AR814" s="65" t="n"/>
      <c r="AS814" s="65" t="n"/>
      <c r="AT814" s="65" t="n"/>
      <c r="AU814" s="65" t="n"/>
      <c r="AV814" s="65" t="n"/>
      <c r="AW814" s="65" t="n"/>
      <c r="AX814" s="65" t="n"/>
      <c r="AY814" s="65" t="n"/>
      <c r="AZ814" s="65" t="n"/>
      <c r="BA814" s="65" t="n"/>
      <c r="BB814" s="65" t="n"/>
      <c r="BC814" s="65" t="n"/>
      <c r="BD814" s="65" t="n"/>
      <c r="BE814" s="65" t="n"/>
      <c r="BF814" s="65" t="n"/>
      <c r="BG814" s="65" t="n"/>
    </row>
    <row r="815">
      <c r="F815" s="68" t="n"/>
      <c r="G815" s="68">
        <f>IF(B815="","",F815-I815 )</f>
        <v/>
      </c>
      <c r="H815" s="5">
        <f>IF(G815="","",G815/F815)</f>
        <v/>
      </c>
      <c r="I815" s="62">
        <f>SUM(テーブル9[[#This Row],[五大]:[工場材]])</f>
        <v/>
      </c>
      <c r="J815" s="65" t="n"/>
      <c r="K815" s="65" t="n"/>
      <c r="L815" s="65" t="n"/>
      <c r="M815" s="65" t="n"/>
      <c r="N815" s="65" t="n"/>
      <c r="O815" s="65" t="n"/>
      <c r="P815" s="65" t="n"/>
      <c r="Q815" s="65" t="n"/>
      <c r="R815" s="65" t="n"/>
      <c r="S815" s="65" t="n"/>
      <c r="T815" s="65" t="n"/>
      <c r="U815" s="65" t="n"/>
      <c r="V815" s="65" t="n"/>
      <c r="W815" s="65" t="n"/>
      <c r="X815" s="66" t="n"/>
      <c r="Y815" s="65" t="n"/>
      <c r="Z815" s="65" t="n"/>
      <c r="AA815" s="65" t="n"/>
      <c r="AB815" s="65" t="n"/>
      <c r="AC815" s="65" t="n"/>
      <c r="AD815" s="65" t="n"/>
      <c r="AE815" s="65" t="n"/>
      <c r="AF815" s="65" t="n"/>
      <c r="AG815" s="65" t="n"/>
      <c r="AH815" s="65" t="n"/>
      <c r="AI815" s="65" t="n"/>
      <c r="AJ815" s="65" t="n"/>
      <c r="AK815" s="65" t="n"/>
      <c r="AL815" s="65" t="n"/>
      <c r="AM815" s="65" t="n"/>
      <c r="AN815" s="65" t="n"/>
      <c r="AO815" s="65" t="n"/>
      <c r="AP815" s="65" t="n"/>
      <c r="AQ815" s="65" t="n"/>
      <c r="AR815" s="65" t="n"/>
      <c r="AS815" s="65" t="n"/>
      <c r="AT815" s="65" t="n"/>
      <c r="AU815" s="65" t="n"/>
      <c r="AV815" s="65" t="n"/>
      <c r="AW815" s="65" t="n"/>
      <c r="AX815" s="65" t="n"/>
      <c r="AY815" s="65" t="n"/>
      <c r="AZ815" s="65" t="n"/>
      <c r="BA815" s="65" t="n"/>
      <c r="BB815" s="65" t="n"/>
      <c r="BC815" s="65" t="n"/>
      <c r="BD815" s="65" t="n"/>
      <c r="BE815" s="65" t="n"/>
      <c r="BF815" s="65" t="n"/>
      <c r="BG815" s="65" t="n"/>
    </row>
    <row r="816">
      <c r="F816" s="68" t="n"/>
      <c r="G816" s="68">
        <f>IF(B816="","",F816-I816 )</f>
        <v/>
      </c>
      <c r="H816" s="5">
        <f>IF(G816="","",G816/F816)</f>
        <v/>
      </c>
      <c r="I816" s="62">
        <f>SUM(テーブル9[[#This Row],[五大]:[工場材]])</f>
        <v/>
      </c>
      <c r="J816" s="65" t="n"/>
      <c r="K816" s="65" t="n"/>
      <c r="L816" s="65" t="n"/>
      <c r="M816" s="65" t="n"/>
      <c r="N816" s="65" t="n"/>
      <c r="O816" s="65" t="n"/>
      <c r="P816" s="65" t="n"/>
      <c r="Q816" s="65" t="n"/>
      <c r="R816" s="65" t="n"/>
      <c r="S816" s="65" t="n"/>
      <c r="T816" s="65" t="n"/>
      <c r="U816" s="65" t="n"/>
      <c r="V816" s="65" t="n"/>
      <c r="W816" s="65" t="n"/>
      <c r="X816" s="66" t="n"/>
      <c r="Y816" s="65" t="n"/>
      <c r="Z816" s="65" t="n"/>
      <c r="AA816" s="65" t="n"/>
      <c r="AB816" s="65" t="n"/>
      <c r="AC816" s="65" t="n"/>
      <c r="AD816" s="65" t="n"/>
      <c r="AE816" s="65" t="n"/>
      <c r="AF816" s="65" t="n"/>
      <c r="AG816" s="65" t="n"/>
      <c r="AH816" s="65" t="n"/>
      <c r="AI816" s="65" t="n"/>
      <c r="AJ816" s="65" t="n"/>
      <c r="AK816" s="65" t="n"/>
      <c r="AL816" s="65" t="n"/>
      <c r="AM816" s="65" t="n"/>
      <c r="AN816" s="65" t="n"/>
      <c r="AO816" s="65" t="n"/>
      <c r="AP816" s="65" t="n"/>
      <c r="AQ816" s="65" t="n"/>
      <c r="AR816" s="65" t="n"/>
      <c r="AS816" s="65" t="n"/>
      <c r="AT816" s="65" t="n"/>
      <c r="AU816" s="65" t="n"/>
      <c r="AV816" s="65" t="n"/>
      <c r="AW816" s="65" t="n"/>
      <c r="AX816" s="65" t="n"/>
      <c r="AY816" s="65" t="n"/>
      <c r="AZ816" s="65" t="n"/>
      <c r="BA816" s="65" t="n"/>
      <c r="BB816" s="65" t="n"/>
      <c r="BC816" s="65" t="n"/>
      <c r="BD816" s="65" t="n"/>
      <c r="BE816" s="65" t="n"/>
      <c r="BF816" s="65" t="n"/>
      <c r="BG816" s="65" t="n"/>
    </row>
    <row r="817">
      <c r="F817" s="68" t="n"/>
      <c r="G817" s="68">
        <f>IF(B817="","",F817-I817 )</f>
        <v/>
      </c>
      <c r="H817" s="5">
        <f>IF(G817="","",G817/F817)</f>
        <v/>
      </c>
      <c r="I817" s="62">
        <f>SUM(テーブル9[[#This Row],[五大]:[工場材]])</f>
        <v/>
      </c>
      <c r="J817" s="65" t="n"/>
      <c r="K817" s="65" t="n"/>
      <c r="L817" s="65" t="n"/>
      <c r="M817" s="65" t="n"/>
      <c r="N817" s="65" t="n"/>
      <c r="O817" s="65" t="n"/>
      <c r="P817" s="65" t="n"/>
      <c r="Q817" s="65" t="n"/>
      <c r="R817" s="65" t="n"/>
      <c r="S817" s="65" t="n"/>
      <c r="T817" s="65" t="n"/>
      <c r="U817" s="65" t="n"/>
      <c r="V817" s="65" t="n"/>
      <c r="W817" s="65" t="n"/>
      <c r="X817" s="66" t="n"/>
      <c r="Y817" s="65" t="n"/>
      <c r="Z817" s="65" t="n"/>
      <c r="AA817" s="65" t="n"/>
      <c r="AB817" s="65" t="n"/>
      <c r="AC817" s="65" t="n"/>
      <c r="AD817" s="65" t="n"/>
      <c r="AE817" s="65" t="n"/>
      <c r="AF817" s="65" t="n"/>
      <c r="AG817" s="65" t="n"/>
      <c r="AH817" s="65" t="n"/>
      <c r="AI817" s="65" t="n"/>
      <c r="AJ817" s="65" t="n"/>
      <c r="AK817" s="65" t="n"/>
      <c r="AL817" s="65" t="n"/>
      <c r="AM817" s="65" t="n"/>
      <c r="AN817" s="65" t="n"/>
      <c r="AO817" s="65" t="n"/>
      <c r="AP817" s="65" t="n"/>
      <c r="AQ817" s="65" t="n"/>
      <c r="AR817" s="65" t="n"/>
      <c r="AS817" s="65" t="n"/>
      <c r="AT817" s="65" t="n"/>
      <c r="AU817" s="65" t="n"/>
      <c r="AV817" s="65" t="n"/>
      <c r="AW817" s="65" t="n"/>
      <c r="AX817" s="65" t="n"/>
      <c r="AY817" s="65" t="n"/>
      <c r="AZ817" s="65" t="n"/>
      <c r="BA817" s="65" t="n"/>
      <c r="BB817" s="65" t="n"/>
      <c r="BC817" s="65" t="n"/>
      <c r="BD817" s="65" t="n"/>
      <c r="BE817" s="65" t="n"/>
      <c r="BF817" s="65" t="n"/>
      <c r="BG817" s="65" t="n"/>
    </row>
    <row r="818">
      <c r="F818" s="68" t="n"/>
      <c r="G818" s="68">
        <f>IF(B818="","",F818-I818 )</f>
        <v/>
      </c>
      <c r="H818" s="5">
        <f>IF(G818="","",G818/F818)</f>
        <v/>
      </c>
      <c r="I818" s="62">
        <f>SUM(テーブル9[[#This Row],[五大]:[工場材]])</f>
        <v/>
      </c>
      <c r="J818" s="65" t="n"/>
      <c r="K818" s="65" t="n"/>
      <c r="L818" s="65" t="n"/>
      <c r="M818" s="65" t="n"/>
      <c r="N818" s="65" t="n"/>
      <c r="O818" s="65" t="n"/>
      <c r="P818" s="65" t="n"/>
      <c r="Q818" s="65" t="n"/>
      <c r="R818" s="65" t="n"/>
      <c r="S818" s="65" t="n"/>
      <c r="T818" s="65" t="n"/>
      <c r="U818" s="65" t="n"/>
      <c r="V818" s="65" t="n"/>
      <c r="W818" s="65" t="n"/>
      <c r="X818" s="66" t="n"/>
      <c r="Y818" s="65" t="n"/>
      <c r="Z818" s="65" t="n"/>
      <c r="AA818" s="65" t="n"/>
      <c r="AB818" s="65" t="n"/>
      <c r="AC818" s="65" t="n"/>
      <c r="AD818" s="65" t="n"/>
      <c r="AE818" s="65" t="n"/>
      <c r="AF818" s="65" t="n"/>
      <c r="AG818" s="65" t="n"/>
      <c r="AH818" s="65" t="n"/>
      <c r="AI818" s="65" t="n"/>
      <c r="AJ818" s="65" t="n"/>
      <c r="AK818" s="65" t="n"/>
      <c r="AL818" s="65" t="n"/>
      <c r="AM818" s="65" t="n"/>
      <c r="AN818" s="65" t="n"/>
      <c r="AO818" s="65" t="n"/>
      <c r="AP818" s="65" t="n"/>
      <c r="AQ818" s="65" t="n"/>
      <c r="AR818" s="65" t="n"/>
      <c r="AS818" s="65" t="n"/>
      <c r="AT818" s="65" t="n"/>
      <c r="AU818" s="65" t="n"/>
      <c r="AV818" s="65" t="n"/>
      <c r="AW818" s="65" t="n"/>
      <c r="AX818" s="65" t="n"/>
      <c r="AY818" s="65" t="n"/>
      <c r="AZ818" s="65" t="n"/>
      <c r="BA818" s="65" t="n"/>
      <c r="BB818" s="65" t="n"/>
      <c r="BC818" s="65" t="n"/>
      <c r="BD818" s="65" t="n"/>
      <c r="BE818" s="65" t="n"/>
      <c r="BF818" s="65" t="n"/>
      <c r="BG818" s="65" t="n"/>
    </row>
    <row r="819">
      <c r="F819" s="68" t="n"/>
      <c r="G819" s="68">
        <f>IF(B819="","",F819-I819 )</f>
        <v/>
      </c>
      <c r="H819" s="5">
        <f>IF(G819="","",G819/F819)</f>
        <v/>
      </c>
      <c r="I819" s="62">
        <f>SUM(テーブル9[[#This Row],[五大]:[工場材]])</f>
        <v/>
      </c>
      <c r="J819" s="65" t="n"/>
      <c r="K819" s="65" t="n"/>
      <c r="L819" s="65" t="n"/>
      <c r="M819" s="65" t="n"/>
      <c r="N819" s="65" t="n"/>
      <c r="O819" s="65" t="n"/>
      <c r="P819" s="65" t="n"/>
      <c r="Q819" s="65" t="n"/>
      <c r="R819" s="65" t="n"/>
      <c r="S819" s="65" t="n"/>
      <c r="T819" s="65" t="n"/>
      <c r="U819" s="65" t="n"/>
      <c r="V819" s="65" t="n"/>
      <c r="W819" s="65" t="n"/>
      <c r="X819" s="66" t="n"/>
      <c r="Y819" s="65" t="n"/>
      <c r="Z819" s="65" t="n"/>
      <c r="AA819" s="65" t="n"/>
      <c r="AB819" s="65" t="n"/>
      <c r="AC819" s="65" t="n"/>
      <c r="AD819" s="65" t="n"/>
      <c r="AE819" s="65" t="n"/>
      <c r="AF819" s="65" t="n"/>
      <c r="AG819" s="65" t="n"/>
      <c r="AH819" s="65" t="n"/>
      <c r="AI819" s="65" t="n"/>
      <c r="AJ819" s="65" t="n"/>
      <c r="AK819" s="65" t="n"/>
      <c r="AL819" s="65" t="n"/>
      <c r="AM819" s="65" t="n"/>
      <c r="AN819" s="65" t="n"/>
      <c r="AO819" s="65" t="n"/>
      <c r="AP819" s="65" t="n"/>
      <c r="AQ819" s="65" t="n"/>
      <c r="AR819" s="65" t="n"/>
      <c r="AS819" s="65" t="n"/>
      <c r="AT819" s="65" t="n"/>
      <c r="AU819" s="65" t="n"/>
      <c r="AV819" s="65" t="n"/>
      <c r="AW819" s="65" t="n"/>
      <c r="AX819" s="65" t="n"/>
      <c r="AY819" s="65" t="n"/>
      <c r="AZ819" s="65" t="n"/>
      <c r="BA819" s="65" t="n"/>
      <c r="BB819" s="65" t="n"/>
      <c r="BC819" s="65" t="n"/>
      <c r="BD819" s="65" t="n"/>
      <c r="BE819" s="65" t="n"/>
      <c r="BF819" s="65" t="n"/>
      <c r="BG819" s="65" t="n"/>
    </row>
    <row r="820">
      <c r="F820" s="68" t="n"/>
      <c r="G820" s="68">
        <f>IF(B820="","",F820-I820 )</f>
        <v/>
      </c>
      <c r="H820" s="5">
        <f>IF(G820="","",G820/F820)</f>
        <v/>
      </c>
      <c r="I820" s="62">
        <f>SUM(テーブル9[[#This Row],[五大]:[工場材]])</f>
        <v/>
      </c>
      <c r="J820" s="65" t="n"/>
      <c r="K820" s="65" t="n"/>
      <c r="L820" s="65" t="n"/>
      <c r="M820" s="65" t="n"/>
      <c r="N820" s="65" t="n"/>
      <c r="O820" s="65" t="n"/>
      <c r="P820" s="65" t="n"/>
      <c r="Q820" s="65" t="n"/>
      <c r="R820" s="65" t="n"/>
      <c r="S820" s="65" t="n"/>
      <c r="T820" s="65" t="n"/>
      <c r="U820" s="65" t="n"/>
      <c r="V820" s="65" t="n"/>
      <c r="W820" s="65" t="n"/>
      <c r="X820" s="66" t="n"/>
      <c r="Y820" s="65" t="n"/>
      <c r="Z820" s="65" t="n"/>
      <c r="AA820" s="65" t="n"/>
      <c r="AB820" s="65" t="n"/>
      <c r="AC820" s="65" t="n"/>
      <c r="AD820" s="65" t="n"/>
      <c r="AE820" s="65" t="n"/>
      <c r="AF820" s="65" t="n"/>
      <c r="AG820" s="65" t="n"/>
      <c r="AH820" s="65" t="n"/>
      <c r="AI820" s="65" t="n"/>
      <c r="AJ820" s="65" t="n"/>
      <c r="AK820" s="65" t="n"/>
      <c r="AL820" s="65" t="n"/>
      <c r="AM820" s="65" t="n"/>
      <c r="AN820" s="65" t="n"/>
      <c r="AO820" s="65" t="n"/>
      <c r="AP820" s="65" t="n"/>
      <c r="AQ820" s="65" t="n"/>
      <c r="AR820" s="65" t="n"/>
      <c r="AS820" s="65" t="n"/>
      <c r="AT820" s="65" t="n"/>
      <c r="AU820" s="65" t="n"/>
      <c r="AV820" s="65" t="n"/>
      <c r="AW820" s="65" t="n"/>
      <c r="AX820" s="65" t="n"/>
      <c r="AY820" s="65" t="n"/>
      <c r="AZ820" s="65" t="n"/>
      <c r="BA820" s="65" t="n"/>
      <c r="BB820" s="65" t="n"/>
      <c r="BC820" s="65" t="n"/>
      <c r="BD820" s="65" t="n"/>
      <c r="BE820" s="65" t="n"/>
      <c r="BF820" s="65" t="n"/>
      <c r="BG820" s="65" t="n"/>
    </row>
    <row r="821">
      <c r="F821" s="68" t="n"/>
      <c r="G821" s="68">
        <f>IF(B821="","",F821-I821 )</f>
        <v/>
      </c>
      <c r="H821" s="5">
        <f>IF(G821="","",G821/F821)</f>
        <v/>
      </c>
      <c r="I821" s="62">
        <f>SUM(テーブル9[[#This Row],[五大]:[工場材]])</f>
        <v/>
      </c>
      <c r="J821" s="65" t="n"/>
      <c r="K821" s="65" t="n"/>
      <c r="L821" s="65" t="n"/>
      <c r="M821" s="65" t="n"/>
      <c r="N821" s="65" t="n"/>
      <c r="O821" s="65" t="n"/>
      <c r="P821" s="65" t="n"/>
      <c r="Q821" s="65" t="n"/>
      <c r="R821" s="65" t="n"/>
      <c r="S821" s="65" t="n"/>
      <c r="T821" s="65" t="n"/>
      <c r="U821" s="65" t="n"/>
      <c r="V821" s="65" t="n"/>
      <c r="W821" s="65" t="n"/>
      <c r="X821" s="66" t="n"/>
      <c r="Y821" s="65" t="n"/>
      <c r="Z821" s="65" t="n"/>
      <c r="AA821" s="65" t="n"/>
      <c r="AB821" s="65" t="n"/>
      <c r="AC821" s="65" t="n"/>
      <c r="AD821" s="65" t="n"/>
      <c r="AE821" s="65" t="n"/>
      <c r="AF821" s="65" t="n"/>
      <c r="AG821" s="65" t="n"/>
      <c r="AH821" s="65" t="n"/>
      <c r="AI821" s="65" t="n"/>
      <c r="AJ821" s="65" t="n"/>
      <c r="AK821" s="65" t="n"/>
      <c r="AL821" s="65" t="n"/>
      <c r="AM821" s="65" t="n"/>
      <c r="AN821" s="65" t="n"/>
      <c r="AO821" s="65" t="n"/>
      <c r="AP821" s="65" t="n"/>
      <c r="AQ821" s="65" t="n"/>
      <c r="AR821" s="65" t="n"/>
      <c r="AS821" s="65" t="n"/>
      <c r="AT821" s="65" t="n"/>
      <c r="AU821" s="65" t="n"/>
      <c r="AV821" s="65" t="n"/>
      <c r="AW821" s="65" t="n"/>
      <c r="AX821" s="65" t="n"/>
      <c r="AY821" s="65" t="n"/>
      <c r="AZ821" s="65" t="n"/>
      <c r="BA821" s="65" t="n"/>
      <c r="BB821" s="65" t="n"/>
      <c r="BC821" s="65" t="n"/>
      <c r="BD821" s="65" t="n"/>
      <c r="BE821" s="65" t="n"/>
      <c r="BF821" s="65" t="n"/>
      <c r="BG821" s="65" t="n"/>
    </row>
    <row r="822">
      <c r="F822" s="68" t="n"/>
      <c r="G822" s="68">
        <f>IF(B822="","",F822-I822 )</f>
        <v/>
      </c>
      <c r="H822" s="5">
        <f>IF(G822="","",G822/F822)</f>
        <v/>
      </c>
      <c r="I822" s="62">
        <f>SUM(テーブル9[[#This Row],[五大]:[工場材]])</f>
        <v/>
      </c>
      <c r="J822" s="65" t="n"/>
      <c r="K822" s="65" t="n"/>
      <c r="L822" s="65" t="n"/>
      <c r="M822" s="65" t="n"/>
      <c r="N822" s="65" t="n"/>
      <c r="O822" s="65" t="n"/>
      <c r="P822" s="65" t="n"/>
      <c r="Q822" s="65" t="n"/>
      <c r="R822" s="65" t="n"/>
      <c r="S822" s="65" t="n"/>
      <c r="T822" s="65" t="n"/>
      <c r="U822" s="65" t="n"/>
      <c r="V822" s="65" t="n"/>
      <c r="W822" s="65" t="n"/>
      <c r="X822" s="66" t="n"/>
      <c r="Y822" s="65" t="n"/>
      <c r="Z822" s="65" t="n"/>
      <c r="AA822" s="65" t="n"/>
      <c r="AB822" s="65" t="n"/>
      <c r="AC822" s="65" t="n"/>
      <c r="AD822" s="65" t="n"/>
      <c r="AE822" s="65" t="n"/>
      <c r="AF822" s="65" t="n"/>
      <c r="AG822" s="65" t="n"/>
      <c r="AH822" s="65" t="n"/>
      <c r="AI822" s="65" t="n"/>
      <c r="AJ822" s="65" t="n"/>
      <c r="AK822" s="65" t="n"/>
      <c r="AL822" s="65" t="n"/>
      <c r="AM822" s="65" t="n"/>
      <c r="AN822" s="65" t="n"/>
      <c r="AO822" s="65" t="n"/>
      <c r="AP822" s="65" t="n"/>
      <c r="AQ822" s="65" t="n"/>
      <c r="AR822" s="65" t="n"/>
      <c r="AS822" s="65" t="n"/>
      <c r="AT822" s="65" t="n"/>
      <c r="AU822" s="65" t="n"/>
      <c r="AV822" s="65" t="n"/>
      <c r="AW822" s="65" t="n"/>
      <c r="AX822" s="65" t="n"/>
      <c r="AY822" s="65" t="n"/>
      <c r="AZ822" s="65" t="n"/>
      <c r="BA822" s="65" t="n"/>
      <c r="BB822" s="65" t="n"/>
      <c r="BC822" s="65" t="n"/>
      <c r="BD822" s="65" t="n"/>
      <c r="BE822" s="65" t="n"/>
      <c r="BF822" s="65" t="n"/>
      <c r="BG822" s="65" t="n"/>
    </row>
    <row r="823">
      <c r="F823" s="68" t="n"/>
      <c r="G823" s="68">
        <f>IF(B823="","",F823-I823 )</f>
        <v/>
      </c>
      <c r="H823" s="5">
        <f>IF(G823="","",G823/F823)</f>
        <v/>
      </c>
      <c r="I823" s="62">
        <f>SUM(テーブル9[[#This Row],[五大]:[工場材]])</f>
        <v/>
      </c>
      <c r="J823" s="65" t="n"/>
      <c r="K823" s="65" t="n"/>
      <c r="L823" s="65" t="n"/>
      <c r="M823" s="65" t="n"/>
      <c r="N823" s="65" t="n"/>
      <c r="O823" s="65" t="n"/>
      <c r="P823" s="65" t="n"/>
      <c r="Q823" s="65" t="n"/>
      <c r="R823" s="65" t="n"/>
      <c r="S823" s="65" t="n"/>
      <c r="T823" s="65" t="n"/>
      <c r="U823" s="65" t="n"/>
      <c r="V823" s="65" t="n"/>
      <c r="W823" s="65" t="n"/>
      <c r="X823" s="66" t="n"/>
      <c r="Y823" s="65" t="n"/>
      <c r="Z823" s="65" t="n"/>
      <c r="AA823" s="65" t="n"/>
      <c r="AB823" s="65" t="n"/>
      <c r="AC823" s="65" t="n"/>
      <c r="AD823" s="65" t="n"/>
      <c r="AE823" s="65" t="n"/>
      <c r="AF823" s="65" t="n"/>
      <c r="AG823" s="65" t="n"/>
      <c r="AH823" s="65" t="n"/>
      <c r="AI823" s="65" t="n"/>
      <c r="AJ823" s="65" t="n"/>
      <c r="AK823" s="65" t="n"/>
      <c r="AL823" s="65" t="n"/>
      <c r="AM823" s="65" t="n"/>
      <c r="AN823" s="65" t="n"/>
      <c r="AO823" s="65" t="n"/>
      <c r="AP823" s="65" t="n"/>
      <c r="AQ823" s="65" t="n"/>
      <c r="AR823" s="65" t="n"/>
      <c r="AS823" s="65" t="n"/>
      <c r="AT823" s="65" t="n"/>
      <c r="AU823" s="65" t="n"/>
      <c r="AV823" s="65" t="n"/>
      <c r="AW823" s="65" t="n"/>
      <c r="AX823" s="65" t="n"/>
      <c r="AY823" s="65" t="n"/>
      <c r="AZ823" s="65" t="n"/>
      <c r="BA823" s="65" t="n"/>
      <c r="BB823" s="65" t="n"/>
      <c r="BC823" s="65" t="n"/>
      <c r="BD823" s="65" t="n"/>
      <c r="BE823" s="65" t="n"/>
      <c r="BF823" s="65" t="n"/>
      <c r="BG823" s="65" t="n"/>
    </row>
    <row r="824">
      <c r="F824" s="68" t="n"/>
      <c r="G824" s="68">
        <f>IF(B824="","",F824-I824 )</f>
        <v/>
      </c>
      <c r="H824" s="5">
        <f>IF(G824="","",G824/F824)</f>
        <v/>
      </c>
      <c r="I824" s="62">
        <f>SUM(テーブル9[[#This Row],[五大]:[工場材]])</f>
        <v/>
      </c>
      <c r="J824" s="65" t="n"/>
      <c r="K824" s="65" t="n"/>
      <c r="L824" s="65" t="n"/>
      <c r="M824" s="65" t="n"/>
      <c r="N824" s="65" t="n"/>
      <c r="O824" s="65" t="n"/>
      <c r="P824" s="65" t="n"/>
      <c r="Q824" s="65" t="n"/>
      <c r="R824" s="65" t="n"/>
      <c r="S824" s="65" t="n"/>
      <c r="T824" s="65" t="n"/>
      <c r="U824" s="65" t="n"/>
      <c r="V824" s="65" t="n"/>
      <c r="W824" s="65" t="n"/>
      <c r="X824" s="66" t="n"/>
      <c r="Y824" s="65" t="n"/>
      <c r="Z824" s="65" t="n"/>
      <c r="AA824" s="65" t="n"/>
      <c r="AB824" s="65" t="n"/>
      <c r="AC824" s="65" t="n"/>
      <c r="AD824" s="65" t="n"/>
      <c r="AE824" s="65" t="n"/>
      <c r="AF824" s="65" t="n"/>
      <c r="AG824" s="65" t="n"/>
      <c r="AH824" s="65" t="n"/>
      <c r="AI824" s="65" t="n"/>
      <c r="AJ824" s="65" t="n"/>
      <c r="AK824" s="65" t="n"/>
      <c r="AL824" s="65" t="n"/>
      <c r="AM824" s="65" t="n"/>
      <c r="AN824" s="65" t="n"/>
      <c r="AO824" s="65" t="n"/>
      <c r="AP824" s="65" t="n"/>
      <c r="AQ824" s="65" t="n"/>
      <c r="AR824" s="65" t="n"/>
      <c r="AS824" s="65" t="n"/>
      <c r="AT824" s="65" t="n"/>
      <c r="AU824" s="65" t="n"/>
      <c r="AV824" s="65" t="n"/>
      <c r="AW824" s="65" t="n"/>
      <c r="AX824" s="65" t="n"/>
      <c r="AY824" s="65" t="n"/>
      <c r="AZ824" s="65" t="n"/>
      <c r="BA824" s="65" t="n"/>
      <c r="BB824" s="65" t="n"/>
      <c r="BC824" s="65" t="n"/>
      <c r="BD824" s="65" t="n"/>
      <c r="BE824" s="65" t="n"/>
      <c r="BF824" s="65" t="n"/>
      <c r="BG824" s="65" t="n"/>
    </row>
    <row r="825">
      <c r="F825" s="68" t="n"/>
      <c r="G825" s="68">
        <f>IF(B825="","",F825-I825 )</f>
        <v/>
      </c>
      <c r="H825" s="5">
        <f>IF(G825="","",G825/F825)</f>
        <v/>
      </c>
      <c r="I825" s="62">
        <f>SUM(テーブル9[[#This Row],[五大]:[工場材]])</f>
        <v/>
      </c>
      <c r="J825" s="65" t="n"/>
      <c r="K825" s="65" t="n"/>
      <c r="L825" s="65" t="n"/>
      <c r="M825" s="65" t="n"/>
      <c r="N825" s="65" t="n"/>
      <c r="O825" s="65" t="n"/>
      <c r="P825" s="65" t="n"/>
      <c r="Q825" s="65" t="n"/>
      <c r="R825" s="65" t="n"/>
      <c r="S825" s="65" t="n"/>
      <c r="T825" s="65" t="n"/>
      <c r="U825" s="65" t="n"/>
      <c r="V825" s="65" t="n"/>
      <c r="W825" s="65" t="n"/>
      <c r="X825" s="66" t="n"/>
      <c r="Y825" s="65" t="n"/>
      <c r="Z825" s="65" t="n"/>
      <c r="AA825" s="65" t="n"/>
      <c r="AB825" s="65" t="n"/>
      <c r="AC825" s="65" t="n"/>
      <c r="AD825" s="65" t="n"/>
      <c r="AE825" s="65" t="n"/>
      <c r="AF825" s="65" t="n"/>
      <c r="AG825" s="65" t="n"/>
      <c r="AH825" s="65" t="n"/>
      <c r="AI825" s="65" t="n"/>
      <c r="AJ825" s="65" t="n"/>
      <c r="AK825" s="65" t="n"/>
      <c r="AL825" s="65" t="n"/>
      <c r="AM825" s="65" t="n"/>
      <c r="AN825" s="65" t="n"/>
      <c r="AO825" s="65" t="n"/>
      <c r="AP825" s="65" t="n"/>
      <c r="AQ825" s="65" t="n"/>
      <c r="AR825" s="65" t="n"/>
      <c r="AS825" s="65" t="n"/>
      <c r="AT825" s="65" t="n"/>
      <c r="AU825" s="65" t="n"/>
      <c r="AV825" s="65" t="n"/>
      <c r="AW825" s="65" t="n"/>
      <c r="AX825" s="65" t="n"/>
      <c r="AY825" s="65" t="n"/>
      <c r="AZ825" s="65" t="n"/>
      <c r="BA825" s="65" t="n"/>
      <c r="BB825" s="65" t="n"/>
      <c r="BC825" s="65" t="n"/>
      <c r="BD825" s="65" t="n"/>
      <c r="BE825" s="65" t="n"/>
      <c r="BF825" s="65" t="n"/>
      <c r="BG825" s="65" t="n"/>
    </row>
    <row r="826">
      <c r="F826" s="68" t="n"/>
      <c r="G826" s="68">
        <f>IF(B826="","",F826-I826 )</f>
        <v/>
      </c>
      <c r="H826" s="5">
        <f>IF(G826="","",G826/F826)</f>
        <v/>
      </c>
      <c r="I826" s="62">
        <f>SUM(テーブル9[[#This Row],[五大]:[工場材]])</f>
        <v/>
      </c>
      <c r="J826" s="65" t="n"/>
      <c r="K826" s="65" t="n"/>
      <c r="L826" s="65" t="n"/>
      <c r="M826" s="65" t="n"/>
      <c r="N826" s="65" t="n"/>
      <c r="O826" s="65" t="n"/>
      <c r="P826" s="65" t="n"/>
      <c r="Q826" s="65" t="n"/>
      <c r="R826" s="65" t="n"/>
      <c r="S826" s="65" t="n"/>
      <c r="T826" s="65" t="n"/>
      <c r="U826" s="65" t="n"/>
      <c r="V826" s="65" t="n"/>
      <c r="W826" s="65" t="n"/>
      <c r="X826" s="66" t="n"/>
      <c r="Y826" s="65" t="n"/>
      <c r="Z826" s="65" t="n"/>
      <c r="AA826" s="65" t="n"/>
      <c r="AB826" s="65" t="n"/>
      <c r="AC826" s="65" t="n"/>
      <c r="AD826" s="65" t="n"/>
      <c r="AE826" s="65" t="n"/>
      <c r="AF826" s="65" t="n"/>
      <c r="AG826" s="65" t="n"/>
      <c r="AH826" s="65" t="n"/>
      <c r="AI826" s="65" t="n"/>
      <c r="AJ826" s="65" t="n"/>
      <c r="AK826" s="65" t="n"/>
      <c r="AL826" s="65" t="n"/>
      <c r="AM826" s="65" t="n"/>
      <c r="AN826" s="65" t="n"/>
      <c r="AO826" s="65" t="n"/>
      <c r="AP826" s="65" t="n"/>
      <c r="AQ826" s="65" t="n"/>
      <c r="AR826" s="65" t="n"/>
      <c r="AS826" s="65" t="n"/>
      <c r="AT826" s="65" t="n"/>
      <c r="AU826" s="65" t="n"/>
      <c r="AV826" s="65" t="n"/>
      <c r="AW826" s="65" t="n"/>
      <c r="AX826" s="65" t="n"/>
      <c r="AY826" s="65" t="n"/>
      <c r="AZ826" s="65" t="n"/>
      <c r="BA826" s="65" t="n"/>
      <c r="BB826" s="65" t="n"/>
      <c r="BC826" s="65" t="n"/>
      <c r="BD826" s="65" t="n"/>
      <c r="BE826" s="65" t="n"/>
      <c r="BF826" s="65" t="n"/>
      <c r="BG826" s="65" t="n"/>
    </row>
    <row r="827">
      <c r="F827" s="68" t="n"/>
      <c r="G827" s="68">
        <f>IF(B827="","",F827-I827 )</f>
        <v/>
      </c>
      <c r="H827" s="5">
        <f>IF(G827="","",G827/F827)</f>
        <v/>
      </c>
      <c r="I827" s="62">
        <f>SUM(テーブル9[[#This Row],[五大]:[工場材]])</f>
        <v/>
      </c>
      <c r="J827" s="65" t="n"/>
      <c r="K827" s="65" t="n"/>
      <c r="L827" s="65" t="n"/>
      <c r="M827" s="65" t="n"/>
      <c r="N827" s="65" t="n"/>
      <c r="O827" s="65" t="n"/>
      <c r="P827" s="65" t="n"/>
      <c r="Q827" s="65" t="n"/>
      <c r="R827" s="65" t="n"/>
      <c r="S827" s="65" t="n"/>
      <c r="T827" s="65" t="n"/>
      <c r="U827" s="65" t="n"/>
      <c r="V827" s="65" t="n"/>
      <c r="W827" s="65" t="n"/>
      <c r="X827" s="66" t="n"/>
      <c r="Y827" s="65" t="n"/>
      <c r="Z827" s="65" t="n"/>
      <c r="AA827" s="65" t="n"/>
      <c r="AB827" s="65" t="n"/>
      <c r="AC827" s="65" t="n"/>
      <c r="AD827" s="65" t="n"/>
      <c r="AE827" s="65" t="n"/>
      <c r="AF827" s="65" t="n"/>
      <c r="AG827" s="65" t="n"/>
      <c r="AH827" s="65" t="n"/>
      <c r="AI827" s="65" t="n"/>
      <c r="AJ827" s="65" t="n"/>
      <c r="AK827" s="65" t="n"/>
      <c r="AL827" s="65" t="n"/>
      <c r="AM827" s="65" t="n"/>
      <c r="AN827" s="65" t="n"/>
      <c r="AO827" s="65" t="n"/>
      <c r="AP827" s="65" t="n"/>
      <c r="AQ827" s="65" t="n"/>
      <c r="AR827" s="65" t="n"/>
      <c r="AS827" s="65" t="n"/>
      <c r="AT827" s="65" t="n"/>
      <c r="AU827" s="65" t="n"/>
      <c r="AV827" s="65" t="n"/>
      <c r="AW827" s="65" t="n"/>
      <c r="AX827" s="65" t="n"/>
      <c r="AY827" s="65" t="n"/>
      <c r="AZ827" s="65" t="n"/>
      <c r="BA827" s="65" t="n"/>
      <c r="BB827" s="65" t="n"/>
      <c r="BC827" s="65" t="n"/>
      <c r="BD827" s="65" t="n"/>
      <c r="BE827" s="65" t="n"/>
      <c r="BF827" s="65" t="n"/>
      <c r="BG827" s="65" t="n"/>
    </row>
    <row r="828">
      <c r="F828" s="68" t="n"/>
      <c r="G828" s="68">
        <f>IF(B828="","",F828-I828 )</f>
        <v/>
      </c>
      <c r="H828" s="5">
        <f>IF(G828="","",G828/F828)</f>
        <v/>
      </c>
      <c r="I828" s="62">
        <f>SUM(テーブル9[[#This Row],[五大]:[工場材]])</f>
        <v/>
      </c>
      <c r="J828" s="65" t="n"/>
      <c r="K828" s="65" t="n"/>
      <c r="L828" s="65" t="n"/>
      <c r="M828" s="65" t="n"/>
      <c r="N828" s="65" t="n"/>
      <c r="O828" s="65" t="n"/>
      <c r="P828" s="65" t="n"/>
      <c r="Q828" s="65" t="n"/>
      <c r="R828" s="65" t="n"/>
      <c r="S828" s="65" t="n"/>
      <c r="T828" s="65" t="n"/>
      <c r="U828" s="65" t="n"/>
      <c r="V828" s="65" t="n"/>
      <c r="W828" s="65" t="n"/>
      <c r="X828" s="66" t="n"/>
      <c r="Y828" s="65" t="n"/>
      <c r="Z828" s="65" t="n"/>
      <c r="AA828" s="65" t="n"/>
      <c r="AB828" s="65" t="n"/>
      <c r="AC828" s="65" t="n"/>
      <c r="AD828" s="65" t="n"/>
      <c r="AE828" s="65" t="n"/>
      <c r="AF828" s="65" t="n"/>
      <c r="AG828" s="65" t="n"/>
      <c r="AH828" s="65" t="n"/>
      <c r="AI828" s="65" t="n"/>
      <c r="AJ828" s="65" t="n"/>
      <c r="AK828" s="65" t="n"/>
      <c r="AL828" s="65" t="n"/>
      <c r="AM828" s="65" t="n"/>
      <c r="AN828" s="65" t="n"/>
      <c r="AO828" s="65" t="n"/>
      <c r="AP828" s="65" t="n"/>
      <c r="AQ828" s="65" t="n"/>
      <c r="AR828" s="65" t="n"/>
      <c r="AS828" s="65" t="n"/>
      <c r="AT828" s="65" t="n"/>
      <c r="AU828" s="65" t="n"/>
      <c r="AV828" s="65" t="n"/>
      <c r="AW828" s="65" t="n"/>
      <c r="AX828" s="65" t="n"/>
      <c r="AY828" s="65" t="n"/>
      <c r="AZ828" s="65" t="n"/>
      <c r="BA828" s="65" t="n"/>
      <c r="BB828" s="65" t="n"/>
      <c r="BC828" s="65" t="n"/>
      <c r="BD828" s="65" t="n"/>
      <c r="BE828" s="65" t="n"/>
      <c r="BF828" s="65" t="n"/>
      <c r="BG828" s="65" t="n"/>
    </row>
    <row r="829">
      <c r="F829" s="68" t="n"/>
      <c r="G829" s="68">
        <f>IF(B829="","",F829-I829 )</f>
        <v/>
      </c>
      <c r="H829" s="5">
        <f>IF(G829="","",G829/F829)</f>
        <v/>
      </c>
      <c r="I829" s="62">
        <f>SUM(テーブル9[[#This Row],[五大]:[工場材]])</f>
        <v/>
      </c>
      <c r="J829" s="65" t="n"/>
      <c r="K829" s="65" t="n"/>
      <c r="L829" s="65" t="n"/>
      <c r="M829" s="65" t="n"/>
      <c r="N829" s="65" t="n"/>
      <c r="O829" s="65" t="n"/>
      <c r="P829" s="65" t="n"/>
      <c r="Q829" s="65" t="n"/>
      <c r="R829" s="65" t="n"/>
      <c r="S829" s="65" t="n"/>
      <c r="T829" s="65" t="n"/>
      <c r="U829" s="65" t="n"/>
      <c r="V829" s="65" t="n"/>
      <c r="W829" s="65" t="n"/>
      <c r="X829" s="66" t="n"/>
      <c r="Y829" s="65" t="n"/>
      <c r="Z829" s="65" t="n"/>
      <c r="AA829" s="65" t="n"/>
      <c r="AB829" s="65" t="n"/>
      <c r="AC829" s="65" t="n"/>
      <c r="AD829" s="65" t="n"/>
      <c r="AE829" s="65" t="n"/>
      <c r="AF829" s="65" t="n"/>
      <c r="AG829" s="65" t="n"/>
      <c r="AH829" s="65" t="n"/>
      <c r="AI829" s="65" t="n"/>
      <c r="AJ829" s="65" t="n"/>
      <c r="AK829" s="65" t="n"/>
      <c r="AL829" s="65" t="n"/>
      <c r="AM829" s="65" t="n"/>
      <c r="AN829" s="65" t="n"/>
      <c r="AO829" s="65" t="n"/>
      <c r="AP829" s="65" t="n"/>
      <c r="AQ829" s="65" t="n"/>
      <c r="AR829" s="65" t="n"/>
      <c r="AS829" s="65" t="n"/>
      <c r="AT829" s="65" t="n"/>
      <c r="AU829" s="65" t="n"/>
      <c r="AV829" s="65" t="n"/>
      <c r="AW829" s="65" t="n"/>
      <c r="AX829" s="65" t="n"/>
      <c r="AY829" s="65" t="n"/>
      <c r="AZ829" s="65" t="n"/>
      <c r="BA829" s="65" t="n"/>
      <c r="BB829" s="65" t="n"/>
      <c r="BC829" s="65" t="n"/>
      <c r="BD829" s="65" t="n"/>
      <c r="BE829" s="65" t="n"/>
      <c r="BF829" s="65" t="n"/>
      <c r="BG829" s="65" t="n"/>
    </row>
    <row r="830">
      <c r="F830" s="68" t="n"/>
      <c r="G830" s="68">
        <f>IF(B830="","",F830-I830 )</f>
        <v/>
      </c>
      <c r="H830" s="5">
        <f>IF(G830="","",G830/F830)</f>
        <v/>
      </c>
      <c r="I830" s="62">
        <f>SUM(テーブル9[[#This Row],[五大]:[工場材]])</f>
        <v/>
      </c>
      <c r="J830" s="65" t="n"/>
      <c r="K830" s="65" t="n"/>
      <c r="L830" s="65" t="n"/>
      <c r="M830" s="65" t="n"/>
      <c r="N830" s="65" t="n"/>
      <c r="O830" s="65" t="n"/>
      <c r="P830" s="65" t="n"/>
      <c r="Q830" s="65" t="n"/>
      <c r="R830" s="65" t="n"/>
      <c r="S830" s="65" t="n"/>
      <c r="T830" s="65" t="n"/>
      <c r="U830" s="65" t="n"/>
      <c r="V830" s="65" t="n"/>
      <c r="W830" s="65" t="n"/>
      <c r="X830" s="66" t="n"/>
      <c r="Y830" s="65" t="n"/>
      <c r="Z830" s="65" t="n"/>
      <c r="AA830" s="65" t="n"/>
      <c r="AB830" s="65" t="n"/>
      <c r="AC830" s="65" t="n"/>
      <c r="AD830" s="65" t="n"/>
      <c r="AE830" s="65" t="n"/>
      <c r="AF830" s="65" t="n"/>
      <c r="AG830" s="65" t="n"/>
      <c r="AH830" s="65" t="n"/>
      <c r="AI830" s="65" t="n"/>
      <c r="AJ830" s="65" t="n"/>
      <c r="AK830" s="65" t="n"/>
      <c r="AL830" s="65" t="n"/>
      <c r="AM830" s="65" t="n"/>
      <c r="AN830" s="65" t="n"/>
      <c r="AO830" s="65" t="n"/>
      <c r="AP830" s="65" t="n"/>
      <c r="AQ830" s="65" t="n"/>
      <c r="AR830" s="65" t="n"/>
      <c r="AS830" s="65" t="n"/>
      <c r="AT830" s="65" t="n"/>
      <c r="AU830" s="65" t="n"/>
      <c r="AV830" s="65" t="n"/>
      <c r="AW830" s="65" t="n"/>
      <c r="AX830" s="65" t="n"/>
      <c r="AY830" s="65" t="n"/>
      <c r="AZ830" s="65" t="n"/>
      <c r="BA830" s="65" t="n"/>
      <c r="BB830" s="65" t="n"/>
      <c r="BC830" s="65" t="n"/>
      <c r="BD830" s="65" t="n"/>
      <c r="BE830" s="65" t="n"/>
      <c r="BF830" s="65" t="n"/>
      <c r="BG830" s="65" t="n"/>
    </row>
    <row r="831">
      <c r="F831" s="68" t="n"/>
      <c r="G831" s="68">
        <f>IF(B831="","",F831-I831 )</f>
        <v/>
      </c>
      <c r="H831" s="5">
        <f>IF(G831="","",G831/F831)</f>
        <v/>
      </c>
      <c r="I831" s="62">
        <f>SUM(テーブル9[[#This Row],[五大]:[工場材]])</f>
        <v/>
      </c>
      <c r="J831" s="65" t="n"/>
      <c r="K831" s="65" t="n"/>
      <c r="L831" s="65" t="n"/>
      <c r="M831" s="65" t="n"/>
      <c r="N831" s="65" t="n"/>
      <c r="O831" s="65" t="n"/>
      <c r="P831" s="65" t="n"/>
      <c r="Q831" s="65" t="n"/>
      <c r="R831" s="65" t="n"/>
      <c r="S831" s="65" t="n"/>
      <c r="T831" s="65" t="n"/>
      <c r="U831" s="65" t="n"/>
      <c r="V831" s="65" t="n"/>
      <c r="W831" s="65" t="n"/>
      <c r="X831" s="66" t="n"/>
      <c r="Y831" s="65" t="n"/>
      <c r="Z831" s="65" t="n"/>
      <c r="AA831" s="65" t="n"/>
      <c r="AB831" s="65" t="n"/>
      <c r="AC831" s="65" t="n"/>
      <c r="AD831" s="65" t="n"/>
      <c r="AE831" s="65" t="n"/>
      <c r="AF831" s="65" t="n"/>
      <c r="AG831" s="65" t="n"/>
      <c r="AH831" s="65" t="n"/>
      <c r="AI831" s="65" t="n"/>
      <c r="AJ831" s="65" t="n"/>
      <c r="AK831" s="65" t="n"/>
      <c r="AL831" s="65" t="n"/>
      <c r="AM831" s="65" t="n"/>
      <c r="AN831" s="65" t="n"/>
      <c r="AO831" s="65" t="n"/>
      <c r="AP831" s="65" t="n"/>
      <c r="AQ831" s="65" t="n"/>
      <c r="AR831" s="65" t="n"/>
      <c r="AS831" s="65" t="n"/>
      <c r="AT831" s="65" t="n"/>
      <c r="AU831" s="65" t="n"/>
      <c r="AV831" s="65" t="n"/>
      <c r="AW831" s="65" t="n"/>
      <c r="AX831" s="65" t="n"/>
      <c r="AY831" s="65" t="n"/>
      <c r="AZ831" s="65" t="n"/>
      <c r="BA831" s="65" t="n"/>
      <c r="BB831" s="65" t="n"/>
      <c r="BC831" s="65" t="n"/>
      <c r="BD831" s="65" t="n"/>
      <c r="BE831" s="65" t="n"/>
      <c r="BF831" s="65" t="n"/>
      <c r="BG831" s="65" t="n"/>
    </row>
    <row r="832">
      <c r="F832" s="68" t="n"/>
      <c r="G832" s="68">
        <f>IF(B832="","",F832-I832 )</f>
        <v/>
      </c>
      <c r="H832" s="5">
        <f>IF(G832="","",G832/F832)</f>
        <v/>
      </c>
      <c r="I832" s="62">
        <f>SUM(テーブル9[[#This Row],[五大]:[工場材]])</f>
        <v/>
      </c>
      <c r="J832" s="65" t="n"/>
      <c r="K832" s="65" t="n"/>
      <c r="L832" s="65" t="n"/>
      <c r="M832" s="65" t="n"/>
      <c r="N832" s="65" t="n"/>
      <c r="O832" s="65" t="n"/>
      <c r="P832" s="65" t="n"/>
      <c r="Q832" s="65" t="n"/>
      <c r="R832" s="65" t="n"/>
      <c r="S832" s="65" t="n"/>
      <c r="T832" s="65" t="n"/>
      <c r="U832" s="65" t="n"/>
      <c r="V832" s="65" t="n"/>
      <c r="W832" s="65" t="n"/>
      <c r="X832" s="66" t="n"/>
      <c r="Y832" s="65" t="n"/>
      <c r="Z832" s="65" t="n"/>
      <c r="AA832" s="65" t="n"/>
      <c r="AB832" s="65" t="n"/>
      <c r="AC832" s="65" t="n"/>
      <c r="AD832" s="65" t="n"/>
      <c r="AE832" s="65" t="n"/>
      <c r="AF832" s="65" t="n"/>
      <c r="AG832" s="65" t="n"/>
      <c r="AH832" s="65" t="n"/>
      <c r="AI832" s="65" t="n"/>
      <c r="AJ832" s="65" t="n"/>
      <c r="AK832" s="65" t="n"/>
      <c r="AL832" s="65" t="n"/>
      <c r="AM832" s="65" t="n"/>
      <c r="AN832" s="65" t="n"/>
      <c r="AO832" s="65" t="n"/>
      <c r="AP832" s="65" t="n"/>
      <c r="AQ832" s="65" t="n"/>
      <c r="AR832" s="65" t="n"/>
      <c r="AS832" s="65" t="n"/>
      <c r="AT832" s="65" t="n"/>
      <c r="AU832" s="65" t="n"/>
      <c r="AV832" s="65" t="n"/>
      <c r="AW832" s="65" t="n"/>
      <c r="AX832" s="65" t="n"/>
      <c r="AY832" s="65" t="n"/>
      <c r="AZ832" s="65" t="n"/>
      <c r="BA832" s="65" t="n"/>
      <c r="BB832" s="65" t="n"/>
      <c r="BC832" s="65" t="n"/>
      <c r="BD832" s="65" t="n"/>
      <c r="BE832" s="65" t="n"/>
      <c r="BF832" s="65" t="n"/>
      <c r="BG832" s="65" t="n"/>
    </row>
    <row r="833">
      <c r="F833" s="68" t="n"/>
      <c r="G833" s="68">
        <f>IF(B833="","",F833-I833 )</f>
        <v/>
      </c>
      <c r="H833" s="5">
        <f>IF(G833="","",G833/F833)</f>
        <v/>
      </c>
      <c r="I833" s="62">
        <f>SUM(テーブル9[[#This Row],[五大]:[工場材]])</f>
        <v/>
      </c>
      <c r="J833" s="65" t="n"/>
      <c r="K833" s="65" t="n"/>
      <c r="L833" s="65" t="n"/>
      <c r="M833" s="65" t="n"/>
      <c r="N833" s="65" t="n"/>
      <c r="O833" s="65" t="n"/>
      <c r="P833" s="65" t="n"/>
      <c r="Q833" s="65" t="n"/>
      <c r="R833" s="65" t="n"/>
      <c r="S833" s="65" t="n"/>
      <c r="T833" s="65" t="n"/>
      <c r="U833" s="65" t="n"/>
      <c r="V833" s="65" t="n"/>
      <c r="W833" s="65" t="n"/>
      <c r="X833" s="66" t="n"/>
      <c r="Y833" s="65" t="n"/>
      <c r="Z833" s="65" t="n"/>
      <c r="AA833" s="65" t="n"/>
      <c r="AB833" s="65" t="n"/>
      <c r="AC833" s="65" t="n"/>
      <c r="AD833" s="65" t="n"/>
      <c r="AE833" s="65" t="n"/>
      <c r="AF833" s="65" t="n"/>
      <c r="AG833" s="65" t="n"/>
      <c r="AH833" s="65" t="n"/>
      <c r="AI833" s="65" t="n"/>
      <c r="AJ833" s="65" t="n"/>
      <c r="AK833" s="65" t="n"/>
      <c r="AL833" s="65" t="n"/>
      <c r="AM833" s="65" t="n"/>
      <c r="AN833" s="65" t="n"/>
      <c r="AO833" s="65" t="n"/>
      <c r="AP833" s="65" t="n"/>
      <c r="AQ833" s="65" t="n"/>
      <c r="AR833" s="65" t="n"/>
      <c r="AS833" s="65" t="n"/>
      <c r="AT833" s="65" t="n"/>
      <c r="AU833" s="65" t="n"/>
      <c r="AV833" s="65" t="n"/>
      <c r="AW833" s="65" t="n"/>
      <c r="AX833" s="65" t="n"/>
      <c r="AY833" s="65" t="n"/>
      <c r="AZ833" s="65" t="n"/>
      <c r="BA833" s="65" t="n"/>
      <c r="BB833" s="65" t="n"/>
      <c r="BC833" s="65" t="n"/>
      <c r="BD833" s="65" t="n"/>
      <c r="BE833" s="65" t="n"/>
      <c r="BF833" s="65" t="n"/>
      <c r="BG833" s="65" t="n"/>
    </row>
    <row r="834">
      <c r="F834" s="68" t="n"/>
      <c r="G834" s="68">
        <f>IF(B834="","",F834-I834 )</f>
        <v/>
      </c>
      <c r="H834" s="5">
        <f>IF(G834="","",G834/F834)</f>
        <v/>
      </c>
      <c r="I834" s="62">
        <f>SUM(テーブル9[[#This Row],[五大]:[工場材]])</f>
        <v/>
      </c>
      <c r="J834" s="65" t="n"/>
      <c r="K834" s="65" t="n"/>
      <c r="L834" s="65" t="n"/>
      <c r="M834" s="65" t="n"/>
      <c r="N834" s="65" t="n"/>
      <c r="O834" s="65" t="n"/>
      <c r="P834" s="65" t="n"/>
      <c r="Q834" s="65" t="n"/>
      <c r="R834" s="65" t="n"/>
      <c r="S834" s="65" t="n"/>
      <c r="T834" s="65" t="n"/>
      <c r="U834" s="65" t="n"/>
      <c r="V834" s="65" t="n"/>
      <c r="W834" s="65" t="n"/>
      <c r="X834" s="66" t="n"/>
      <c r="Y834" s="65" t="n"/>
      <c r="Z834" s="65" t="n"/>
      <c r="AA834" s="65" t="n"/>
      <c r="AB834" s="65" t="n"/>
      <c r="AC834" s="65" t="n"/>
      <c r="AD834" s="65" t="n"/>
      <c r="AE834" s="65" t="n"/>
      <c r="AF834" s="65" t="n"/>
      <c r="AG834" s="65" t="n"/>
      <c r="AH834" s="65" t="n"/>
      <c r="AI834" s="65" t="n"/>
      <c r="AJ834" s="65" t="n"/>
      <c r="AK834" s="65" t="n"/>
      <c r="AL834" s="65" t="n"/>
      <c r="AM834" s="65" t="n"/>
      <c r="AN834" s="65" t="n"/>
      <c r="AO834" s="65" t="n"/>
      <c r="AP834" s="65" t="n"/>
      <c r="AQ834" s="65" t="n"/>
      <c r="AR834" s="65" t="n"/>
      <c r="AS834" s="65" t="n"/>
      <c r="AT834" s="65" t="n"/>
      <c r="AU834" s="65" t="n"/>
      <c r="AV834" s="65" t="n"/>
      <c r="AW834" s="65" t="n"/>
      <c r="AX834" s="65" t="n"/>
      <c r="AY834" s="65" t="n"/>
      <c r="AZ834" s="65" t="n"/>
      <c r="BA834" s="65" t="n"/>
      <c r="BB834" s="65" t="n"/>
      <c r="BC834" s="65" t="n"/>
      <c r="BD834" s="65" t="n"/>
      <c r="BE834" s="65" t="n"/>
      <c r="BF834" s="65" t="n"/>
      <c r="BG834" s="65" t="n"/>
    </row>
    <row r="835">
      <c r="F835" s="68" t="n"/>
      <c r="G835" s="68">
        <f>IF(B835="","",F835-I835 )</f>
        <v/>
      </c>
      <c r="H835" s="5">
        <f>IF(G835="","",G835/F835)</f>
        <v/>
      </c>
      <c r="I835" s="62">
        <f>SUM(テーブル9[[#This Row],[五大]:[工場材]])</f>
        <v/>
      </c>
      <c r="J835" s="65" t="n"/>
      <c r="K835" s="65" t="n"/>
      <c r="L835" s="65" t="n"/>
      <c r="M835" s="65" t="n"/>
      <c r="N835" s="65" t="n"/>
      <c r="O835" s="65" t="n"/>
      <c r="P835" s="65" t="n"/>
      <c r="Q835" s="65" t="n"/>
      <c r="R835" s="65" t="n"/>
      <c r="S835" s="65" t="n"/>
      <c r="T835" s="65" t="n"/>
      <c r="U835" s="65" t="n"/>
      <c r="V835" s="65" t="n"/>
      <c r="W835" s="65" t="n"/>
      <c r="X835" s="66" t="n"/>
      <c r="Y835" s="65" t="n"/>
      <c r="Z835" s="65" t="n"/>
      <c r="AA835" s="65" t="n"/>
      <c r="AB835" s="65" t="n"/>
      <c r="AC835" s="65" t="n"/>
      <c r="AD835" s="65" t="n"/>
      <c r="AE835" s="65" t="n"/>
      <c r="AF835" s="65" t="n"/>
      <c r="AG835" s="65" t="n"/>
      <c r="AH835" s="65" t="n"/>
      <c r="AI835" s="65" t="n"/>
      <c r="AJ835" s="65" t="n"/>
      <c r="AK835" s="65" t="n"/>
      <c r="AL835" s="65" t="n"/>
      <c r="AM835" s="65" t="n"/>
      <c r="AN835" s="65" t="n"/>
      <c r="AO835" s="65" t="n"/>
      <c r="AP835" s="65" t="n"/>
      <c r="AQ835" s="65" t="n"/>
      <c r="AR835" s="65" t="n"/>
      <c r="AS835" s="65" t="n"/>
      <c r="AT835" s="65" t="n"/>
      <c r="AU835" s="65" t="n"/>
      <c r="AV835" s="65" t="n"/>
      <c r="AW835" s="65" t="n"/>
      <c r="AX835" s="65" t="n"/>
      <c r="AY835" s="65" t="n"/>
      <c r="AZ835" s="65" t="n"/>
      <c r="BA835" s="65" t="n"/>
      <c r="BB835" s="65" t="n"/>
      <c r="BC835" s="65" t="n"/>
      <c r="BD835" s="65" t="n"/>
      <c r="BE835" s="65" t="n"/>
      <c r="BF835" s="65" t="n"/>
      <c r="BG835" s="65" t="n"/>
    </row>
    <row r="836">
      <c r="F836" s="68" t="n"/>
      <c r="G836" s="68">
        <f>IF(B836="","",F836-I836 )</f>
        <v/>
      </c>
      <c r="H836" s="5">
        <f>IF(G836="","",G836/F836)</f>
        <v/>
      </c>
      <c r="I836" s="62">
        <f>SUM(テーブル9[[#This Row],[五大]:[工場材]])</f>
        <v/>
      </c>
      <c r="J836" s="65" t="n"/>
      <c r="K836" s="65" t="n"/>
      <c r="L836" s="65" t="n"/>
      <c r="M836" s="65" t="n"/>
      <c r="N836" s="65" t="n"/>
      <c r="O836" s="65" t="n"/>
      <c r="P836" s="65" t="n"/>
      <c r="Q836" s="65" t="n"/>
      <c r="R836" s="65" t="n"/>
      <c r="S836" s="65" t="n"/>
      <c r="T836" s="65" t="n"/>
      <c r="U836" s="65" t="n"/>
      <c r="V836" s="65" t="n"/>
      <c r="W836" s="65" t="n"/>
      <c r="X836" s="66" t="n"/>
      <c r="Y836" s="65" t="n"/>
      <c r="Z836" s="65" t="n"/>
      <c r="AA836" s="65" t="n"/>
      <c r="AB836" s="65" t="n"/>
      <c r="AC836" s="65" t="n"/>
      <c r="AD836" s="65" t="n"/>
      <c r="AE836" s="65" t="n"/>
      <c r="AF836" s="65" t="n"/>
      <c r="AG836" s="65" t="n"/>
      <c r="AH836" s="65" t="n"/>
      <c r="AI836" s="65" t="n"/>
      <c r="AJ836" s="65" t="n"/>
      <c r="AK836" s="65" t="n"/>
      <c r="AL836" s="65" t="n"/>
      <c r="AM836" s="65" t="n"/>
      <c r="AN836" s="65" t="n"/>
      <c r="AO836" s="65" t="n"/>
      <c r="AP836" s="65" t="n"/>
      <c r="AQ836" s="65" t="n"/>
      <c r="AR836" s="65" t="n"/>
      <c r="AS836" s="65" t="n"/>
      <c r="AT836" s="65" t="n"/>
      <c r="AU836" s="65" t="n"/>
      <c r="AV836" s="65" t="n"/>
      <c r="AW836" s="65" t="n"/>
      <c r="AX836" s="65" t="n"/>
      <c r="AY836" s="65" t="n"/>
      <c r="AZ836" s="65" t="n"/>
      <c r="BA836" s="65" t="n"/>
      <c r="BB836" s="65" t="n"/>
      <c r="BC836" s="65" t="n"/>
      <c r="BD836" s="65" t="n"/>
      <c r="BE836" s="65" t="n"/>
      <c r="BF836" s="65" t="n"/>
      <c r="BG836" s="65" t="n"/>
    </row>
    <row r="837">
      <c r="F837" s="68" t="n"/>
      <c r="G837" s="68">
        <f>IF(B837="","",F837-I837 )</f>
        <v/>
      </c>
      <c r="H837" s="5">
        <f>IF(G837="","",G837/F837)</f>
        <v/>
      </c>
      <c r="I837" s="62">
        <f>SUM(テーブル9[[#This Row],[五大]:[工場材]])</f>
        <v/>
      </c>
      <c r="J837" s="65" t="n"/>
      <c r="K837" s="65" t="n"/>
      <c r="L837" s="65" t="n"/>
      <c r="M837" s="65" t="n"/>
      <c r="N837" s="65" t="n"/>
      <c r="O837" s="65" t="n"/>
      <c r="P837" s="65" t="n"/>
      <c r="Q837" s="65" t="n"/>
      <c r="R837" s="65" t="n"/>
      <c r="S837" s="65" t="n"/>
      <c r="T837" s="65" t="n"/>
      <c r="U837" s="65" t="n"/>
      <c r="V837" s="65" t="n"/>
      <c r="W837" s="65" t="n"/>
      <c r="X837" s="66" t="n"/>
      <c r="Y837" s="65" t="n"/>
      <c r="Z837" s="65" t="n"/>
      <c r="AA837" s="65" t="n"/>
      <c r="AB837" s="65" t="n"/>
      <c r="AC837" s="65" t="n"/>
      <c r="AD837" s="65" t="n"/>
      <c r="AE837" s="65" t="n"/>
      <c r="AF837" s="65" t="n"/>
      <c r="AG837" s="65" t="n"/>
      <c r="AH837" s="65" t="n"/>
      <c r="AI837" s="65" t="n"/>
      <c r="AJ837" s="65" t="n"/>
      <c r="AK837" s="65" t="n"/>
      <c r="AL837" s="65" t="n"/>
      <c r="AM837" s="65" t="n"/>
      <c r="AN837" s="65" t="n"/>
      <c r="AO837" s="65" t="n"/>
      <c r="AP837" s="65" t="n"/>
      <c r="AQ837" s="65" t="n"/>
      <c r="AR837" s="65" t="n"/>
      <c r="AS837" s="65" t="n"/>
      <c r="AT837" s="65" t="n"/>
      <c r="AU837" s="65" t="n"/>
      <c r="AV837" s="65" t="n"/>
      <c r="AW837" s="65" t="n"/>
      <c r="AX837" s="65" t="n"/>
      <c r="AY837" s="65" t="n"/>
      <c r="AZ837" s="65" t="n"/>
      <c r="BA837" s="65" t="n"/>
      <c r="BB837" s="65" t="n"/>
      <c r="BC837" s="65" t="n"/>
      <c r="BD837" s="65" t="n"/>
      <c r="BE837" s="65" t="n"/>
      <c r="BF837" s="65" t="n"/>
      <c r="BG837" s="65" t="n"/>
    </row>
    <row r="838">
      <c r="F838" s="68" t="n"/>
      <c r="G838" s="68">
        <f>IF(B838="","",F838-I838 )</f>
        <v/>
      </c>
      <c r="H838" s="5">
        <f>IF(G838="","",G838/F838)</f>
        <v/>
      </c>
      <c r="I838" s="62">
        <f>SUM(テーブル9[[#This Row],[五大]:[工場材]])</f>
        <v/>
      </c>
      <c r="J838" s="65" t="n"/>
      <c r="K838" s="65" t="n"/>
      <c r="L838" s="65" t="n"/>
      <c r="M838" s="65" t="n"/>
      <c r="N838" s="65" t="n"/>
      <c r="O838" s="65" t="n"/>
      <c r="P838" s="65" t="n"/>
      <c r="Q838" s="65" t="n"/>
      <c r="R838" s="65" t="n"/>
      <c r="S838" s="65" t="n"/>
      <c r="T838" s="65" t="n"/>
      <c r="U838" s="65" t="n"/>
      <c r="V838" s="65" t="n"/>
      <c r="W838" s="65" t="n"/>
      <c r="X838" s="66" t="n"/>
      <c r="Y838" s="65" t="n"/>
      <c r="Z838" s="65" t="n"/>
      <c r="AA838" s="65" t="n"/>
      <c r="AB838" s="65" t="n"/>
      <c r="AC838" s="65" t="n"/>
      <c r="AD838" s="65" t="n"/>
      <c r="AE838" s="65" t="n"/>
      <c r="AF838" s="65" t="n"/>
      <c r="AG838" s="65" t="n"/>
      <c r="AH838" s="65" t="n"/>
      <c r="AI838" s="65" t="n"/>
      <c r="AJ838" s="65" t="n"/>
      <c r="AK838" s="65" t="n"/>
      <c r="AL838" s="65" t="n"/>
      <c r="AM838" s="65" t="n"/>
      <c r="AN838" s="65" t="n"/>
      <c r="AO838" s="65" t="n"/>
      <c r="AP838" s="65" t="n"/>
      <c r="AQ838" s="65" t="n"/>
      <c r="AR838" s="65" t="n"/>
      <c r="AS838" s="65" t="n"/>
      <c r="AT838" s="65" t="n"/>
      <c r="AU838" s="65" t="n"/>
      <c r="AV838" s="65" t="n"/>
      <c r="AW838" s="65" t="n"/>
      <c r="AX838" s="65" t="n"/>
      <c r="AY838" s="65" t="n"/>
      <c r="AZ838" s="65" t="n"/>
      <c r="BA838" s="65" t="n"/>
      <c r="BB838" s="65" t="n"/>
      <c r="BC838" s="65" t="n"/>
      <c r="BD838" s="65" t="n"/>
      <c r="BE838" s="65" t="n"/>
      <c r="BF838" s="65" t="n"/>
      <c r="BG838" s="65" t="n"/>
    </row>
    <row r="839">
      <c r="F839" s="68" t="n"/>
      <c r="G839" s="68">
        <f>IF(B839="","",F839-I839 )</f>
        <v/>
      </c>
      <c r="H839" s="5">
        <f>IF(G839="","",G839/F839)</f>
        <v/>
      </c>
      <c r="I839" s="62">
        <f>SUM(テーブル9[[#This Row],[五大]:[工場材]])</f>
        <v/>
      </c>
      <c r="J839" s="65" t="n"/>
      <c r="K839" s="65" t="n"/>
      <c r="L839" s="65" t="n"/>
      <c r="M839" s="65" t="n"/>
      <c r="N839" s="65" t="n"/>
      <c r="O839" s="65" t="n"/>
      <c r="P839" s="65" t="n"/>
      <c r="Q839" s="65" t="n"/>
      <c r="R839" s="65" t="n"/>
      <c r="S839" s="65" t="n"/>
      <c r="T839" s="65" t="n"/>
      <c r="U839" s="65" t="n"/>
      <c r="V839" s="65" t="n"/>
      <c r="W839" s="65" t="n"/>
      <c r="X839" s="66" t="n"/>
      <c r="Y839" s="65" t="n"/>
      <c r="Z839" s="65" t="n"/>
      <c r="AA839" s="65" t="n"/>
      <c r="AB839" s="65" t="n"/>
      <c r="AC839" s="65" t="n"/>
      <c r="AD839" s="65" t="n"/>
      <c r="AE839" s="65" t="n"/>
      <c r="AF839" s="65" t="n"/>
      <c r="AG839" s="65" t="n"/>
      <c r="AH839" s="65" t="n"/>
      <c r="AI839" s="65" t="n"/>
      <c r="AJ839" s="65" t="n"/>
      <c r="AK839" s="65" t="n"/>
      <c r="AL839" s="65" t="n"/>
      <c r="AM839" s="65" t="n"/>
      <c r="AN839" s="65" t="n"/>
      <c r="AO839" s="65" t="n"/>
      <c r="AP839" s="65" t="n"/>
      <c r="AQ839" s="65" t="n"/>
      <c r="AR839" s="65" t="n"/>
      <c r="AS839" s="65" t="n"/>
      <c r="AT839" s="65" t="n"/>
      <c r="AU839" s="65" t="n"/>
      <c r="AV839" s="65" t="n"/>
      <c r="AW839" s="65" t="n"/>
      <c r="AX839" s="65" t="n"/>
      <c r="AY839" s="65" t="n"/>
      <c r="AZ839" s="65" t="n"/>
      <c r="BA839" s="65" t="n"/>
      <c r="BB839" s="65" t="n"/>
      <c r="BC839" s="65" t="n"/>
      <c r="BD839" s="65" t="n"/>
      <c r="BE839" s="65" t="n"/>
      <c r="BF839" s="65" t="n"/>
      <c r="BG839" s="65" t="n"/>
    </row>
    <row r="840">
      <c r="F840" s="68" t="n"/>
      <c r="G840" s="68">
        <f>IF(B840="","",F840-I840 )</f>
        <v/>
      </c>
      <c r="H840" s="5">
        <f>IF(G840="","",G840/F840)</f>
        <v/>
      </c>
      <c r="I840" s="62">
        <f>SUM(テーブル9[[#This Row],[五大]:[工場材]])</f>
        <v/>
      </c>
      <c r="J840" s="65" t="n"/>
      <c r="K840" s="65" t="n"/>
      <c r="L840" s="65" t="n"/>
      <c r="M840" s="65" t="n"/>
      <c r="N840" s="65" t="n"/>
      <c r="O840" s="65" t="n"/>
      <c r="P840" s="65" t="n"/>
      <c r="Q840" s="65" t="n"/>
      <c r="R840" s="65" t="n"/>
      <c r="S840" s="65" t="n"/>
      <c r="T840" s="65" t="n"/>
      <c r="U840" s="65" t="n"/>
      <c r="V840" s="65" t="n"/>
      <c r="W840" s="65" t="n"/>
      <c r="X840" s="66" t="n"/>
      <c r="Y840" s="65" t="n"/>
      <c r="Z840" s="65" t="n"/>
      <c r="AA840" s="65" t="n"/>
      <c r="AB840" s="65" t="n"/>
      <c r="AC840" s="65" t="n"/>
      <c r="AD840" s="65" t="n"/>
      <c r="AE840" s="65" t="n"/>
      <c r="AF840" s="65" t="n"/>
      <c r="AG840" s="65" t="n"/>
      <c r="AH840" s="65" t="n"/>
      <c r="AI840" s="65" t="n"/>
      <c r="AJ840" s="65" t="n"/>
      <c r="AK840" s="65" t="n"/>
      <c r="AL840" s="65" t="n"/>
      <c r="AM840" s="65" t="n"/>
      <c r="AN840" s="65" t="n"/>
      <c r="AO840" s="65" t="n"/>
      <c r="AP840" s="65" t="n"/>
      <c r="AQ840" s="65" t="n"/>
      <c r="AR840" s="65" t="n"/>
      <c r="AS840" s="65" t="n"/>
      <c r="AT840" s="65" t="n"/>
      <c r="AU840" s="65" t="n"/>
      <c r="AV840" s="65" t="n"/>
      <c r="AW840" s="65" t="n"/>
      <c r="AX840" s="65" t="n"/>
      <c r="AY840" s="65" t="n"/>
      <c r="AZ840" s="65" t="n"/>
      <c r="BA840" s="65" t="n"/>
      <c r="BB840" s="65" t="n"/>
      <c r="BC840" s="65" t="n"/>
      <c r="BD840" s="65" t="n"/>
      <c r="BE840" s="65" t="n"/>
      <c r="BF840" s="65" t="n"/>
      <c r="BG840" s="65" t="n"/>
    </row>
    <row r="841">
      <c r="F841" s="68" t="n"/>
      <c r="G841" s="68">
        <f>IF(B841="","",F841-I841 )</f>
        <v/>
      </c>
      <c r="H841" s="5">
        <f>IF(G841="","",G841/F841)</f>
        <v/>
      </c>
      <c r="I841" s="62">
        <f>SUM(テーブル9[[#This Row],[五大]:[工場材]])</f>
        <v/>
      </c>
      <c r="J841" s="65" t="n"/>
      <c r="K841" s="65" t="n"/>
      <c r="L841" s="65" t="n"/>
      <c r="M841" s="65" t="n"/>
      <c r="N841" s="65" t="n"/>
      <c r="O841" s="65" t="n"/>
      <c r="P841" s="65" t="n"/>
      <c r="Q841" s="65" t="n"/>
      <c r="R841" s="65" t="n"/>
      <c r="S841" s="65" t="n"/>
      <c r="T841" s="65" t="n"/>
      <c r="U841" s="65" t="n"/>
      <c r="V841" s="65" t="n"/>
      <c r="W841" s="65" t="n"/>
      <c r="X841" s="66" t="n"/>
      <c r="Y841" s="65" t="n"/>
      <c r="Z841" s="65" t="n"/>
      <c r="AA841" s="65" t="n"/>
      <c r="AB841" s="65" t="n"/>
      <c r="AC841" s="65" t="n"/>
      <c r="AD841" s="65" t="n"/>
      <c r="AE841" s="65" t="n"/>
      <c r="AF841" s="65" t="n"/>
      <c r="AG841" s="65" t="n"/>
      <c r="AH841" s="65" t="n"/>
      <c r="AI841" s="65" t="n"/>
      <c r="AJ841" s="65" t="n"/>
      <c r="AK841" s="65" t="n"/>
      <c r="AL841" s="65" t="n"/>
      <c r="AM841" s="65" t="n"/>
      <c r="AN841" s="65" t="n"/>
      <c r="AO841" s="65" t="n"/>
      <c r="AP841" s="65" t="n"/>
      <c r="AQ841" s="65" t="n"/>
      <c r="AR841" s="65" t="n"/>
      <c r="AS841" s="65" t="n"/>
      <c r="AT841" s="65" t="n"/>
      <c r="AU841" s="65" t="n"/>
      <c r="AV841" s="65" t="n"/>
      <c r="AW841" s="65" t="n"/>
      <c r="AX841" s="65" t="n"/>
      <c r="AY841" s="65" t="n"/>
      <c r="AZ841" s="65" t="n"/>
      <c r="BA841" s="65" t="n"/>
      <c r="BB841" s="65" t="n"/>
      <c r="BC841" s="65" t="n"/>
      <c r="BD841" s="65" t="n"/>
      <c r="BE841" s="65" t="n"/>
      <c r="BF841" s="65" t="n"/>
      <c r="BG841" s="65" t="n"/>
    </row>
    <row r="842">
      <c r="F842" s="68" t="n"/>
      <c r="G842" s="68">
        <f>IF(B842="","",F842-I842 )</f>
        <v/>
      </c>
      <c r="H842" s="5">
        <f>IF(G842="","",G842/F842)</f>
        <v/>
      </c>
      <c r="I842" s="62">
        <f>SUM(テーブル9[[#This Row],[五大]:[工場材]])</f>
        <v/>
      </c>
      <c r="J842" s="65" t="n"/>
      <c r="K842" s="65" t="n"/>
      <c r="L842" s="65" t="n"/>
      <c r="M842" s="65" t="n"/>
      <c r="N842" s="65" t="n"/>
      <c r="O842" s="65" t="n"/>
      <c r="P842" s="65" t="n"/>
      <c r="Q842" s="65" t="n"/>
      <c r="R842" s="65" t="n"/>
      <c r="S842" s="65" t="n"/>
      <c r="T842" s="65" t="n"/>
      <c r="U842" s="65" t="n"/>
      <c r="V842" s="65" t="n"/>
      <c r="W842" s="65" t="n"/>
      <c r="X842" s="66" t="n"/>
      <c r="Y842" s="65" t="n"/>
      <c r="Z842" s="65" t="n"/>
      <c r="AA842" s="65" t="n"/>
      <c r="AB842" s="65" t="n"/>
      <c r="AC842" s="65" t="n"/>
      <c r="AD842" s="65" t="n"/>
      <c r="AE842" s="65" t="n"/>
      <c r="AF842" s="65" t="n"/>
      <c r="AG842" s="65" t="n"/>
      <c r="AH842" s="65" t="n"/>
      <c r="AI842" s="65" t="n"/>
      <c r="AJ842" s="65" t="n"/>
      <c r="AK842" s="65" t="n"/>
      <c r="AL842" s="65" t="n"/>
      <c r="AM842" s="65" t="n"/>
      <c r="AN842" s="65" t="n"/>
      <c r="AO842" s="65" t="n"/>
      <c r="AP842" s="65" t="n"/>
      <c r="AQ842" s="65" t="n"/>
      <c r="AR842" s="65" t="n"/>
      <c r="AS842" s="65" t="n"/>
      <c r="AT842" s="65" t="n"/>
      <c r="AU842" s="65" t="n"/>
      <c r="AV842" s="65" t="n"/>
      <c r="AW842" s="65" t="n"/>
      <c r="AX842" s="65" t="n"/>
      <c r="AY842" s="65" t="n"/>
      <c r="AZ842" s="65" t="n"/>
      <c r="BA842" s="65" t="n"/>
      <c r="BB842" s="65" t="n"/>
      <c r="BC842" s="65" t="n"/>
      <c r="BD842" s="65" t="n"/>
      <c r="BE842" s="65" t="n"/>
      <c r="BF842" s="65" t="n"/>
      <c r="BG842" s="65" t="n"/>
    </row>
    <row r="843">
      <c r="F843" s="68" t="n"/>
      <c r="G843" s="68">
        <f>IF(B843="","",F843-I843 )</f>
        <v/>
      </c>
      <c r="H843" s="5">
        <f>IF(G843="","",G843/F843)</f>
        <v/>
      </c>
      <c r="I843" s="62">
        <f>SUM(テーブル9[[#This Row],[五大]:[工場材]])</f>
        <v/>
      </c>
      <c r="J843" s="65" t="n"/>
      <c r="K843" s="65" t="n"/>
      <c r="L843" s="65" t="n"/>
      <c r="M843" s="65" t="n"/>
      <c r="N843" s="65" t="n"/>
      <c r="O843" s="65" t="n"/>
      <c r="P843" s="65" t="n"/>
      <c r="Q843" s="65" t="n"/>
      <c r="R843" s="65" t="n"/>
      <c r="S843" s="65" t="n"/>
      <c r="T843" s="65" t="n"/>
      <c r="U843" s="65" t="n"/>
      <c r="V843" s="65" t="n"/>
      <c r="W843" s="65" t="n"/>
      <c r="X843" s="66" t="n"/>
      <c r="Y843" s="65" t="n"/>
      <c r="Z843" s="65" t="n"/>
      <c r="AA843" s="65" t="n"/>
      <c r="AB843" s="65" t="n"/>
      <c r="AC843" s="65" t="n"/>
      <c r="AD843" s="65" t="n"/>
      <c r="AE843" s="65" t="n"/>
      <c r="AF843" s="65" t="n"/>
      <c r="AG843" s="65" t="n"/>
      <c r="AH843" s="65" t="n"/>
      <c r="AI843" s="65" t="n"/>
      <c r="AJ843" s="65" t="n"/>
      <c r="AK843" s="65" t="n"/>
      <c r="AL843" s="65" t="n"/>
      <c r="AM843" s="65" t="n"/>
      <c r="AN843" s="65" t="n"/>
      <c r="AO843" s="65" t="n"/>
      <c r="AP843" s="65" t="n"/>
      <c r="AQ843" s="65" t="n"/>
      <c r="AR843" s="65" t="n"/>
      <c r="AS843" s="65" t="n"/>
      <c r="AT843" s="65" t="n"/>
      <c r="AU843" s="65" t="n"/>
      <c r="AV843" s="65" t="n"/>
      <c r="AW843" s="65" t="n"/>
      <c r="AX843" s="65" t="n"/>
      <c r="AY843" s="65" t="n"/>
      <c r="AZ843" s="65" t="n"/>
      <c r="BA843" s="65" t="n"/>
      <c r="BB843" s="65" t="n"/>
      <c r="BC843" s="65" t="n"/>
      <c r="BD843" s="65" t="n"/>
      <c r="BE843" s="65" t="n"/>
      <c r="BF843" s="65" t="n"/>
      <c r="BG843" s="65" t="n"/>
    </row>
    <row r="844">
      <c r="F844" s="68" t="n"/>
      <c r="G844" s="68">
        <f>IF(B844="","",F844-I844 )</f>
        <v/>
      </c>
      <c r="H844" s="5">
        <f>IF(G844="","",G844/F844)</f>
        <v/>
      </c>
      <c r="I844" s="62">
        <f>SUM(テーブル9[[#This Row],[五大]:[工場材]])</f>
        <v/>
      </c>
      <c r="J844" s="65" t="n"/>
      <c r="K844" s="65" t="n"/>
      <c r="L844" s="65" t="n"/>
      <c r="M844" s="65" t="n"/>
      <c r="N844" s="65" t="n"/>
      <c r="O844" s="65" t="n"/>
      <c r="P844" s="65" t="n"/>
      <c r="Q844" s="65" t="n"/>
      <c r="R844" s="65" t="n"/>
      <c r="S844" s="65" t="n"/>
      <c r="T844" s="65" t="n"/>
      <c r="U844" s="65" t="n"/>
      <c r="V844" s="65" t="n"/>
      <c r="W844" s="65" t="n"/>
      <c r="X844" s="66" t="n"/>
      <c r="Y844" s="65" t="n"/>
      <c r="Z844" s="65" t="n"/>
      <c r="AA844" s="65" t="n"/>
      <c r="AB844" s="65" t="n"/>
      <c r="AC844" s="65" t="n"/>
      <c r="AD844" s="65" t="n"/>
      <c r="AE844" s="65" t="n"/>
      <c r="AF844" s="65" t="n"/>
      <c r="AG844" s="65" t="n"/>
      <c r="AH844" s="65" t="n"/>
      <c r="AI844" s="65" t="n"/>
      <c r="AJ844" s="65" t="n"/>
      <c r="AK844" s="65" t="n"/>
      <c r="AL844" s="65" t="n"/>
      <c r="AM844" s="65" t="n"/>
      <c r="AN844" s="65" t="n"/>
      <c r="AO844" s="65" t="n"/>
      <c r="AP844" s="65" t="n"/>
      <c r="AQ844" s="65" t="n"/>
      <c r="AR844" s="65" t="n"/>
      <c r="AS844" s="65" t="n"/>
      <c r="AT844" s="65" t="n"/>
      <c r="AU844" s="65" t="n"/>
      <c r="AV844" s="65" t="n"/>
      <c r="AW844" s="65" t="n"/>
      <c r="AX844" s="65" t="n"/>
      <c r="AY844" s="65" t="n"/>
      <c r="AZ844" s="65" t="n"/>
      <c r="BA844" s="65" t="n"/>
      <c r="BB844" s="65" t="n"/>
      <c r="BC844" s="65" t="n"/>
      <c r="BD844" s="65" t="n"/>
      <c r="BE844" s="65" t="n"/>
      <c r="BF844" s="65" t="n"/>
      <c r="BG844" s="65" t="n"/>
    </row>
    <row r="845">
      <c r="F845" s="68" t="n"/>
      <c r="G845" s="68">
        <f>IF(B845="","",F845-I845 )</f>
        <v/>
      </c>
      <c r="H845" s="5">
        <f>IF(G845="","",G845/F845)</f>
        <v/>
      </c>
      <c r="I845" s="62">
        <f>SUM(テーブル9[[#This Row],[五大]:[工場材]])</f>
        <v/>
      </c>
      <c r="J845" s="65" t="n"/>
      <c r="K845" s="65" t="n"/>
      <c r="L845" s="65" t="n"/>
      <c r="M845" s="65" t="n"/>
      <c r="N845" s="65" t="n"/>
      <c r="O845" s="65" t="n"/>
      <c r="P845" s="65" t="n"/>
      <c r="Q845" s="65" t="n"/>
      <c r="R845" s="65" t="n"/>
      <c r="S845" s="65" t="n"/>
      <c r="T845" s="65" t="n"/>
      <c r="U845" s="65" t="n"/>
      <c r="V845" s="65" t="n"/>
      <c r="W845" s="65" t="n"/>
      <c r="X845" s="66" t="n"/>
      <c r="Y845" s="65" t="n"/>
      <c r="Z845" s="65" t="n"/>
      <c r="AA845" s="65" t="n"/>
      <c r="AB845" s="65" t="n"/>
      <c r="AC845" s="65" t="n"/>
      <c r="AD845" s="65" t="n"/>
      <c r="AE845" s="65" t="n"/>
      <c r="AF845" s="65" t="n"/>
      <c r="AG845" s="65" t="n"/>
      <c r="AH845" s="65" t="n"/>
      <c r="AI845" s="65" t="n"/>
      <c r="AJ845" s="65" t="n"/>
      <c r="AK845" s="65" t="n"/>
      <c r="AL845" s="65" t="n"/>
      <c r="AM845" s="65" t="n"/>
      <c r="AN845" s="65" t="n"/>
      <c r="AO845" s="65" t="n"/>
      <c r="AP845" s="65" t="n"/>
      <c r="AQ845" s="65" t="n"/>
      <c r="AR845" s="65" t="n"/>
      <c r="AS845" s="65" t="n"/>
      <c r="AT845" s="65" t="n"/>
      <c r="AU845" s="65" t="n"/>
      <c r="AV845" s="65" t="n"/>
      <c r="AW845" s="65" t="n"/>
      <c r="AX845" s="65" t="n"/>
      <c r="AY845" s="65" t="n"/>
      <c r="AZ845" s="65" t="n"/>
      <c r="BA845" s="65" t="n"/>
      <c r="BB845" s="65" t="n"/>
      <c r="BC845" s="65" t="n"/>
      <c r="BD845" s="65" t="n"/>
      <c r="BE845" s="65" t="n"/>
      <c r="BF845" s="65" t="n"/>
      <c r="BG845" s="65" t="n"/>
    </row>
    <row r="846">
      <c r="F846" s="68" t="n"/>
      <c r="G846" s="68">
        <f>IF(B846="","",F846-I846 )</f>
        <v/>
      </c>
      <c r="H846" s="5">
        <f>IF(G846="","",G846/F846)</f>
        <v/>
      </c>
      <c r="I846" s="62">
        <f>SUM(テーブル9[[#This Row],[五大]:[工場材]])</f>
        <v/>
      </c>
      <c r="J846" s="65" t="n"/>
      <c r="K846" s="65" t="n"/>
      <c r="L846" s="65" t="n"/>
      <c r="M846" s="65" t="n"/>
      <c r="N846" s="65" t="n"/>
      <c r="O846" s="65" t="n"/>
      <c r="P846" s="65" t="n"/>
      <c r="Q846" s="65" t="n"/>
      <c r="R846" s="65" t="n"/>
      <c r="S846" s="65" t="n"/>
      <c r="T846" s="65" t="n"/>
      <c r="U846" s="65" t="n"/>
      <c r="V846" s="65" t="n"/>
      <c r="W846" s="65" t="n"/>
      <c r="X846" s="66" t="n"/>
      <c r="Y846" s="65" t="n"/>
      <c r="Z846" s="65" t="n"/>
      <c r="AA846" s="65" t="n"/>
      <c r="AB846" s="65" t="n"/>
      <c r="AC846" s="65" t="n"/>
      <c r="AD846" s="65" t="n"/>
      <c r="AE846" s="65" t="n"/>
      <c r="AF846" s="65" t="n"/>
      <c r="AG846" s="65" t="n"/>
      <c r="AH846" s="65" t="n"/>
      <c r="AI846" s="65" t="n"/>
      <c r="AJ846" s="65" t="n"/>
      <c r="AK846" s="65" t="n"/>
      <c r="AL846" s="65" t="n"/>
      <c r="AM846" s="65" t="n"/>
      <c r="AN846" s="65" t="n"/>
      <c r="AO846" s="65" t="n"/>
      <c r="AP846" s="65" t="n"/>
      <c r="AQ846" s="65" t="n"/>
      <c r="AR846" s="65" t="n"/>
      <c r="AS846" s="65" t="n"/>
      <c r="AT846" s="65" t="n"/>
      <c r="AU846" s="65" t="n"/>
      <c r="AV846" s="65" t="n"/>
      <c r="AW846" s="65" t="n"/>
      <c r="AX846" s="65" t="n"/>
      <c r="AY846" s="65" t="n"/>
      <c r="AZ846" s="65" t="n"/>
      <c r="BA846" s="65" t="n"/>
      <c r="BB846" s="65" t="n"/>
      <c r="BC846" s="65" t="n"/>
      <c r="BD846" s="65" t="n"/>
      <c r="BE846" s="65" t="n"/>
      <c r="BF846" s="65" t="n"/>
      <c r="BG846" s="65" t="n"/>
    </row>
    <row r="847">
      <c r="F847" s="68" t="n"/>
      <c r="G847" s="68">
        <f>IF(B847="","",F847-I847 )</f>
        <v/>
      </c>
      <c r="H847" s="5">
        <f>IF(G847="","",G847/F847)</f>
        <v/>
      </c>
      <c r="I847" s="62">
        <f>SUM(テーブル9[[#This Row],[五大]:[工場材]])</f>
        <v/>
      </c>
      <c r="J847" s="65" t="n"/>
      <c r="K847" s="65" t="n"/>
      <c r="L847" s="65" t="n"/>
      <c r="M847" s="65" t="n"/>
      <c r="N847" s="65" t="n"/>
      <c r="O847" s="65" t="n"/>
      <c r="P847" s="65" t="n"/>
      <c r="Q847" s="65" t="n"/>
      <c r="R847" s="65" t="n"/>
      <c r="S847" s="65" t="n"/>
      <c r="T847" s="65" t="n"/>
      <c r="U847" s="65" t="n"/>
      <c r="V847" s="65" t="n"/>
      <c r="W847" s="65" t="n"/>
      <c r="X847" s="66" t="n"/>
      <c r="Y847" s="65" t="n"/>
      <c r="Z847" s="65" t="n"/>
      <c r="AA847" s="65" t="n"/>
      <c r="AB847" s="65" t="n"/>
      <c r="AC847" s="65" t="n"/>
      <c r="AD847" s="65" t="n"/>
      <c r="AE847" s="65" t="n"/>
      <c r="AF847" s="65" t="n"/>
      <c r="AG847" s="65" t="n"/>
      <c r="AH847" s="65" t="n"/>
      <c r="AI847" s="65" t="n"/>
      <c r="AJ847" s="65" t="n"/>
      <c r="AK847" s="65" t="n"/>
      <c r="AL847" s="65" t="n"/>
      <c r="AM847" s="65" t="n"/>
      <c r="AN847" s="65" t="n"/>
      <c r="AO847" s="65" t="n"/>
      <c r="AP847" s="65" t="n"/>
      <c r="AQ847" s="65" t="n"/>
      <c r="AR847" s="65" t="n"/>
      <c r="AS847" s="65" t="n"/>
      <c r="AT847" s="65" t="n"/>
      <c r="AU847" s="65" t="n"/>
      <c r="AV847" s="65" t="n"/>
      <c r="AW847" s="65" t="n"/>
      <c r="AX847" s="65" t="n"/>
      <c r="AY847" s="65" t="n"/>
      <c r="AZ847" s="65" t="n"/>
      <c r="BA847" s="65" t="n"/>
      <c r="BB847" s="65" t="n"/>
      <c r="BC847" s="65" t="n"/>
      <c r="BD847" s="65" t="n"/>
      <c r="BE847" s="65" t="n"/>
      <c r="BF847" s="65" t="n"/>
      <c r="BG847" s="65" t="n"/>
    </row>
    <row r="848">
      <c r="F848" s="68" t="n"/>
      <c r="G848" s="68">
        <f>IF(B848="","",F848-I848 )</f>
        <v/>
      </c>
      <c r="H848" s="5">
        <f>IF(G848="","",G848/F848)</f>
        <v/>
      </c>
      <c r="I848" s="62">
        <f>SUM(テーブル9[[#This Row],[五大]:[工場材]])</f>
        <v/>
      </c>
      <c r="J848" s="65" t="n"/>
      <c r="K848" s="65" t="n"/>
      <c r="L848" s="65" t="n"/>
      <c r="M848" s="65" t="n"/>
      <c r="N848" s="65" t="n"/>
      <c r="O848" s="65" t="n"/>
      <c r="P848" s="65" t="n"/>
      <c r="Q848" s="65" t="n"/>
      <c r="R848" s="65" t="n"/>
      <c r="S848" s="65" t="n"/>
      <c r="T848" s="65" t="n"/>
      <c r="U848" s="65" t="n"/>
      <c r="V848" s="65" t="n"/>
      <c r="W848" s="65" t="n"/>
      <c r="X848" s="66" t="n"/>
      <c r="Y848" s="65" t="n"/>
      <c r="Z848" s="65" t="n"/>
      <c r="AA848" s="65" t="n"/>
      <c r="AB848" s="65" t="n"/>
      <c r="AC848" s="65" t="n"/>
      <c r="AD848" s="65" t="n"/>
      <c r="AE848" s="65" t="n"/>
      <c r="AF848" s="65" t="n"/>
      <c r="AG848" s="65" t="n"/>
      <c r="AH848" s="65" t="n"/>
      <c r="AI848" s="65" t="n"/>
      <c r="AJ848" s="65" t="n"/>
      <c r="AK848" s="65" t="n"/>
      <c r="AL848" s="65" t="n"/>
      <c r="AM848" s="65" t="n"/>
      <c r="AN848" s="65" t="n"/>
      <c r="AO848" s="65" t="n"/>
      <c r="AP848" s="65" t="n"/>
      <c r="AQ848" s="65" t="n"/>
      <c r="AR848" s="65" t="n"/>
      <c r="AS848" s="65" t="n"/>
      <c r="AT848" s="65" t="n"/>
      <c r="AU848" s="65" t="n"/>
      <c r="AV848" s="65" t="n"/>
      <c r="AW848" s="65" t="n"/>
      <c r="AX848" s="65" t="n"/>
      <c r="AY848" s="65" t="n"/>
      <c r="AZ848" s="65" t="n"/>
      <c r="BA848" s="65" t="n"/>
      <c r="BB848" s="65" t="n"/>
      <c r="BC848" s="65" t="n"/>
      <c r="BD848" s="65" t="n"/>
      <c r="BE848" s="65" t="n"/>
      <c r="BF848" s="65" t="n"/>
      <c r="BG848" s="65" t="n"/>
    </row>
    <row r="849">
      <c r="F849" s="68" t="n"/>
      <c r="G849" s="68">
        <f>IF(B849="","",F849-I849 )</f>
        <v/>
      </c>
      <c r="H849" s="5">
        <f>IF(G849="","",G849/F849)</f>
        <v/>
      </c>
      <c r="I849" s="62">
        <f>SUM(テーブル9[[#This Row],[五大]:[工場材]])</f>
        <v/>
      </c>
      <c r="J849" s="65" t="n"/>
      <c r="K849" s="65" t="n"/>
      <c r="L849" s="65" t="n"/>
      <c r="M849" s="65" t="n"/>
      <c r="N849" s="65" t="n"/>
      <c r="O849" s="65" t="n"/>
      <c r="P849" s="65" t="n"/>
      <c r="Q849" s="65" t="n"/>
      <c r="R849" s="65" t="n"/>
      <c r="S849" s="65" t="n"/>
      <c r="T849" s="65" t="n"/>
      <c r="U849" s="65" t="n"/>
      <c r="V849" s="65" t="n"/>
      <c r="W849" s="65" t="n"/>
      <c r="X849" s="66" t="n"/>
      <c r="Y849" s="65" t="n"/>
      <c r="Z849" s="65" t="n"/>
      <c r="AA849" s="65" t="n"/>
      <c r="AB849" s="65" t="n"/>
      <c r="AC849" s="65" t="n"/>
      <c r="AD849" s="65" t="n"/>
      <c r="AE849" s="65" t="n"/>
      <c r="AF849" s="65" t="n"/>
      <c r="AG849" s="65" t="n"/>
      <c r="AH849" s="65" t="n"/>
      <c r="AI849" s="65" t="n"/>
      <c r="AJ849" s="65" t="n"/>
      <c r="AK849" s="65" t="n"/>
      <c r="AL849" s="65" t="n"/>
      <c r="AM849" s="65" t="n"/>
      <c r="AN849" s="65" t="n"/>
      <c r="AO849" s="65" t="n"/>
      <c r="AP849" s="65" t="n"/>
      <c r="AQ849" s="65" t="n"/>
      <c r="AR849" s="65" t="n"/>
      <c r="AS849" s="65" t="n"/>
      <c r="AT849" s="65" t="n"/>
      <c r="AU849" s="65" t="n"/>
      <c r="AV849" s="65" t="n"/>
      <c r="AW849" s="65" t="n"/>
      <c r="AX849" s="65" t="n"/>
      <c r="AY849" s="65" t="n"/>
      <c r="AZ849" s="65" t="n"/>
      <c r="BA849" s="65" t="n"/>
      <c r="BB849" s="65" t="n"/>
      <c r="BC849" s="65" t="n"/>
      <c r="BD849" s="65" t="n"/>
      <c r="BE849" s="65" t="n"/>
      <c r="BF849" s="65" t="n"/>
      <c r="BG849" s="65" t="n"/>
    </row>
    <row r="850">
      <c r="F850" s="68" t="n"/>
      <c r="G850" s="68">
        <f>IF(B850="","",F850-I850 )</f>
        <v/>
      </c>
      <c r="H850" s="5">
        <f>IF(G850="","",G850/F850)</f>
        <v/>
      </c>
      <c r="I850" s="62">
        <f>SUM(テーブル9[[#This Row],[五大]:[工場材]])</f>
        <v/>
      </c>
      <c r="J850" s="65" t="n"/>
      <c r="K850" s="65" t="n"/>
      <c r="L850" s="65" t="n"/>
      <c r="M850" s="65" t="n"/>
      <c r="N850" s="65" t="n"/>
      <c r="O850" s="65" t="n"/>
      <c r="P850" s="65" t="n"/>
      <c r="Q850" s="65" t="n"/>
      <c r="R850" s="65" t="n"/>
      <c r="S850" s="65" t="n"/>
      <c r="T850" s="65" t="n"/>
      <c r="U850" s="65" t="n"/>
      <c r="V850" s="65" t="n"/>
      <c r="W850" s="65" t="n"/>
      <c r="X850" s="66" t="n"/>
      <c r="Y850" s="65" t="n"/>
      <c r="Z850" s="65" t="n"/>
      <c r="AA850" s="65" t="n"/>
      <c r="AB850" s="65" t="n"/>
      <c r="AC850" s="65" t="n"/>
      <c r="AD850" s="65" t="n"/>
      <c r="AE850" s="65" t="n"/>
      <c r="AF850" s="65" t="n"/>
      <c r="AG850" s="65" t="n"/>
      <c r="AH850" s="65" t="n"/>
      <c r="AI850" s="65" t="n"/>
      <c r="AJ850" s="65" t="n"/>
      <c r="AK850" s="65" t="n"/>
      <c r="AL850" s="65" t="n"/>
      <c r="AM850" s="65" t="n"/>
      <c r="AN850" s="65" t="n"/>
      <c r="AO850" s="65" t="n"/>
      <c r="AP850" s="65" t="n"/>
      <c r="AQ850" s="65" t="n"/>
      <c r="AR850" s="65" t="n"/>
      <c r="AS850" s="65" t="n"/>
      <c r="AT850" s="65" t="n"/>
      <c r="AU850" s="65" t="n"/>
      <c r="AV850" s="65" t="n"/>
      <c r="AW850" s="65" t="n"/>
      <c r="AX850" s="65" t="n"/>
      <c r="AY850" s="65" t="n"/>
      <c r="AZ850" s="65" t="n"/>
      <c r="BA850" s="65" t="n"/>
      <c r="BB850" s="65" t="n"/>
      <c r="BC850" s="65" t="n"/>
      <c r="BD850" s="65" t="n"/>
      <c r="BE850" s="65" t="n"/>
      <c r="BF850" s="65" t="n"/>
      <c r="BG850" s="65" t="n"/>
    </row>
    <row r="851">
      <c r="F851" s="68" t="n"/>
      <c r="G851" s="68">
        <f>IF(B851="","",F851-I851 )</f>
        <v/>
      </c>
      <c r="H851" s="5">
        <f>IF(G851="","",G851/F851)</f>
        <v/>
      </c>
      <c r="I851" s="62">
        <f>SUM(テーブル9[[#This Row],[五大]:[工場材]])</f>
        <v/>
      </c>
      <c r="J851" s="65" t="n"/>
      <c r="K851" s="65" t="n"/>
      <c r="L851" s="65" t="n"/>
      <c r="M851" s="65" t="n"/>
      <c r="N851" s="65" t="n"/>
      <c r="O851" s="65" t="n"/>
      <c r="P851" s="65" t="n"/>
      <c r="Q851" s="65" t="n"/>
      <c r="R851" s="65" t="n"/>
      <c r="S851" s="65" t="n"/>
      <c r="T851" s="65" t="n"/>
      <c r="U851" s="65" t="n"/>
      <c r="V851" s="65" t="n"/>
      <c r="W851" s="65" t="n"/>
      <c r="X851" s="66" t="n"/>
      <c r="Y851" s="65" t="n"/>
      <c r="Z851" s="65" t="n"/>
      <c r="AA851" s="65" t="n"/>
      <c r="AB851" s="65" t="n"/>
      <c r="AC851" s="65" t="n"/>
      <c r="AD851" s="65" t="n"/>
      <c r="AE851" s="65" t="n"/>
      <c r="AF851" s="65" t="n"/>
      <c r="AG851" s="65" t="n"/>
      <c r="AH851" s="65" t="n"/>
      <c r="AI851" s="65" t="n"/>
      <c r="AJ851" s="65" t="n"/>
      <c r="AK851" s="65" t="n"/>
      <c r="AL851" s="65" t="n"/>
      <c r="AM851" s="65" t="n"/>
      <c r="AN851" s="65" t="n"/>
      <c r="AO851" s="65" t="n"/>
      <c r="AP851" s="65" t="n"/>
      <c r="AQ851" s="65" t="n"/>
      <c r="AR851" s="65" t="n"/>
      <c r="AS851" s="65" t="n"/>
      <c r="AT851" s="65" t="n"/>
      <c r="AU851" s="65" t="n"/>
      <c r="AV851" s="65" t="n"/>
      <c r="AW851" s="65" t="n"/>
      <c r="AX851" s="65" t="n"/>
      <c r="AY851" s="65" t="n"/>
      <c r="AZ851" s="65" t="n"/>
      <c r="BA851" s="65" t="n"/>
      <c r="BB851" s="65" t="n"/>
      <c r="BC851" s="65" t="n"/>
      <c r="BD851" s="65" t="n"/>
      <c r="BE851" s="65" t="n"/>
      <c r="BF851" s="65" t="n"/>
      <c r="BG851" s="65" t="n"/>
    </row>
    <row r="852">
      <c r="F852" s="68" t="n"/>
      <c r="G852" s="68">
        <f>IF(B852="","",F852-I852 )</f>
        <v/>
      </c>
      <c r="H852" s="5">
        <f>IF(G852="","",G852/F852)</f>
        <v/>
      </c>
      <c r="I852" s="62">
        <f>SUM(テーブル9[[#This Row],[五大]:[工場材]])</f>
        <v/>
      </c>
      <c r="J852" s="65" t="n"/>
      <c r="K852" s="65" t="n"/>
      <c r="L852" s="65" t="n"/>
      <c r="M852" s="65" t="n"/>
      <c r="N852" s="65" t="n"/>
      <c r="O852" s="65" t="n"/>
      <c r="P852" s="65" t="n"/>
      <c r="Q852" s="65" t="n"/>
      <c r="R852" s="65" t="n"/>
      <c r="S852" s="65" t="n"/>
      <c r="T852" s="65" t="n"/>
      <c r="U852" s="65" t="n"/>
      <c r="V852" s="65" t="n"/>
      <c r="W852" s="65" t="n"/>
      <c r="X852" s="66" t="n"/>
      <c r="Y852" s="65" t="n"/>
      <c r="Z852" s="65" t="n"/>
      <c r="AA852" s="65" t="n"/>
      <c r="AB852" s="65" t="n"/>
      <c r="AC852" s="65" t="n"/>
      <c r="AD852" s="65" t="n"/>
      <c r="AE852" s="65" t="n"/>
      <c r="AF852" s="65" t="n"/>
      <c r="AG852" s="65" t="n"/>
      <c r="AH852" s="65" t="n"/>
      <c r="AI852" s="65" t="n"/>
      <c r="AJ852" s="65" t="n"/>
      <c r="AK852" s="65" t="n"/>
      <c r="AL852" s="65" t="n"/>
      <c r="AM852" s="65" t="n"/>
      <c r="AN852" s="65" t="n"/>
      <c r="AO852" s="65" t="n"/>
      <c r="AP852" s="65" t="n"/>
      <c r="AQ852" s="65" t="n"/>
      <c r="AR852" s="65" t="n"/>
      <c r="AS852" s="65" t="n"/>
      <c r="AT852" s="65" t="n"/>
      <c r="AU852" s="65" t="n"/>
      <c r="AV852" s="65" t="n"/>
      <c r="AW852" s="65" t="n"/>
      <c r="AX852" s="65" t="n"/>
      <c r="AY852" s="65" t="n"/>
      <c r="AZ852" s="65" t="n"/>
      <c r="BA852" s="65" t="n"/>
      <c r="BB852" s="65" t="n"/>
      <c r="BC852" s="65" t="n"/>
      <c r="BD852" s="65" t="n"/>
      <c r="BE852" s="65" t="n"/>
      <c r="BF852" s="65" t="n"/>
      <c r="BG852" s="65" t="n"/>
    </row>
    <row r="853">
      <c r="F853" s="68" t="n"/>
      <c r="G853" s="68">
        <f>IF(B853="","",F853-I853 )</f>
        <v/>
      </c>
      <c r="H853" s="5">
        <f>IF(G853="","",G853/F853)</f>
        <v/>
      </c>
      <c r="I853" s="62">
        <f>SUM(テーブル9[[#This Row],[五大]:[工場材]])</f>
        <v/>
      </c>
      <c r="J853" s="65" t="n"/>
      <c r="K853" s="65" t="n"/>
      <c r="L853" s="65" t="n"/>
      <c r="M853" s="65" t="n"/>
      <c r="N853" s="65" t="n"/>
      <c r="O853" s="65" t="n"/>
      <c r="P853" s="65" t="n"/>
      <c r="Q853" s="65" t="n"/>
      <c r="R853" s="65" t="n"/>
      <c r="S853" s="65" t="n"/>
      <c r="T853" s="65" t="n"/>
      <c r="U853" s="65" t="n"/>
      <c r="V853" s="65" t="n"/>
      <c r="W853" s="65" t="n"/>
      <c r="X853" s="66" t="n"/>
      <c r="Y853" s="65" t="n"/>
      <c r="Z853" s="65" t="n"/>
      <c r="AA853" s="65" t="n"/>
      <c r="AB853" s="65" t="n"/>
      <c r="AC853" s="65" t="n"/>
      <c r="AD853" s="65" t="n"/>
      <c r="AE853" s="65" t="n"/>
      <c r="AF853" s="65" t="n"/>
      <c r="AG853" s="65" t="n"/>
      <c r="AH853" s="65" t="n"/>
      <c r="AI853" s="65" t="n"/>
      <c r="AJ853" s="65" t="n"/>
      <c r="AK853" s="65" t="n"/>
      <c r="AL853" s="65" t="n"/>
      <c r="AM853" s="65" t="n"/>
      <c r="AN853" s="65" t="n"/>
      <c r="AO853" s="65" t="n"/>
      <c r="AP853" s="65" t="n"/>
      <c r="AQ853" s="65" t="n"/>
      <c r="AR853" s="65" t="n"/>
      <c r="AS853" s="65" t="n"/>
      <c r="AT853" s="65" t="n"/>
      <c r="AU853" s="65" t="n"/>
      <c r="AV853" s="65" t="n"/>
      <c r="AW853" s="65" t="n"/>
      <c r="AX853" s="65" t="n"/>
      <c r="AY853" s="65" t="n"/>
      <c r="AZ853" s="65" t="n"/>
      <c r="BA853" s="65" t="n"/>
      <c r="BB853" s="65" t="n"/>
      <c r="BC853" s="65" t="n"/>
      <c r="BD853" s="65" t="n"/>
      <c r="BE853" s="65" t="n"/>
      <c r="BF853" s="65" t="n"/>
      <c r="BG853" s="65" t="n"/>
    </row>
    <row r="854">
      <c r="F854" s="68" t="n"/>
      <c r="G854" s="68">
        <f>IF(B854="","",F854-I854 )</f>
        <v/>
      </c>
      <c r="H854" s="5">
        <f>IF(G854="","",G854/F854)</f>
        <v/>
      </c>
      <c r="I854" s="62">
        <f>SUM(テーブル9[[#This Row],[五大]:[工場材]])</f>
        <v/>
      </c>
      <c r="J854" s="65" t="n"/>
      <c r="K854" s="65" t="n"/>
      <c r="L854" s="65" t="n"/>
      <c r="M854" s="65" t="n"/>
      <c r="N854" s="65" t="n"/>
      <c r="O854" s="65" t="n"/>
      <c r="P854" s="65" t="n"/>
      <c r="Q854" s="65" t="n"/>
      <c r="R854" s="65" t="n"/>
      <c r="S854" s="65" t="n"/>
      <c r="T854" s="65" t="n"/>
      <c r="U854" s="65" t="n"/>
      <c r="V854" s="65" t="n"/>
      <c r="W854" s="65" t="n"/>
      <c r="X854" s="66" t="n"/>
      <c r="Y854" s="65" t="n"/>
      <c r="Z854" s="65" t="n"/>
      <c r="AA854" s="65" t="n"/>
      <c r="AB854" s="65" t="n"/>
      <c r="AC854" s="65" t="n"/>
      <c r="AD854" s="65" t="n"/>
      <c r="AE854" s="65" t="n"/>
      <c r="AF854" s="65" t="n"/>
      <c r="AG854" s="65" t="n"/>
      <c r="AH854" s="65" t="n"/>
      <c r="AI854" s="65" t="n"/>
      <c r="AJ854" s="65" t="n"/>
      <c r="AK854" s="65" t="n"/>
      <c r="AL854" s="65" t="n"/>
      <c r="AM854" s="65" t="n"/>
      <c r="AN854" s="65" t="n"/>
      <c r="AO854" s="65" t="n"/>
      <c r="AP854" s="65" t="n"/>
      <c r="AQ854" s="65" t="n"/>
      <c r="AR854" s="65" t="n"/>
      <c r="AS854" s="65" t="n"/>
      <c r="AT854" s="65" t="n"/>
      <c r="AU854" s="65" t="n"/>
      <c r="AV854" s="65" t="n"/>
      <c r="AW854" s="65" t="n"/>
      <c r="AX854" s="65" t="n"/>
      <c r="AY854" s="65" t="n"/>
      <c r="AZ854" s="65" t="n"/>
      <c r="BA854" s="65" t="n"/>
      <c r="BB854" s="65" t="n"/>
      <c r="BC854" s="65" t="n"/>
      <c r="BD854" s="65" t="n"/>
      <c r="BE854" s="65" t="n"/>
      <c r="BF854" s="65" t="n"/>
      <c r="BG854" s="65" t="n"/>
    </row>
    <row r="855">
      <c r="F855" s="68" t="n"/>
      <c r="G855" s="68">
        <f>IF(B855="","",F855-I855 )</f>
        <v/>
      </c>
      <c r="H855" s="5">
        <f>IF(G855="","",G855/F855)</f>
        <v/>
      </c>
      <c r="I855" s="62">
        <f>SUM(テーブル9[[#This Row],[五大]:[工場材]])</f>
        <v/>
      </c>
      <c r="J855" s="65" t="n"/>
      <c r="K855" s="65" t="n"/>
      <c r="L855" s="65" t="n"/>
      <c r="M855" s="65" t="n"/>
      <c r="N855" s="65" t="n"/>
      <c r="O855" s="65" t="n"/>
      <c r="P855" s="65" t="n"/>
      <c r="Q855" s="65" t="n"/>
      <c r="R855" s="65" t="n"/>
      <c r="S855" s="65" t="n"/>
      <c r="T855" s="65" t="n"/>
      <c r="U855" s="65" t="n"/>
      <c r="V855" s="65" t="n"/>
      <c r="W855" s="65" t="n"/>
      <c r="X855" s="66" t="n"/>
      <c r="Y855" s="65" t="n"/>
      <c r="Z855" s="65" t="n"/>
      <c r="AA855" s="65" t="n"/>
      <c r="AB855" s="65" t="n"/>
      <c r="AC855" s="65" t="n"/>
      <c r="AD855" s="65" t="n"/>
      <c r="AE855" s="65" t="n"/>
      <c r="AF855" s="65" t="n"/>
      <c r="AG855" s="65" t="n"/>
      <c r="AH855" s="65" t="n"/>
      <c r="AI855" s="65" t="n"/>
      <c r="AJ855" s="65" t="n"/>
      <c r="AK855" s="65" t="n"/>
      <c r="AL855" s="65" t="n"/>
      <c r="AM855" s="65" t="n"/>
      <c r="AN855" s="65" t="n"/>
      <c r="AO855" s="65" t="n"/>
      <c r="AP855" s="65" t="n"/>
      <c r="AQ855" s="65" t="n"/>
      <c r="AR855" s="65" t="n"/>
      <c r="AS855" s="65" t="n"/>
      <c r="AT855" s="65" t="n"/>
      <c r="AU855" s="65" t="n"/>
      <c r="AV855" s="65" t="n"/>
      <c r="AW855" s="65" t="n"/>
      <c r="AX855" s="65" t="n"/>
      <c r="AY855" s="65" t="n"/>
      <c r="AZ855" s="65" t="n"/>
      <c r="BA855" s="65" t="n"/>
      <c r="BB855" s="65" t="n"/>
      <c r="BC855" s="65" t="n"/>
      <c r="BD855" s="65" t="n"/>
      <c r="BE855" s="65" t="n"/>
      <c r="BF855" s="65" t="n"/>
      <c r="BG855" s="65" t="n"/>
    </row>
    <row r="856">
      <c r="F856" s="68" t="n"/>
      <c r="G856" s="68">
        <f>IF(B856="","",F856-I856 )</f>
        <v/>
      </c>
      <c r="H856" s="5">
        <f>IF(G856="","",G856/F856)</f>
        <v/>
      </c>
      <c r="I856" s="62">
        <f>SUM(テーブル9[[#This Row],[五大]:[工場材]])</f>
        <v/>
      </c>
      <c r="J856" s="65" t="n"/>
      <c r="K856" s="65" t="n"/>
      <c r="L856" s="65" t="n"/>
      <c r="M856" s="65" t="n"/>
      <c r="N856" s="65" t="n"/>
      <c r="O856" s="65" t="n"/>
      <c r="P856" s="65" t="n"/>
      <c r="Q856" s="65" t="n"/>
      <c r="R856" s="65" t="n"/>
      <c r="S856" s="65" t="n"/>
      <c r="T856" s="65" t="n"/>
      <c r="U856" s="65" t="n"/>
      <c r="V856" s="65" t="n"/>
      <c r="W856" s="65" t="n"/>
      <c r="X856" s="66" t="n"/>
      <c r="Y856" s="65" t="n"/>
      <c r="Z856" s="65" t="n"/>
      <c r="AA856" s="65" t="n"/>
      <c r="AB856" s="65" t="n"/>
      <c r="AC856" s="65" t="n"/>
      <c r="AD856" s="65" t="n"/>
      <c r="AE856" s="65" t="n"/>
      <c r="AF856" s="65" t="n"/>
      <c r="AG856" s="65" t="n"/>
      <c r="AH856" s="65" t="n"/>
      <c r="AI856" s="65" t="n"/>
      <c r="AJ856" s="65" t="n"/>
      <c r="AK856" s="65" t="n"/>
      <c r="AL856" s="65" t="n"/>
      <c r="AM856" s="65" t="n"/>
      <c r="AN856" s="65" t="n"/>
      <c r="AO856" s="65" t="n"/>
      <c r="AP856" s="65" t="n"/>
      <c r="AQ856" s="65" t="n"/>
      <c r="AR856" s="65" t="n"/>
      <c r="AS856" s="65" t="n"/>
      <c r="AT856" s="65" t="n"/>
      <c r="AU856" s="65" t="n"/>
      <c r="AV856" s="65" t="n"/>
      <c r="AW856" s="65" t="n"/>
      <c r="AX856" s="65" t="n"/>
      <c r="AY856" s="65" t="n"/>
      <c r="AZ856" s="65" t="n"/>
      <c r="BA856" s="65" t="n"/>
      <c r="BB856" s="65" t="n"/>
      <c r="BC856" s="65" t="n"/>
      <c r="BD856" s="65" t="n"/>
      <c r="BE856" s="65" t="n"/>
      <c r="BF856" s="65" t="n"/>
      <c r="BG856" s="65" t="n"/>
    </row>
    <row r="857">
      <c r="F857" s="68" t="n"/>
      <c r="G857" s="68">
        <f>IF(B857="","",F857-I857 )</f>
        <v/>
      </c>
      <c r="H857" s="5">
        <f>IF(G857="","",G857/F857)</f>
        <v/>
      </c>
      <c r="I857" s="62">
        <f>SUM(テーブル9[[#This Row],[五大]:[工場材]])</f>
        <v/>
      </c>
      <c r="J857" s="65" t="n"/>
      <c r="K857" s="65" t="n"/>
      <c r="L857" s="65" t="n"/>
      <c r="M857" s="65" t="n"/>
      <c r="N857" s="65" t="n"/>
      <c r="O857" s="65" t="n"/>
      <c r="P857" s="65" t="n"/>
      <c r="Q857" s="65" t="n"/>
      <c r="R857" s="65" t="n"/>
      <c r="S857" s="65" t="n"/>
      <c r="T857" s="65" t="n"/>
      <c r="U857" s="65" t="n"/>
      <c r="V857" s="65" t="n"/>
      <c r="W857" s="65" t="n"/>
      <c r="X857" s="66" t="n"/>
      <c r="Y857" s="65" t="n"/>
      <c r="Z857" s="65" t="n"/>
      <c r="AA857" s="65" t="n"/>
      <c r="AB857" s="65" t="n"/>
      <c r="AC857" s="65" t="n"/>
      <c r="AD857" s="65" t="n"/>
      <c r="AE857" s="65" t="n"/>
      <c r="AF857" s="65" t="n"/>
      <c r="AG857" s="65" t="n"/>
      <c r="AH857" s="65" t="n"/>
      <c r="AI857" s="65" t="n"/>
      <c r="AJ857" s="65" t="n"/>
      <c r="AK857" s="65" t="n"/>
      <c r="AL857" s="65" t="n"/>
      <c r="AM857" s="65" t="n"/>
      <c r="AN857" s="65" t="n"/>
      <c r="AO857" s="65" t="n"/>
      <c r="AP857" s="65" t="n"/>
      <c r="AQ857" s="65" t="n"/>
      <c r="AR857" s="65" t="n"/>
      <c r="AS857" s="65" t="n"/>
      <c r="AT857" s="65" t="n"/>
      <c r="AU857" s="65" t="n"/>
      <c r="AV857" s="65" t="n"/>
      <c r="AW857" s="65" t="n"/>
      <c r="AX857" s="65" t="n"/>
      <c r="AY857" s="65" t="n"/>
      <c r="AZ857" s="65" t="n"/>
      <c r="BA857" s="65" t="n"/>
      <c r="BB857" s="65" t="n"/>
      <c r="BC857" s="65" t="n"/>
      <c r="BD857" s="65" t="n"/>
      <c r="BE857" s="65" t="n"/>
      <c r="BF857" s="65" t="n"/>
      <c r="BG857" s="65" t="n"/>
    </row>
    <row r="858">
      <c r="F858" s="68" t="n"/>
      <c r="G858" s="68">
        <f>IF(B858="","",F858-I858 )</f>
        <v/>
      </c>
      <c r="H858" s="5">
        <f>IF(G858="","",G858/F858)</f>
        <v/>
      </c>
      <c r="I858" s="62">
        <f>SUM(テーブル9[[#This Row],[五大]:[工場材]])</f>
        <v/>
      </c>
      <c r="J858" s="65" t="n"/>
      <c r="K858" s="65" t="n"/>
      <c r="L858" s="65" t="n"/>
      <c r="M858" s="65" t="n"/>
      <c r="N858" s="65" t="n"/>
      <c r="O858" s="65" t="n"/>
      <c r="P858" s="65" t="n"/>
      <c r="Q858" s="65" t="n"/>
      <c r="R858" s="65" t="n"/>
      <c r="S858" s="65" t="n"/>
      <c r="T858" s="65" t="n"/>
      <c r="U858" s="65" t="n"/>
      <c r="V858" s="65" t="n"/>
      <c r="W858" s="65" t="n"/>
      <c r="X858" s="66" t="n"/>
      <c r="Y858" s="65" t="n"/>
      <c r="Z858" s="65" t="n"/>
      <c r="AA858" s="65" t="n"/>
      <c r="AB858" s="65" t="n"/>
      <c r="AC858" s="65" t="n"/>
      <c r="AD858" s="65" t="n"/>
      <c r="AE858" s="65" t="n"/>
      <c r="AF858" s="65" t="n"/>
      <c r="AG858" s="65" t="n"/>
      <c r="AH858" s="65" t="n"/>
      <c r="AI858" s="65" t="n"/>
      <c r="AJ858" s="65" t="n"/>
      <c r="AK858" s="65" t="n"/>
      <c r="AL858" s="65" t="n"/>
      <c r="AM858" s="65" t="n"/>
      <c r="AN858" s="65" t="n"/>
      <c r="AO858" s="65" t="n"/>
      <c r="AP858" s="65" t="n"/>
      <c r="AQ858" s="65" t="n"/>
      <c r="AR858" s="65" t="n"/>
      <c r="AS858" s="65" t="n"/>
      <c r="AT858" s="65" t="n"/>
      <c r="AU858" s="65" t="n"/>
      <c r="AV858" s="65" t="n"/>
      <c r="AW858" s="65" t="n"/>
      <c r="AX858" s="65" t="n"/>
      <c r="AY858" s="65" t="n"/>
      <c r="AZ858" s="65" t="n"/>
      <c r="BA858" s="65" t="n"/>
      <c r="BB858" s="65" t="n"/>
      <c r="BC858" s="65" t="n"/>
      <c r="BD858" s="65" t="n"/>
      <c r="BE858" s="65" t="n"/>
      <c r="BF858" s="65" t="n"/>
      <c r="BG858" s="65" t="n"/>
    </row>
    <row r="859">
      <c r="F859" s="68" t="n"/>
      <c r="G859" s="68">
        <f>IF(B859="","",F859-I859 )</f>
        <v/>
      </c>
      <c r="H859" s="5">
        <f>IF(G859="","",G859/F859)</f>
        <v/>
      </c>
      <c r="I859" s="62">
        <f>SUM(テーブル9[[#This Row],[五大]:[工場材]])</f>
        <v/>
      </c>
      <c r="J859" s="65" t="n"/>
      <c r="K859" s="65" t="n"/>
      <c r="L859" s="65" t="n"/>
      <c r="M859" s="65" t="n"/>
      <c r="N859" s="65" t="n"/>
      <c r="O859" s="65" t="n"/>
      <c r="P859" s="65" t="n"/>
      <c r="Q859" s="65" t="n"/>
      <c r="R859" s="65" t="n"/>
      <c r="S859" s="65" t="n"/>
      <c r="T859" s="65" t="n"/>
      <c r="U859" s="65" t="n"/>
      <c r="V859" s="65" t="n"/>
      <c r="W859" s="65" t="n"/>
      <c r="X859" s="66" t="n"/>
      <c r="Y859" s="65" t="n"/>
      <c r="Z859" s="65" t="n"/>
      <c r="AA859" s="65" t="n"/>
      <c r="AB859" s="65" t="n"/>
      <c r="AC859" s="65" t="n"/>
      <c r="AD859" s="65" t="n"/>
      <c r="AE859" s="65" t="n"/>
      <c r="AF859" s="65" t="n"/>
      <c r="AG859" s="65" t="n"/>
      <c r="AH859" s="65" t="n"/>
      <c r="AI859" s="65" t="n"/>
      <c r="AJ859" s="65" t="n"/>
      <c r="AK859" s="65" t="n"/>
      <c r="AL859" s="65" t="n"/>
      <c r="AM859" s="65" t="n"/>
      <c r="AN859" s="65" t="n"/>
      <c r="AO859" s="65" t="n"/>
      <c r="AP859" s="65" t="n"/>
      <c r="AQ859" s="65" t="n"/>
      <c r="AR859" s="65" t="n"/>
      <c r="AS859" s="65" t="n"/>
      <c r="AT859" s="65" t="n"/>
      <c r="AU859" s="65" t="n"/>
      <c r="AV859" s="65" t="n"/>
      <c r="AW859" s="65" t="n"/>
      <c r="AX859" s="65" t="n"/>
      <c r="AY859" s="65" t="n"/>
      <c r="AZ859" s="65" t="n"/>
      <c r="BA859" s="65" t="n"/>
      <c r="BB859" s="65" t="n"/>
      <c r="BC859" s="65" t="n"/>
      <c r="BD859" s="65" t="n"/>
      <c r="BE859" s="65" t="n"/>
      <c r="BF859" s="65" t="n"/>
      <c r="BG859" s="65" t="n"/>
    </row>
    <row r="860">
      <c r="F860" s="68" t="n"/>
      <c r="G860" s="68">
        <f>IF(B860="","",F860-I860 )</f>
        <v/>
      </c>
      <c r="H860" s="5">
        <f>IF(G860="","",G860/F860)</f>
        <v/>
      </c>
      <c r="I860" s="62">
        <f>SUM(テーブル9[[#This Row],[五大]:[工場材]])</f>
        <v/>
      </c>
      <c r="J860" s="65" t="n"/>
      <c r="K860" s="65" t="n"/>
      <c r="L860" s="65" t="n"/>
      <c r="M860" s="65" t="n"/>
      <c r="N860" s="65" t="n"/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6" t="n"/>
      <c r="Y860" s="65" t="n"/>
      <c r="Z860" s="65" t="n"/>
      <c r="AA860" s="65" t="n"/>
      <c r="AB860" s="65" t="n"/>
      <c r="AC860" s="65" t="n"/>
      <c r="AD860" s="65" t="n"/>
      <c r="AE860" s="65" t="n"/>
      <c r="AF860" s="65" t="n"/>
      <c r="AG860" s="65" t="n"/>
      <c r="AH860" s="65" t="n"/>
      <c r="AI860" s="65" t="n"/>
      <c r="AJ860" s="65" t="n"/>
      <c r="AK860" s="65" t="n"/>
      <c r="AL860" s="65" t="n"/>
      <c r="AM860" s="65" t="n"/>
      <c r="AN860" s="65" t="n"/>
      <c r="AO860" s="65" t="n"/>
      <c r="AP860" s="65" t="n"/>
      <c r="AQ860" s="65" t="n"/>
      <c r="AR860" s="65" t="n"/>
      <c r="AS860" s="65" t="n"/>
      <c r="AT860" s="65" t="n"/>
      <c r="AU860" s="65" t="n"/>
      <c r="AV860" s="65" t="n"/>
      <c r="AW860" s="65" t="n"/>
      <c r="AX860" s="65" t="n"/>
      <c r="AY860" s="65" t="n"/>
      <c r="AZ860" s="65" t="n"/>
      <c r="BA860" s="65" t="n"/>
      <c r="BB860" s="65" t="n"/>
      <c r="BC860" s="65" t="n"/>
      <c r="BD860" s="65" t="n"/>
      <c r="BE860" s="65" t="n"/>
      <c r="BF860" s="65" t="n"/>
      <c r="BG860" s="65" t="n"/>
    </row>
    <row r="861">
      <c r="F861" s="68" t="n"/>
      <c r="G861" s="68">
        <f>IF(B861="","",F861-I861 )</f>
        <v/>
      </c>
      <c r="H861" s="5">
        <f>IF(G861="","",G861/F861)</f>
        <v/>
      </c>
      <c r="I861" s="62">
        <f>SUM(テーブル9[[#This Row],[五大]:[工場材]])</f>
        <v/>
      </c>
      <c r="J861" s="65" t="n"/>
      <c r="K861" s="65" t="n"/>
      <c r="L861" s="65" t="n"/>
      <c r="M861" s="65" t="n"/>
      <c r="N861" s="65" t="n"/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6" t="n"/>
      <c r="Y861" s="65" t="n"/>
      <c r="Z861" s="65" t="n"/>
      <c r="AA861" s="65" t="n"/>
      <c r="AB861" s="65" t="n"/>
      <c r="AC861" s="65" t="n"/>
      <c r="AD861" s="65" t="n"/>
      <c r="AE861" s="65" t="n"/>
      <c r="AF861" s="65" t="n"/>
      <c r="AG861" s="65" t="n"/>
      <c r="AH861" s="65" t="n"/>
      <c r="AI861" s="65" t="n"/>
      <c r="AJ861" s="65" t="n"/>
      <c r="AK861" s="65" t="n"/>
      <c r="AL861" s="65" t="n"/>
      <c r="AM861" s="65" t="n"/>
      <c r="AN861" s="65" t="n"/>
      <c r="AO861" s="65" t="n"/>
      <c r="AP861" s="65" t="n"/>
      <c r="AQ861" s="65" t="n"/>
      <c r="AR861" s="65" t="n"/>
      <c r="AS861" s="65" t="n"/>
      <c r="AT861" s="65" t="n"/>
      <c r="AU861" s="65" t="n"/>
      <c r="AV861" s="65" t="n"/>
      <c r="AW861" s="65" t="n"/>
      <c r="AX861" s="65" t="n"/>
      <c r="AY861" s="65" t="n"/>
      <c r="AZ861" s="65" t="n"/>
      <c r="BA861" s="65" t="n"/>
      <c r="BB861" s="65" t="n"/>
      <c r="BC861" s="65" t="n"/>
      <c r="BD861" s="65" t="n"/>
      <c r="BE861" s="65" t="n"/>
      <c r="BF861" s="65" t="n"/>
      <c r="BG861" s="65" t="n"/>
    </row>
    <row r="862">
      <c r="F862" s="68" t="n"/>
      <c r="G862" s="68">
        <f>IF(B862="","",F862-I862 )</f>
        <v/>
      </c>
      <c r="H862" s="5">
        <f>IF(G862="","",G862/F862)</f>
        <v/>
      </c>
      <c r="I862" s="62">
        <f>SUM(テーブル9[[#This Row],[五大]:[工場材]])</f>
        <v/>
      </c>
      <c r="J862" s="65" t="n"/>
      <c r="K862" s="65" t="n"/>
      <c r="L862" s="65" t="n"/>
      <c r="M862" s="65" t="n"/>
      <c r="N862" s="65" t="n"/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6" t="n"/>
      <c r="Y862" s="65" t="n"/>
      <c r="Z862" s="65" t="n"/>
      <c r="AA862" s="65" t="n"/>
      <c r="AB862" s="65" t="n"/>
      <c r="AC862" s="65" t="n"/>
      <c r="AD862" s="65" t="n"/>
      <c r="AE862" s="65" t="n"/>
      <c r="AF862" s="65" t="n"/>
      <c r="AG862" s="65" t="n"/>
      <c r="AH862" s="65" t="n"/>
      <c r="AI862" s="65" t="n"/>
      <c r="AJ862" s="65" t="n"/>
      <c r="AK862" s="65" t="n"/>
      <c r="AL862" s="65" t="n"/>
      <c r="AM862" s="65" t="n"/>
      <c r="AN862" s="65" t="n"/>
      <c r="AO862" s="65" t="n"/>
      <c r="AP862" s="65" t="n"/>
      <c r="AQ862" s="65" t="n"/>
      <c r="AR862" s="65" t="n"/>
      <c r="AS862" s="65" t="n"/>
      <c r="AT862" s="65" t="n"/>
      <c r="AU862" s="65" t="n"/>
      <c r="AV862" s="65" t="n"/>
      <c r="AW862" s="65" t="n"/>
      <c r="AX862" s="65" t="n"/>
      <c r="AY862" s="65" t="n"/>
      <c r="AZ862" s="65" t="n"/>
      <c r="BA862" s="65" t="n"/>
      <c r="BB862" s="65" t="n"/>
      <c r="BC862" s="65" t="n"/>
      <c r="BD862" s="65" t="n"/>
      <c r="BE862" s="65" t="n"/>
      <c r="BF862" s="65" t="n"/>
      <c r="BG862" s="65" t="n"/>
    </row>
    <row r="863">
      <c r="F863" s="68" t="n"/>
      <c r="G863" s="68">
        <f>IF(B863="","",F863-I863 )</f>
        <v/>
      </c>
      <c r="H863" s="5">
        <f>IF(G863="","",G863/F863)</f>
        <v/>
      </c>
      <c r="I863" s="62">
        <f>SUM(テーブル9[[#This Row],[五大]:[工場材]])</f>
        <v/>
      </c>
      <c r="J863" s="65" t="n"/>
      <c r="K863" s="65" t="n"/>
      <c r="L863" s="65" t="n"/>
      <c r="M863" s="65" t="n"/>
      <c r="N863" s="65" t="n"/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6" t="n"/>
      <c r="Y863" s="65" t="n"/>
      <c r="Z863" s="65" t="n"/>
      <c r="AA863" s="65" t="n"/>
      <c r="AB863" s="65" t="n"/>
      <c r="AC863" s="65" t="n"/>
      <c r="AD863" s="65" t="n"/>
      <c r="AE863" s="65" t="n"/>
      <c r="AF863" s="65" t="n"/>
      <c r="AG863" s="65" t="n"/>
      <c r="AH863" s="65" t="n"/>
      <c r="AI863" s="65" t="n"/>
      <c r="AJ863" s="65" t="n"/>
      <c r="AK863" s="65" t="n"/>
      <c r="AL863" s="65" t="n"/>
      <c r="AM863" s="65" t="n"/>
      <c r="AN863" s="65" t="n"/>
      <c r="AO863" s="65" t="n"/>
      <c r="AP863" s="65" t="n"/>
      <c r="AQ863" s="65" t="n"/>
      <c r="AR863" s="65" t="n"/>
      <c r="AS863" s="65" t="n"/>
      <c r="AT863" s="65" t="n"/>
      <c r="AU863" s="65" t="n"/>
      <c r="AV863" s="65" t="n"/>
      <c r="AW863" s="65" t="n"/>
      <c r="AX863" s="65" t="n"/>
      <c r="AY863" s="65" t="n"/>
      <c r="AZ863" s="65" t="n"/>
      <c r="BA863" s="65" t="n"/>
      <c r="BB863" s="65" t="n"/>
      <c r="BC863" s="65" t="n"/>
      <c r="BD863" s="65" t="n"/>
      <c r="BE863" s="65" t="n"/>
      <c r="BF863" s="65" t="n"/>
      <c r="BG863" s="65" t="n"/>
    </row>
    <row r="864">
      <c r="F864" s="68" t="n"/>
      <c r="G864" s="68">
        <f>IF(B864="","",F864-I864 )</f>
        <v/>
      </c>
      <c r="H864" s="5">
        <f>IF(G864="","",G864/F864)</f>
        <v/>
      </c>
      <c r="I864" s="62">
        <f>SUM(テーブル9[[#This Row],[五大]:[工場材]])</f>
        <v/>
      </c>
      <c r="J864" s="65" t="n"/>
      <c r="K864" s="65" t="n"/>
      <c r="L864" s="65" t="n"/>
      <c r="M864" s="65" t="n"/>
      <c r="N864" s="65" t="n"/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6" t="n"/>
      <c r="Y864" s="65" t="n"/>
      <c r="Z864" s="65" t="n"/>
      <c r="AA864" s="65" t="n"/>
      <c r="AB864" s="65" t="n"/>
      <c r="AC864" s="65" t="n"/>
      <c r="AD864" s="65" t="n"/>
      <c r="AE864" s="65" t="n"/>
      <c r="AF864" s="65" t="n"/>
      <c r="AG864" s="65" t="n"/>
      <c r="AH864" s="65" t="n"/>
      <c r="AI864" s="65" t="n"/>
      <c r="AJ864" s="65" t="n"/>
      <c r="AK864" s="65" t="n"/>
      <c r="AL864" s="65" t="n"/>
      <c r="AM864" s="65" t="n"/>
      <c r="AN864" s="65" t="n"/>
      <c r="AO864" s="65" t="n"/>
      <c r="AP864" s="65" t="n"/>
      <c r="AQ864" s="65" t="n"/>
      <c r="AR864" s="65" t="n"/>
      <c r="AS864" s="65" t="n"/>
      <c r="AT864" s="65" t="n"/>
      <c r="AU864" s="65" t="n"/>
      <c r="AV864" s="65" t="n"/>
      <c r="AW864" s="65" t="n"/>
      <c r="AX864" s="65" t="n"/>
      <c r="AY864" s="65" t="n"/>
      <c r="AZ864" s="65" t="n"/>
      <c r="BA864" s="65" t="n"/>
      <c r="BB864" s="65" t="n"/>
      <c r="BC864" s="65" t="n"/>
      <c r="BD864" s="65" t="n"/>
      <c r="BE864" s="65" t="n"/>
      <c r="BF864" s="65" t="n"/>
      <c r="BG864" s="65" t="n"/>
    </row>
    <row r="865">
      <c r="F865" s="68" t="n"/>
      <c r="G865" s="68">
        <f>IF(B865="","",F865-I865 )</f>
        <v/>
      </c>
      <c r="H865" s="5">
        <f>IF(G865="","",G865/F865)</f>
        <v/>
      </c>
      <c r="I865" s="62">
        <f>SUM(テーブル9[[#This Row],[五大]:[工場材]])</f>
        <v/>
      </c>
      <c r="J865" s="65" t="n"/>
      <c r="K865" s="65" t="n"/>
      <c r="L865" s="65" t="n"/>
      <c r="M865" s="65" t="n"/>
      <c r="N865" s="65" t="n"/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6" t="n"/>
      <c r="Y865" s="65" t="n"/>
      <c r="Z865" s="65" t="n"/>
      <c r="AA865" s="65" t="n"/>
      <c r="AB865" s="65" t="n"/>
      <c r="AC865" s="65" t="n"/>
      <c r="AD865" s="65" t="n"/>
      <c r="AE865" s="65" t="n"/>
      <c r="AF865" s="65" t="n"/>
      <c r="AG865" s="65" t="n"/>
      <c r="AH865" s="65" t="n"/>
      <c r="AI865" s="65" t="n"/>
      <c r="AJ865" s="65" t="n"/>
      <c r="AK865" s="65" t="n"/>
      <c r="AL865" s="65" t="n"/>
      <c r="AM865" s="65" t="n"/>
      <c r="AN865" s="65" t="n"/>
      <c r="AO865" s="65" t="n"/>
      <c r="AP865" s="65" t="n"/>
      <c r="AQ865" s="65" t="n"/>
      <c r="AR865" s="65" t="n"/>
      <c r="AS865" s="65" t="n"/>
      <c r="AT865" s="65" t="n"/>
      <c r="AU865" s="65" t="n"/>
      <c r="AV865" s="65" t="n"/>
      <c r="AW865" s="65" t="n"/>
      <c r="AX865" s="65" t="n"/>
      <c r="AY865" s="65" t="n"/>
      <c r="AZ865" s="65" t="n"/>
      <c r="BA865" s="65" t="n"/>
      <c r="BB865" s="65" t="n"/>
      <c r="BC865" s="65" t="n"/>
      <c r="BD865" s="65" t="n"/>
      <c r="BE865" s="65" t="n"/>
      <c r="BF865" s="65" t="n"/>
      <c r="BG865" s="65" t="n"/>
    </row>
    <row r="866">
      <c r="F866" s="68" t="n"/>
      <c r="G866" s="68">
        <f>IF(B866="","",F866-I866 )</f>
        <v/>
      </c>
      <c r="H866" s="5">
        <f>IF(G866="","",G866/F866)</f>
        <v/>
      </c>
      <c r="I866" s="62">
        <f>SUM(テーブル9[[#This Row],[五大]:[工場材]])</f>
        <v/>
      </c>
      <c r="J866" s="65" t="n"/>
      <c r="K866" s="65" t="n"/>
      <c r="L866" s="65" t="n"/>
      <c r="M866" s="65" t="n"/>
      <c r="N866" s="65" t="n"/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6" t="n"/>
      <c r="Y866" s="65" t="n"/>
      <c r="Z866" s="65" t="n"/>
      <c r="AA866" s="65" t="n"/>
      <c r="AB866" s="65" t="n"/>
      <c r="AC866" s="65" t="n"/>
      <c r="AD866" s="65" t="n"/>
      <c r="AE866" s="65" t="n"/>
      <c r="AF866" s="65" t="n"/>
      <c r="AG866" s="65" t="n"/>
      <c r="AH866" s="65" t="n"/>
      <c r="AI866" s="65" t="n"/>
      <c r="AJ866" s="65" t="n"/>
      <c r="AK866" s="65" t="n"/>
      <c r="AL866" s="65" t="n"/>
      <c r="AM866" s="65" t="n"/>
      <c r="AN866" s="65" t="n"/>
      <c r="AO866" s="65" t="n"/>
      <c r="AP866" s="65" t="n"/>
      <c r="AQ866" s="65" t="n"/>
      <c r="AR866" s="65" t="n"/>
      <c r="AS866" s="65" t="n"/>
      <c r="AT866" s="65" t="n"/>
      <c r="AU866" s="65" t="n"/>
      <c r="AV866" s="65" t="n"/>
      <c r="AW866" s="65" t="n"/>
      <c r="AX866" s="65" t="n"/>
      <c r="AY866" s="65" t="n"/>
      <c r="AZ866" s="65" t="n"/>
      <c r="BA866" s="65" t="n"/>
      <c r="BB866" s="65" t="n"/>
      <c r="BC866" s="65" t="n"/>
      <c r="BD866" s="65" t="n"/>
      <c r="BE866" s="65" t="n"/>
      <c r="BF866" s="65" t="n"/>
      <c r="BG866" s="65" t="n"/>
    </row>
    <row r="867">
      <c r="F867" s="68" t="n"/>
      <c r="G867" s="68">
        <f>IF(B867="","",F867-I867 )</f>
        <v/>
      </c>
      <c r="H867" s="5">
        <f>IF(G867="","",G867/F867)</f>
        <v/>
      </c>
      <c r="I867" s="62">
        <f>SUM(テーブル9[[#This Row],[五大]:[工場材]])</f>
        <v/>
      </c>
      <c r="J867" s="65" t="n"/>
      <c r="K867" s="65" t="n"/>
      <c r="L867" s="65" t="n"/>
      <c r="M867" s="65" t="n"/>
      <c r="N867" s="65" t="n"/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6" t="n"/>
      <c r="Y867" s="65" t="n"/>
      <c r="Z867" s="65" t="n"/>
      <c r="AA867" s="65" t="n"/>
      <c r="AB867" s="65" t="n"/>
      <c r="AC867" s="65" t="n"/>
      <c r="AD867" s="65" t="n"/>
      <c r="AE867" s="65" t="n"/>
      <c r="AF867" s="65" t="n"/>
      <c r="AG867" s="65" t="n"/>
      <c r="AH867" s="65" t="n"/>
      <c r="AI867" s="65" t="n"/>
      <c r="AJ867" s="65" t="n"/>
      <c r="AK867" s="65" t="n"/>
      <c r="AL867" s="65" t="n"/>
      <c r="AM867" s="65" t="n"/>
      <c r="AN867" s="65" t="n"/>
      <c r="AO867" s="65" t="n"/>
      <c r="AP867" s="65" t="n"/>
      <c r="AQ867" s="65" t="n"/>
      <c r="AR867" s="65" t="n"/>
      <c r="AS867" s="65" t="n"/>
      <c r="AT867" s="65" t="n"/>
      <c r="AU867" s="65" t="n"/>
      <c r="AV867" s="65" t="n"/>
      <c r="AW867" s="65" t="n"/>
      <c r="AX867" s="65" t="n"/>
      <c r="AY867" s="65" t="n"/>
      <c r="AZ867" s="65" t="n"/>
      <c r="BA867" s="65" t="n"/>
      <c r="BB867" s="65" t="n"/>
      <c r="BC867" s="65" t="n"/>
      <c r="BD867" s="65" t="n"/>
      <c r="BE867" s="65" t="n"/>
      <c r="BF867" s="65" t="n"/>
      <c r="BG867" s="65" t="n"/>
    </row>
    <row r="868">
      <c r="F868" s="68" t="n"/>
      <c r="G868" s="68">
        <f>IF(B868="","",F868-I868 )</f>
        <v/>
      </c>
      <c r="H868" s="5">
        <f>IF(G868="","",G868/F868)</f>
        <v/>
      </c>
      <c r="I868" s="62">
        <f>SUM(テーブル9[[#This Row],[五大]:[工場材]])</f>
        <v/>
      </c>
      <c r="J868" s="65" t="n"/>
      <c r="K868" s="65" t="n"/>
      <c r="L868" s="65" t="n"/>
      <c r="M868" s="65" t="n"/>
      <c r="N868" s="65" t="n"/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6" t="n"/>
      <c r="Y868" s="65" t="n"/>
      <c r="Z868" s="65" t="n"/>
      <c r="AA868" s="65" t="n"/>
      <c r="AB868" s="65" t="n"/>
      <c r="AC868" s="65" t="n"/>
      <c r="AD868" s="65" t="n"/>
      <c r="AE868" s="65" t="n"/>
      <c r="AF868" s="65" t="n"/>
      <c r="AG868" s="65" t="n"/>
      <c r="AH868" s="65" t="n"/>
      <c r="AI868" s="65" t="n"/>
      <c r="AJ868" s="65" t="n"/>
      <c r="AK868" s="65" t="n"/>
      <c r="AL868" s="65" t="n"/>
      <c r="AM868" s="65" t="n"/>
      <c r="AN868" s="65" t="n"/>
      <c r="AO868" s="65" t="n"/>
      <c r="AP868" s="65" t="n"/>
      <c r="AQ868" s="65" t="n"/>
      <c r="AR868" s="65" t="n"/>
      <c r="AS868" s="65" t="n"/>
      <c r="AT868" s="65" t="n"/>
      <c r="AU868" s="65" t="n"/>
      <c r="AV868" s="65" t="n"/>
      <c r="AW868" s="65" t="n"/>
      <c r="AX868" s="65" t="n"/>
      <c r="AY868" s="65" t="n"/>
      <c r="AZ868" s="65" t="n"/>
      <c r="BA868" s="65" t="n"/>
      <c r="BB868" s="65" t="n"/>
      <c r="BC868" s="65" t="n"/>
      <c r="BD868" s="65" t="n"/>
      <c r="BE868" s="65" t="n"/>
      <c r="BF868" s="65" t="n"/>
      <c r="BG868" s="65" t="n"/>
    </row>
    <row r="869">
      <c r="F869" s="68" t="n"/>
      <c r="G869" s="68">
        <f>IF(B869="","",F869-I869 )</f>
        <v/>
      </c>
      <c r="H869" s="5">
        <f>IF(G869="","",G869/F869)</f>
        <v/>
      </c>
      <c r="I869" s="62">
        <f>SUM(テーブル9[[#This Row],[五大]:[工場材]])</f>
        <v/>
      </c>
      <c r="J869" s="65" t="n"/>
      <c r="K869" s="65" t="n"/>
      <c r="L869" s="65" t="n"/>
      <c r="M869" s="65" t="n"/>
      <c r="N869" s="65" t="n"/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6" t="n"/>
      <c r="Y869" s="65" t="n"/>
      <c r="Z869" s="65" t="n"/>
      <c r="AA869" s="65" t="n"/>
      <c r="AB869" s="65" t="n"/>
      <c r="AC869" s="65" t="n"/>
      <c r="AD869" s="65" t="n"/>
      <c r="AE869" s="65" t="n"/>
      <c r="AF869" s="65" t="n"/>
      <c r="AG869" s="65" t="n"/>
      <c r="AH869" s="65" t="n"/>
      <c r="AI869" s="65" t="n"/>
      <c r="AJ869" s="65" t="n"/>
      <c r="AK869" s="65" t="n"/>
      <c r="AL869" s="65" t="n"/>
      <c r="AM869" s="65" t="n"/>
      <c r="AN869" s="65" t="n"/>
      <c r="AO869" s="65" t="n"/>
      <c r="AP869" s="65" t="n"/>
      <c r="AQ869" s="65" t="n"/>
      <c r="AR869" s="65" t="n"/>
      <c r="AS869" s="65" t="n"/>
      <c r="AT869" s="65" t="n"/>
      <c r="AU869" s="65" t="n"/>
      <c r="AV869" s="65" t="n"/>
      <c r="AW869" s="65" t="n"/>
      <c r="AX869" s="65" t="n"/>
      <c r="AY869" s="65" t="n"/>
      <c r="AZ869" s="65" t="n"/>
      <c r="BA869" s="65" t="n"/>
      <c r="BB869" s="65" t="n"/>
      <c r="BC869" s="65" t="n"/>
      <c r="BD869" s="65" t="n"/>
      <c r="BE869" s="65" t="n"/>
      <c r="BF869" s="65" t="n"/>
      <c r="BG869" s="65" t="n"/>
    </row>
    <row r="870">
      <c r="F870" s="68" t="n"/>
      <c r="G870" s="68">
        <f>IF(B870="","",F870-I870 )</f>
        <v/>
      </c>
      <c r="H870" s="5">
        <f>IF(G870="","",G870/F870)</f>
        <v/>
      </c>
      <c r="I870" s="62">
        <f>SUM(テーブル9[[#This Row],[五大]:[工場材]])</f>
        <v/>
      </c>
      <c r="J870" s="65" t="n"/>
      <c r="K870" s="65" t="n"/>
      <c r="L870" s="65" t="n"/>
      <c r="M870" s="65" t="n"/>
      <c r="N870" s="65" t="n"/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6" t="n"/>
      <c r="Y870" s="65" t="n"/>
      <c r="Z870" s="65" t="n"/>
      <c r="AA870" s="65" t="n"/>
      <c r="AB870" s="65" t="n"/>
      <c r="AC870" s="65" t="n"/>
      <c r="AD870" s="65" t="n"/>
      <c r="AE870" s="65" t="n"/>
      <c r="AF870" s="65" t="n"/>
      <c r="AG870" s="65" t="n"/>
      <c r="AH870" s="65" t="n"/>
      <c r="AI870" s="65" t="n"/>
      <c r="AJ870" s="65" t="n"/>
      <c r="AK870" s="65" t="n"/>
      <c r="AL870" s="65" t="n"/>
      <c r="AM870" s="65" t="n"/>
      <c r="AN870" s="65" t="n"/>
      <c r="AO870" s="65" t="n"/>
      <c r="AP870" s="65" t="n"/>
      <c r="AQ870" s="65" t="n"/>
      <c r="AR870" s="65" t="n"/>
      <c r="AS870" s="65" t="n"/>
      <c r="AT870" s="65" t="n"/>
      <c r="AU870" s="65" t="n"/>
      <c r="AV870" s="65" t="n"/>
      <c r="AW870" s="65" t="n"/>
      <c r="AX870" s="65" t="n"/>
      <c r="AY870" s="65" t="n"/>
      <c r="AZ870" s="65" t="n"/>
      <c r="BA870" s="65" t="n"/>
      <c r="BB870" s="65" t="n"/>
      <c r="BC870" s="65" t="n"/>
      <c r="BD870" s="65" t="n"/>
      <c r="BE870" s="65" t="n"/>
      <c r="BF870" s="65" t="n"/>
      <c r="BG870" s="65" t="n"/>
    </row>
    <row r="871">
      <c r="F871" s="68" t="n"/>
      <c r="G871" s="68">
        <f>IF(B871="","",F871-I871 )</f>
        <v/>
      </c>
      <c r="H871" s="5">
        <f>IF(G871="","",G871/F871)</f>
        <v/>
      </c>
      <c r="I871" s="62">
        <f>SUM(テーブル9[[#This Row],[五大]:[工場材]])</f>
        <v/>
      </c>
      <c r="J871" s="65" t="n"/>
      <c r="K871" s="65" t="n"/>
      <c r="L871" s="65" t="n"/>
      <c r="M871" s="65" t="n"/>
      <c r="N871" s="65" t="n"/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6" t="n"/>
      <c r="Y871" s="65" t="n"/>
      <c r="Z871" s="65" t="n"/>
      <c r="AA871" s="65" t="n"/>
      <c r="AB871" s="65" t="n"/>
      <c r="AC871" s="65" t="n"/>
      <c r="AD871" s="65" t="n"/>
      <c r="AE871" s="65" t="n"/>
      <c r="AF871" s="65" t="n"/>
      <c r="AG871" s="65" t="n"/>
      <c r="AH871" s="65" t="n"/>
      <c r="AI871" s="65" t="n"/>
      <c r="AJ871" s="65" t="n"/>
      <c r="AK871" s="65" t="n"/>
      <c r="AL871" s="65" t="n"/>
      <c r="AM871" s="65" t="n"/>
      <c r="AN871" s="65" t="n"/>
      <c r="AO871" s="65" t="n"/>
      <c r="AP871" s="65" t="n"/>
      <c r="AQ871" s="65" t="n"/>
      <c r="AR871" s="65" t="n"/>
      <c r="AS871" s="65" t="n"/>
      <c r="AT871" s="65" t="n"/>
      <c r="AU871" s="65" t="n"/>
      <c r="AV871" s="65" t="n"/>
      <c r="AW871" s="65" t="n"/>
      <c r="AX871" s="65" t="n"/>
      <c r="AY871" s="65" t="n"/>
      <c r="AZ871" s="65" t="n"/>
      <c r="BA871" s="65" t="n"/>
      <c r="BB871" s="65" t="n"/>
      <c r="BC871" s="65" t="n"/>
      <c r="BD871" s="65" t="n"/>
      <c r="BE871" s="65" t="n"/>
      <c r="BF871" s="65" t="n"/>
      <c r="BG871" s="65" t="n"/>
    </row>
    <row r="872">
      <c r="F872" s="68" t="n"/>
      <c r="G872" s="68">
        <f>IF(B872="","",F872-I872 )</f>
        <v/>
      </c>
      <c r="H872" s="5">
        <f>IF(G872="","",G872/F872)</f>
        <v/>
      </c>
      <c r="I872" s="62">
        <f>SUM(テーブル9[[#This Row],[五大]:[工場材]])</f>
        <v/>
      </c>
      <c r="J872" s="65" t="n"/>
      <c r="K872" s="65" t="n"/>
      <c r="L872" s="65" t="n"/>
      <c r="M872" s="65" t="n"/>
      <c r="N872" s="65" t="n"/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6" t="n"/>
      <c r="Y872" s="65" t="n"/>
      <c r="Z872" s="65" t="n"/>
      <c r="AA872" s="65" t="n"/>
      <c r="AB872" s="65" t="n"/>
      <c r="AC872" s="65" t="n"/>
      <c r="AD872" s="65" t="n"/>
      <c r="AE872" s="65" t="n"/>
      <c r="AF872" s="65" t="n"/>
      <c r="AG872" s="65" t="n"/>
      <c r="AH872" s="65" t="n"/>
      <c r="AI872" s="65" t="n"/>
      <c r="AJ872" s="65" t="n"/>
      <c r="AK872" s="65" t="n"/>
      <c r="AL872" s="65" t="n"/>
      <c r="AM872" s="65" t="n"/>
      <c r="AN872" s="65" t="n"/>
      <c r="AO872" s="65" t="n"/>
      <c r="AP872" s="65" t="n"/>
      <c r="AQ872" s="65" t="n"/>
      <c r="AR872" s="65" t="n"/>
      <c r="AS872" s="65" t="n"/>
      <c r="AT872" s="65" t="n"/>
      <c r="AU872" s="65" t="n"/>
      <c r="AV872" s="65" t="n"/>
      <c r="AW872" s="65" t="n"/>
      <c r="AX872" s="65" t="n"/>
      <c r="AY872" s="65" t="n"/>
      <c r="AZ872" s="65" t="n"/>
      <c r="BA872" s="65" t="n"/>
      <c r="BB872" s="65" t="n"/>
      <c r="BC872" s="65" t="n"/>
      <c r="BD872" s="65" t="n"/>
      <c r="BE872" s="65" t="n"/>
      <c r="BF872" s="65" t="n"/>
      <c r="BG872" s="65" t="n"/>
    </row>
    <row r="873">
      <c r="F873" s="68" t="n"/>
      <c r="G873" s="68">
        <f>IF(B873="","",F873-I873 )</f>
        <v/>
      </c>
      <c r="H873" s="5">
        <f>IF(G873="","",G873/F873)</f>
        <v/>
      </c>
      <c r="I873" s="62">
        <f>SUM(テーブル9[[#This Row],[五大]:[工場材]])</f>
        <v/>
      </c>
      <c r="J873" s="65" t="n"/>
      <c r="K873" s="65" t="n"/>
      <c r="L873" s="65" t="n"/>
      <c r="M873" s="65" t="n"/>
      <c r="N873" s="65" t="n"/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6" t="n"/>
      <c r="Y873" s="65" t="n"/>
      <c r="Z873" s="65" t="n"/>
      <c r="AA873" s="65" t="n"/>
      <c r="AB873" s="65" t="n"/>
      <c r="AC873" s="65" t="n"/>
      <c r="AD873" s="65" t="n"/>
      <c r="AE873" s="65" t="n"/>
      <c r="AF873" s="65" t="n"/>
      <c r="AG873" s="65" t="n"/>
      <c r="AH873" s="65" t="n"/>
      <c r="AI873" s="65" t="n"/>
      <c r="AJ873" s="65" t="n"/>
      <c r="AK873" s="65" t="n"/>
      <c r="AL873" s="65" t="n"/>
      <c r="AM873" s="65" t="n"/>
      <c r="AN873" s="65" t="n"/>
      <c r="AO873" s="65" t="n"/>
      <c r="AP873" s="65" t="n"/>
      <c r="AQ873" s="65" t="n"/>
      <c r="AR873" s="65" t="n"/>
      <c r="AS873" s="65" t="n"/>
      <c r="AT873" s="65" t="n"/>
      <c r="AU873" s="65" t="n"/>
      <c r="AV873" s="65" t="n"/>
      <c r="AW873" s="65" t="n"/>
      <c r="AX873" s="65" t="n"/>
      <c r="AY873" s="65" t="n"/>
      <c r="AZ873" s="65" t="n"/>
      <c r="BA873" s="65" t="n"/>
      <c r="BB873" s="65" t="n"/>
      <c r="BC873" s="65" t="n"/>
      <c r="BD873" s="65" t="n"/>
      <c r="BE873" s="65" t="n"/>
      <c r="BF873" s="65" t="n"/>
      <c r="BG873" s="65" t="n"/>
    </row>
    <row r="874">
      <c r="F874" s="68" t="n"/>
      <c r="G874" s="68">
        <f>IF(B874="","",F874-I874 )</f>
        <v/>
      </c>
      <c r="H874" s="5">
        <f>IF(G874="","",G874/F874)</f>
        <v/>
      </c>
      <c r="I874" s="62">
        <f>SUM(テーブル9[[#This Row],[五大]:[工場材]])</f>
        <v/>
      </c>
      <c r="J874" s="65" t="n"/>
      <c r="K874" s="65" t="n"/>
      <c r="L874" s="65" t="n"/>
      <c r="M874" s="65" t="n"/>
      <c r="N874" s="65" t="n"/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6" t="n"/>
      <c r="Y874" s="65" t="n"/>
      <c r="Z874" s="65" t="n"/>
      <c r="AA874" s="65" t="n"/>
      <c r="AB874" s="65" t="n"/>
      <c r="AC874" s="65" t="n"/>
      <c r="AD874" s="65" t="n"/>
      <c r="AE874" s="65" t="n"/>
      <c r="AF874" s="65" t="n"/>
      <c r="AG874" s="65" t="n"/>
      <c r="AH874" s="65" t="n"/>
      <c r="AI874" s="65" t="n"/>
      <c r="AJ874" s="65" t="n"/>
      <c r="AK874" s="65" t="n"/>
      <c r="AL874" s="65" t="n"/>
      <c r="AM874" s="65" t="n"/>
      <c r="AN874" s="65" t="n"/>
      <c r="AO874" s="65" t="n"/>
      <c r="AP874" s="65" t="n"/>
      <c r="AQ874" s="65" t="n"/>
      <c r="AR874" s="65" t="n"/>
      <c r="AS874" s="65" t="n"/>
      <c r="AT874" s="65" t="n"/>
      <c r="AU874" s="65" t="n"/>
      <c r="AV874" s="65" t="n"/>
      <c r="AW874" s="65" t="n"/>
      <c r="AX874" s="65" t="n"/>
      <c r="AY874" s="65" t="n"/>
      <c r="AZ874" s="65" t="n"/>
      <c r="BA874" s="65" t="n"/>
      <c r="BB874" s="65" t="n"/>
      <c r="BC874" s="65" t="n"/>
      <c r="BD874" s="65" t="n"/>
      <c r="BE874" s="65" t="n"/>
      <c r="BF874" s="65" t="n"/>
      <c r="BG874" s="65" t="n"/>
    </row>
    <row r="875">
      <c r="F875" s="68" t="n"/>
      <c r="G875" s="68">
        <f>IF(B875="","",F875-I875 )</f>
        <v/>
      </c>
      <c r="H875" s="5">
        <f>IF(G875="","",G875/F875)</f>
        <v/>
      </c>
      <c r="I875" s="62">
        <f>SUM(テーブル9[[#This Row],[五大]:[工場材]])</f>
        <v/>
      </c>
      <c r="J875" s="65" t="n"/>
      <c r="K875" s="65" t="n"/>
      <c r="L875" s="65" t="n"/>
      <c r="M875" s="65" t="n"/>
      <c r="N875" s="65" t="n"/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6" t="n"/>
      <c r="Y875" s="65" t="n"/>
      <c r="Z875" s="65" t="n"/>
      <c r="AA875" s="65" t="n"/>
      <c r="AB875" s="65" t="n"/>
      <c r="AC875" s="65" t="n"/>
      <c r="AD875" s="65" t="n"/>
      <c r="AE875" s="65" t="n"/>
      <c r="AF875" s="65" t="n"/>
      <c r="AG875" s="65" t="n"/>
      <c r="AH875" s="65" t="n"/>
      <c r="AI875" s="65" t="n"/>
      <c r="AJ875" s="65" t="n"/>
      <c r="AK875" s="65" t="n"/>
      <c r="AL875" s="65" t="n"/>
      <c r="AM875" s="65" t="n"/>
      <c r="AN875" s="65" t="n"/>
      <c r="AO875" s="65" t="n"/>
      <c r="AP875" s="65" t="n"/>
      <c r="AQ875" s="65" t="n"/>
      <c r="AR875" s="65" t="n"/>
      <c r="AS875" s="65" t="n"/>
      <c r="AT875" s="65" t="n"/>
      <c r="AU875" s="65" t="n"/>
      <c r="AV875" s="65" t="n"/>
      <c r="AW875" s="65" t="n"/>
      <c r="AX875" s="65" t="n"/>
      <c r="AY875" s="65" t="n"/>
      <c r="AZ875" s="65" t="n"/>
      <c r="BA875" s="65" t="n"/>
      <c r="BB875" s="65" t="n"/>
      <c r="BC875" s="65" t="n"/>
      <c r="BD875" s="65" t="n"/>
      <c r="BE875" s="65" t="n"/>
      <c r="BF875" s="65" t="n"/>
      <c r="BG875" s="65" t="n"/>
    </row>
    <row r="876">
      <c r="F876" s="68" t="n"/>
      <c r="G876" s="68">
        <f>IF(B876="","",F876-I876 )</f>
        <v/>
      </c>
      <c r="H876" s="5">
        <f>IF(G876="","",G876/F876)</f>
        <v/>
      </c>
      <c r="I876" s="62">
        <f>SUM(テーブル9[[#This Row],[五大]:[工場材]])</f>
        <v/>
      </c>
      <c r="J876" s="65" t="n"/>
      <c r="K876" s="65" t="n"/>
      <c r="L876" s="65" t="n"/>
      <c r="M876" s="65" t="n"/>
      <c r="N876" s="65" t="n"/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6" t="n"/>
      <c r="Y876" s="65" t="n"/>
      <c r="Z876" s="65" t="n"/>
      <c r="AA876" s="65" t="n"/>
      <c r="AB876" s="65" t="n"/>
      <c r="AC876" s="65" t="n"/>
      <c r="AD876" s="65" t="n"/>
      <c r="AE876" s="65" t="n"/>
      <c r="AF876" s="65" t="n"/>
      <c r="AG876" s="65" t="n"/>
      <c r="AH876" s="65" t="n"/>
      <c r="AI876" s="65" t="n"/>
      <c r="AJ876" s="65" t="n"/>
      <c r="AK876" s="65" t="n"/>
      <c r="AL876" s="65" t="n"/>
      <c r="AM876" s="65" t="n"/>
      <c r="AN876" s="65" t="n"/>
      <c r="AO876" s="65" t="n"/>
      <c r="AP876" s="65" t="n"/>
      <c r="AQ876" s="65" t="n"/>
      <c r="AR876" s="65" t="n"/>
      <c r="AS876" s="65" t="n"/>
      <c r="AT876" s="65" t="n"/>
      <c r="AU876" s="65" t="n"/>
      <c r="AV876" s="65" t="n"/>
      <c r="AW876" s="65" t="n"/>
      <c r="AX876" s="65" t="n"/>
      <c r="AY876" s="65" t="n"/>
      <c r="AZ876" s="65" t="n"/>
      <c r="BA876" s="65" t="n"/>
      <c r="BB876" s="65" t="n"/>
      <c r="BC876" s="65" t="n"/>
      <c r="BD876" s="65" t="n"/>
      <c r="BE876" s="65" t="n"/>
      <c r="BF876" s="65" t="n"/>
      <c r="BG876" s="65" t="n"/>
    </row>
    <row r="877">
      <c r="F877" s="68" t="n"/>
      <c r="G877" s="68">
        <f>IF(B877="","",F877-I877 )</f>
        <v/>
      </c>
      <c r="H877" s="5">
        <f>IF(G877="","",G877/F877)</f>
        <v/>
      </c>
      <c r="I877" s="62">
        <f>SUM(テーブル9[[#This Row],[五大]:[工場材]])</f>
        <v/>
      </c>
      <c r="J877" s="65" t="n"/>
      <c r="K877" s="65" t="n"/>
      <c r="L877" s="65" t="n"/>
      <c r="M877" s="65" t="n"/>
      <c r="N877" s="65" t="n"/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6" t="n"/>
      <c r="Y877" s="65" t="n"/>
      <c r="Z877" s="65" t="n"/>
      <c r="AA877" s="65" t="n"/>
      <c r="AB877" s="65" t="n"/>
      <c r="AC877" s="65" t="n"/>
      <c r="AD877" s="65" t="n"/>
      <c r="AE877" s="65" t="n"/>
      <c r="AF877" s="65" t="n"/>
      <c r="AG877" s="65" t="n"/>
      <c r="AH877" s="65" t="n"/>
      <c r="AI877" s="65" t="n"/>
      <c r="AJ877" s="65" t="n"/>
      <c r="AK877" s="65" t="n"/>
      <c r="AL877" s="65" t="n"/>
      <c r="AM877" s="65" t="n"/>
      <c r="AN877" s="65" t="n"/>
      <c r="AO877" s="65" t="n"/>
      <c r="AP877" s="65" t="n"/>
      <c r="AQ877" s="65" t="n"/>
      <c r="AR877" s="65" t="n"/>
      <c r="AS877" s="65" t="n"/>
      <c r="AT877" s="65" t="n"/>
      <c r="AU877" s="65" t="n"/>
      <c r="AV877" s="65" t="n"/>
      <c r="AW877" s="65" t="n"/>
      <c r="AX877" s="65" t="n"/>
      <c r="AY877" s="65" t="n"/>
      <c r="AZ877" s="65" t="n"/>
      <c r="BA877" s="65" t="n"/>
      <c r="BB877" s="65" t="n"/>
      <c r="BC877" s="65" t="n"/>
      <c r="BD877" s="65" t="n"/>
      <c r="BE877" s="65" t="n"/>
      <c r="BF877" s="65" t="n"/>
      <c r="BG877" s="65" t="n"/>
    </row>
    <row r="878">
      <c r="F878" s="68" t="n"/>
      <c r="G878" s="68">
        <f>IF(B878="","",F878-I878 )</f>
        <v/>
      </c>
      <c r="H878" s="5">
        <f>IF(G878="","",G878/F878)</f>
        <v/>
      </c>
      <c r="I878" s="62">
        <f>SUM(テーブル9[[#This Row],[五大]:[工場材]])</f>
        <v/>
      </c>
      <c r="J878" s="65" t="n"/>
      <c r="K878" s="65" t="n"/>
      <c r="L878" s="65" t="n"/>
      <c r="M878" s="65" t="n"/>
      <c r="N878" s="65" t="n"/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6" t="n"/>
      <c r="Y878" s="65" t="n"/>
      <c r="Z878" s="65" t="n"/>
      <c r="AA878" s="65" t="n"/>
      <c r="AB878" s="65" t="n"/>
      <c r="AC878" s="65" t="n"/>
      <c r="AD878" s="65" t="n"/>
      <c r="AE878" s="65" t="n"/>
      <c r="AF878" s="65" t="n"/>
      <c r="AG878" s="65" t="n"/>
      <c r="AH878" s="65" t="n"/>
      <c r="AI878" s="65" t="n"/>
      <c r="AJ878" s="65" t="n"/>
      <c r="AK878" s="65" t="n"/>
      <c r="AL878" s="65" t="n"/>
      <c r="AM878" s="65" t="n"/>
      <c r="AN878" s="65" t="n"/>
      <c r="AO878" s="65" t="n"/>
      <c r="AP878" s="65" t="n"/>
      <c r="AQ878" s="65" t="n"/>
      <c r="AR878" s="65" t="n"/>
      <c r="AS878" s="65" t="n"/>
      <c r="AT878" s="65" t="n"/>
      <c r="AU878" s="65" t="n"/>
      <c r="AV878" s="65" t="n"/>
      <c r="AW878" s="65" t="n"/>
      <c r="AX878" s="65" t="n"/>
      <c r="AY878" s="65" t="n"/>
      <c r="AZ878" s="65" t="n"/>
      <c r="BA878" s="65" t="n"/>
      <c r="BB878" s="65" t="n"/>
      <c r="BC878" s="65" t="n"/>
      <c r="BD878" s="65" t="n"/>
      <c r="BE878" s="65" t="n"/>
      <c r="BF878" s="65" t="n"/>
      <c r="BG878" s="65" t="n"/>
    </row>
    <row r="879">
      <c r="F879" s="68" t="n"/>
      <c r="G879" s="68">
        <f>IF(B879="","",F879-I879 )</f>
        <v/>
      </c>
      <c r="H879" s="5">
        <f>IF(G879="","",G879/F879)</f>
        <v/>
      </c>
      <c r="I879" s="62">
        <f>SUM(テーブル9[[#This Row],[五大]:[工場材]])</f>
        <v/>
      </c>
      <c r="J879" s="65" t="n"/>
      <c r="K879" s="65" t="n"/>
      <c r="L879" s="65" t="n"/>
      <c r="M879" s="65" t="n"/>
      <c r="N879" s="65" t="n"/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6" t="n"/>
      <c r="Y879" s="65" t="n"/>
      <c r="Z879" s="65" t="n"/>
      <c r="AA879" s="65" t="n"/>
      <c r="AB879" s="65" t="n"/>
      <c r="AC879" s="65" t="n"/>
      <c r="AD879" s="65" t="n"/>
      <c r="AE879" s="65" t="n"/>
      <c r="AF879" s="65" t="n"/>
      <c r="AG879" s="65" t="n"/>
      <c r="AH879" s="65" t="n"/>
      <c r="AI879" s="65" t="n"/>
      <c r="AJ879" s="65" t="n"/>
      <c r="AK879" s="65" t="n"/>
      <c r="AL879" s="65" t="n"/>
      <c r="AM879" s="65" t="n"/>
      <c r="AN879" s="65" t="n"/>
      <c r="AO879" s="65" t="n"/>
      <c r="AP879" s="65" t="n"/>
      <c r="AQ879" s="65" t="n"/>
      <c r="AR879" s="65" t="n"/>
      <c r="AS879" s="65" t="n"/>
      <c r="AT879" s="65" t="n"/>
      <c r="AU879" s="65" t="n"/>
      <c r="AV879" s="65" t="n"/>
      <c r="AW879" s="65" t="n"/>
      <c r="AX879" s="65" t="n"/>
      <c r="AY879" s="65" t="n"/>
      <c r="AZ879" s="65" t="n"/>
      <c r="BA879" s="65" t="n"/>
      <c r="BB879" s="65" t="n"/>
      <c r="BC879" s="65" t="n"/>
      <c r="BD879" s="65" t="n"/>
      <c r="BE879" s="65" t="n"/>
      <c r="BF879" s="65" t="n"/>
      <c r="BG879" s="65" t="n"/>
    </row>
    <row r="880">
      <c r="F880" s="68" t="n"/>
      <c r="G880" s="68">
        <f>IF(B880="","",F880-I880 )</f>
        <v/>
      </c>
      <c r="H880" s="5">
        <f>IF(G880="","",G880/F880)</f>
        <v/>
      </c>
      <c r="I880" s="62">
        <f>SUM(テーブル9[[#This Row],[五大]:[工場材]])</f>
        <v/>
      </c>
      <c r="J880" s="65" t="n"/>
      <c r="K880" s="65" t="n"/>
      <c r="L880" s="65" t="n"/>
      <c r="M880" s="65" t="n"/>
      <c r="N880" s="65" t="n"/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6" t="n"/>
      <c r="Y880" s="65" t="n"/>
      <c r="Z880" s="65" t="n"/>
      <c r="AA880" s="65" t="n"/>
      <c r="AB880" s="65" t="n"/>
      <c r="AC880" s="65" t="n"/>
      <c r="AD880" s="65" t="n"/>
      <c r="AE880" s="65" t="n"/>
      <c r="AF880" s="65" t="n"/>
      <c r="AG880" s="65" t="n"/>
      <c r="AH880" s="65" t="n"/>
      <c r="AI880" s="65" t="n"/>
      <c r="AJ880" s="65" t="n"/>
      <c r="AK880" s="65" t="n"/>
      <c r="AL880" s="65" t="n"/>
      <c r="AM880" s="65" t="n"/>
      <c r="AN880" s="65" t="n"/>
      <c r="AO880" s="65" t="n"/>
      <c r="AP880" s="65" t="n"/>
      <c r="AQ880" s="65" t="n"/>
      <c r="AR880" s="65" t="n"/>
      <c r="AS880" s="65" t="n"/>
      <c r="AT880" s="65" t="n"/>
      <c r="AU880" s="65" t="n"/>
      <c r="AV880" s="65" t="n"/>
      <c r="AW880" s="65" t="n"/>
      <c r="AX880" s="65" t="n"/>
      <c r="AY880" s="65" t="n"/>
      <c r="AZ880" s="65" t="n"/>
      <c r="BA880" s="65" t="n"/>
      <c r="BB880" s="65" t="n"/>
      <c r="BC880" s="65" t="n"/>
      <c r="BD880" s="65" t="n"/>
      <c r="BE880" s="65" t="n"/>
      <c r="BF880" s="65" t="n"/>
      <c r="BG880" s="65" t="n"/>
    </row>
    <row r="881">
      <c r="F881" s="68" t="n"/>
      <c r="G881" s="68">
        <f>IF(B881="","",F881-I881 )</f>
        <v/>
      </c>
      <c r="H881" s="5">
        <f>IF(G881="","",G881/F881)</f>
        <v/>
      </c>
      <c r="I881" s="62">
        <f>SUM(テーブル9[[#This Row],[五大]:[工場材]])</f>
        <v/>
      </c>
      <c r="J881" s="65" t="n"/>
      <c r="K881" s="65" t="n"/>
      <c r="L881" s="65" t="n"/>
      <c r="M881" s="65" t="n"/>
      <c r="N881" s="65" t="n"/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6" t="n"/>
      <c r="Y881" s="65" t="n"/>
      <c r="Z881" s="65" t="n"/>
      <c r="AA881" s="65" t="n"/>
      <c r="AB881" s="65" t="n"/>
      <c r="AC881" s="65" t="n"/>
      <c r="AD881" s="65" t="n"/>
      <c r="AE881" s="65" t="n"/>
      <c r="AF881" s="65" t="n"/>
      <c r="AG881" s="65" t="n"/>
      <c r="AH881" s="65" t="n"/>
      <c r="AI881" s="65" t="n"/>
      <c r="AJ881" s="65" t="n"/>
      <c r="AK881" s="65" t="n"/>
      <c r="AL881" s="65" t="n"/>
      <c r="AM881" s="65" t="n"/>
      <c r="AN881" s="65" t="n"/>
      <c r="AO881" s="65" t="n"/>
      <c r="AP881" s="65" t="n"/>
      <c r="AQ881" s="65" t="n"/>
      <c r="AR881" s="65" t="n"/>
      <c r="AS881" s="65" t="n"/>
      <c r="AT881" s="65" t="n"/>
      <c r="AU881" s="65" t="n"/>
      <c r="AV881" s="65" t="n"/>
      <c r="AW881" s="65" t="n"/>
      <c r="AX881" s="65" t="n"/>
      <c r="AY881" s="65" t="n"/>
      <c r="AZ881" s="65" t="n"/>
      <c r="BA881" s="65" t="n"/>
      <c r="BB881" s="65" t="n"/>
      <c r="BC881" s="65" t="n"/>
      <c r="BD881" s="65" t="n"/>
      <c r="BE881" s="65" t="n"/>
      <c r="BF881" s="65" t="n"/>
      <c r="BG881" s="65" t="n"/>
    </row>
    <row r="882">
      <c r="F882" s="68" t="n"/>
      <c r="G882" s="68">
        <f>IF(B882="","",F882-I882 )</f>
        <v/>
      </c>
      <c r="H882" s="5">
        <f>IF(G882="","",G882/F882)</f>
        <v/>
      </c>
      <c r="I882" s="62">
        <f>SUM(テーブル9[[#This Row],[五大]:[工場材]])</f>
        <v/>
      </c>
      <c r="J882" s="65" t="n"/>
      <c r="K882" s="65" t="n"/>
      <c r="L882" s="65" t="n"/>
      <c r="M882" s="65" t="n"/>
      <c r="N882" s="65" t="n"/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6" t="n"/>
      <c r="Y882" s="65" t="n"/>
      <c r="Z882" s="65" t="n"/>
      <c r="AA882" s="65" t="n"/>
      <c r="AB882" s="65" t="n"/>
      <c r="AC882" s="65" t="n"/>
      <c r="AD882" s="65" t="n"/>
      <c r="AE882" s="65" t="n"/>
      <c r="AF882" s="65" t="n"/>
      <c r="AG882" s="65" t="n"/>
      <c r="AH882" s="65" t="n"/>
      <c r="AI882" s="65" t="n"/>
      <c r="AJ882" s="65" t="n"/>
      <c r="AK882" s="65" t="n"/>
      <c r="AL882" s="65" t="n"/>
      <c r="AM882" s="65" t="n"/>
      <c r="AN882" s="65" t="n"/>
      <c r="AO882" s="65" t="n"/>
      <c r="AP882" s="65" t="n"/>
      <c r="AQ882" s="65" t="n"/>
      <c r="AR882" s="65" t="n"/>
      <c r="AS882" s="65" t="n"/>
      <c r="AT882" s="65" t="n"/>
      <c r="AU882" s="65" t="n"/>
      <c r="AV882" s="65" t="n"/>
      <c r="AW882" s="65" t="n"/>
      <c r="AX882" s="65" t="n"/>
      <c r="AY882" s="65" t="n"/>
      <c r="AZ882" s="65" t="n"/>
      <c r="BA882" s="65" t="n"/>
      <c r="BB882" s="65" t="n"/>
      <c r="BC882" s="65" t="n"/>
      <c r="BD882" s="65" t="n"/>
      <c r="BE882" s="65" t="n"/>
      <c r="BF882" s="65" t="n"/>
      <c r="BG882" s="65" t="n"/>
    </row>
    <row r="883">
      <c r="F883" s="68" t="n"/>
      <c r="G883" s="68">
        <f>IF(B883="","",F883-I883 )</f>
        <v/>
      </c>
      <c r="H883" s="5">
        <f>IF(G883="","",G883/F883)</f>
        <v/>
      </c>
      <c r="I883" s="62">
        <f>SUM(テーブル9[[#This Row],[五大]:[工場材]])</f>
        <v/>
      </c>
      <c r="J883" s="65" t="n"/>
      <c r="K883" s="65" t="n"/>
      <c r="L883" s="65" t="n"/>
      <c r="M883" s="65" t="n"/>
      <c r="N883" s="65" t="n"/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6" t="n"/>
      <c r="Y883" s="65" t="n"/>
      <c r="Z883" s="65" t="n"/>
      <c r="AA883" s="65" t="n"/>
      <c r="AB883" s="65" t="n"/>
      <c r="AC883" s="65" t="n"/>
      <c r="AD883" s="65" t="n"/>
      <c r="AE883" s="65" t="n"/>
      <c r="AF883" s="65" t="n"/>
      <c r="AG883" s="65" t="n"/>
      <c r="AH883" s="65" t="n"/>
      <c r="AI883" s="65" t="n"/>
      <c r="AJ883" s="65" t="n"/>
      <c r="AK883" s="65" t="n"/>
      <c r="AL883" s="65" t="n"/>
      <c r="AM883" s="65" t="n"/>
      <c r="AN883" s="65" t="n"/>
      <c r="AO883" s="65" t="n"/>
      <c r="AP883" s="65" t="n"/>
      <c r="AQ883" s="65" t="n"/>
      <c r="AR883" s="65" t="n"/>
      <c r="AS883" s="65" t="n"/>
      <c r="AT883" s="65" t="n"/>
      <c r="AU883" s="65" t="n"/>
      <c r="AV883" s="65" t="n"/>
      <c r="AW883" s="65" t="n"/>
      <c r="AX883" s="65" t="n"/>
      <c r="AY883" s="65" t="n"/>
      <c r="AZ883" s="65" t="n"/>
      <c r="BA883" s="65" t="n"/>
      <c r="BB883" s="65" t="n"/>
      <c r="BC883" s="65" t="n"/>
      <c r="BD883" s="65" t="n"/>
      <c r="BE883" s="65" t="n"/>
      <c r="BF883" s="65" t="n"/>
      <c r="BG883" s="65" t="n"/>
    </row>
    <row r="884">
      <c r="F884" s="68" t="n"/>
      <c r="G884" s="68">
        <f>IF(B884="","",F884-I884 )</f>
        <v/>
      </c>
      <c r="H884" s="5">
        <f>IF(G884="","",G884/F884)</f>
        <v/>
      </c>
      <c r="I884" s="62">
        <f>SUM(テーブル9[[#This Row],[五大]:[工場材]])</f>
        <v/>
      </c>
      <c r="J884" s="65" t="n"/>
      <c r="K884" s="65" t="n"/>
      <c r="L884" s="65" t="n"/>
      <c r="M884" s="65" t="n"/>
      <c r="N884" s="65" t="n"/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6" t="n"/>
      <c r="Y884" s="65" t="n"/>
      <c r="Z884" s="65" t="n"/>
      <c r="AA884" s="65" t="n"/>
      <c r="AB884" s="65" t="n"/>
      <c r="AC884" s="65" t="n"/>
      <c r="AD884" s="65" t="n"/>
      <c r="AE884" s="65" t="n"/>
      <c r="AF884" s="65" t="n"/>
      <c r="AG884" s="65" t="n"/>
      <c r="AH884" s="65" t="n"/>
      <c r="AI884" s="65" t="n"/>
      <c r="AJ884" s="65" t="n"/>
      <c r="AK884" s="65" t="n"/>
      <c r="AL884" s="65" t="n"/>
      <c r="AM884" s="65" t="n"/>
      <c r="AN884" s="65" t="n"/>
      <c r="AO884" s="65" t="n"/>
      <c r="AP884" s="65" t="n"/>
      <c r="AQ884" s="65" t="n"/>
      <c r="AR884" s="65" t="n"/>
      <c r="AS884" s="65" t="n"/>
      <c r="AT884" s="65" t="n"/>
      <c r="AU884" s="65" t="n"/>
      <c r="AV884" s="65" t="n"/>
      <c r="AW884" s="65" t="n"/>
      <c r="AX884" s="65" t="n"/>
      <c r="AY884" s="65" t="n"/>
      <c r="AZ884" s="65" t="n"/>
      <c r="BA884" s="65" t="n"/>
      <c r="BB884" s="65" t="n"/>
      <c r="BC884" s="65" t="n"/>
      <c r="BD884" s="65" t="n"/>
      <c r="BE884" s="65" t="n"/>
      <c r="BF884" s="65" t="n"/>
      <c r="BG884" s="65" t="n"/>
    </row>
    <row r="885">
      <c r="F885" s="68" t="n"/>
      <c r="G885" s="68">
        <f>IF(B885="","",F885-I885 )</f>
        <v/>
      </c>
      <c r="H885" s="5">
        <f>IF(G885="","",G885/F885)</f>
        <v/>
      </c>
      <c r="I885" s="62">
        <f>SUM(テーブル9[[#This Row],[五大]:[工場材]])</f>
        <v/>
      </c>
      <c r="J885" s="65" t="n"/>
      <c r="K885" s="65" t="n"/>
      <c r="L885" s="65" t="n"/>
      <c r="M885" s="65" t="n"/>
      <c r="N885" s="65" t="n"/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6" t="n"/>
      <c r="Y885" s="65" t="n"/>
      <c r="Z885" s="65" t="n"/>
      <c r="AA885" s="65" t="n"/>
      <c r="AB885" s="65" t="n"/>
      <c r="AC885" s="65" t="n"/>
      <c r="AD885" s="65" t="n"/>
      <c r="AE885" s="65" t="n"/>
      <c r="AF885" s="65" t="n"/>
      <c r="AG885" s="65" t="n"/>
      <c r="AH885" s="65" t="n"/>
      <c r="AI885" s="65" t="n"/>
      <c r="AJ885" s="65" t="n"/>
      <c r="AK885" s="65" t="n"/>
      <c r="AL885" s="65" t="n"/>
      <c r="AM885" s="65" t="n"/>
      <c r="AN885" s="65" t="n"/>
      <c r="AO885" s="65" t="n"/>
      <c r="AP885" s="65" t="n"/>
      <c r="AQ885" s="65" t="n"/>
      <c r="AR885" s="65" t="n"/>
      <c r="AS885" s="65" t="n"/>
      <c r="AT885" s="65" t="n"/>
      <c r="AU885" s="65" t="n"/>
      <c r="AV885" s="65" t="n"/>
      <c r="AW885" s="65" t="n"/>
      <c r="AX885" s="65" t="n"/>
      <c r="AY885" s="65" t="n"/>
      <c r="AZ885" s="65" t="n"/>
      <c r="BA885" s="65" t="n"/>
      <c r="BB885" s="65" t="n"/>
      <c r="BC885" s="65" t="n"/>
      <c r="BD885" s="65" t="n"/>
      <c r="BE885" s="65" t="n"/>
      <c r="BF885" s="65" t="n"/>
      <c r="BG885" s="65" t="n"/>
    </row>
    <row r="886">
      <c r="F886" s="68" t="n"/>
      <c r="G886" s="68">
        <f>IF(B886="","",F886-I886 )</f>
        <v/>
      </c>
      <c r="H886" s="5">
        <f>IF(G886="","",G886/F886)</f>
        <v/>
      </c>
      <c r="I886" s="62">
        <f>SUM(テーブル9[[#This Row],[五大]:[工場材]])</f>
        <v/>
      </c>
      <c r="J886" s="65" t="n"/>
      <c r="K886" s="65" t="n"/>
      <c r="L886" s="65" t="n"/>
      <c r="M886" s="65" t="n"/>
      <c r="N886" s="65" t="n"/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6" t="n"/>
      <c r="Y886" s="65" t="n"/>
      <c r="Z886" s="65" t="n"/>
      <c r="AA886" s="65" t="n"/>
      <c r="AB886" s="65" t="n"/>
      <c r="AC886" s="65" t="n"/>
      <c r="AD886" s="65" t="n"/>
      <c r="AE886" s="65" t="n"/>
      <c r="AF886" s="65" t="n"/>
      <c r="AG886" s="65" t="n"/>
      <c r="AH886" s="65" t="n"/>
      <c r="AI886" s="65" t="n"/>
      <c r="AJ886" s="65" t="n"/>
      <c r="AK886" s="65" t="n"/>
      <c r="AL886" s="65" t="n"/>
      <c r="AM886" s="65" t="n"/>
      <c r="AN886" s="65" t="n"/>
      <c r="AO886" s="65" t="n"/>
      <c r="AP886" s="65" t="n"/>
      <c r="AQ886" s="65" t="n"/>
      <c r="AR886" s="65" t="n"/>
      <c r="AS886" s="65" t="n"/>
      <c r="AT886" s="65" t="n"/>
      <c r="AU886" s="65" t="n"/>
      <c r="AV886" s="65" t="n"/>
      <c r="AW886" s="65" t="n"/>
      <c r="AX886" s="65" t="n"/>
      <c r="AY886" s="65" t="n"/>
      <c r="AZ886" s="65" t="n"/>
      <c r="BA886" s="65" t="n"/>
      <c r="BB886" s="65" t="n"/>
      <c r="BC886" s="65" t="n"/>
      <c r="BD886" s="65" t="n"/>
      <c r="BE886" s="65" t="n"/>
      <c r="BF886" s="65" t="n"/>
      <c r="BG886" s="65" t="n"/>
    </row>
    <row r="887">
      <c r="F887" s="68" t="n"/>
      <c r="G887" s="68">
        <f>IF(B887="","",F887-I887 )</f>
        <v/>
      </c>
      <c r="H887" s="5">
        <f>IF(G887="","",G887/F887)</f>
        <v/>
      </c>
      <c r="I887" s="62">
        <f>SUM(テーブル9[[#This Row],[五大]:[工場材]])</f>
        <v/>
      </c>
      <c r="J887" s="65" t="n"/>
      <c r="K887" s="65" t="n"/>
      <c r="L887" s="65" t="n"/>
      <c r="M887" s="65" t="n"/>
      <c r="N887" s="65" t="n"/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6" t="n"/>
      <c r="Y887" s="65" t="n"/>
      <c r="Z887" s="65" t="n"/>
      <c r="AA887" s="65" t="n"/>
      <c r="AB887" s="65" t="n"/>
      <c r="AC887" s="65" t="n"/>
      <c r="AD887" s="65" t="n"/>
      <c r="AE887" s="65" t="n"/>
      <c r="AF887" s="65" t="n"/>
      <c r="AG887" s="65" t="n"/>
      <c r="AH887" s="65" t="n"/>
      <c r="AI887" s="65" t="n"/>
      <c r="AJ887" s="65" t="n"/>
      <c r="AK887" s="65" t="n"/>
      <c r="AL887" s="65" t="n"/>
      <c r="AM887" s="65" t="n"/>
      <c r="AN887" s="65" t="n"/>
      <c r="AO887" s="65" t="n"/>
      <c r="AP887" s="65" t="n"/>
      <c r="AQ887" s="65" t="n"/>
      <c r="AR887" s="65" t="n"/>
      <c r="AS887" s="65" t="n"/>
      <c r="AT887" s="65" t="n"/>
      <c r="AU887" s="65" t="n"/>
      <c r="AV887" s="65" t="n"/>
      <c r="AW887" s="65" t="n"/>
      <c r="AX887" s="65" t="n"/>
      <c r="AY887" s="65" t="n"/>
      <c r="AZ887" s="65" t="n"/>
      <c r="BA887" s="65" t="n"/>
      <c r="BB887" s="65" t="n"/>
      <c r="BC887" s="65" t="n"/>
      <c r="BD887" s="65" t="n"/>
      <c r="BE887" s="65" t="n"/>
      <c r="BF887" s="65" t="n"/>
      <c r="BG887" s="65" t="n"/>
    </row>
    <row r="888">
      <c r="F888" s="68" t="n"/>
      <c r="G888" s="68">
        <f>IF(B888="","",F888-I888 )</f>
        <v/>
      </c>
      <c r="H888" s="5">
        <f>IF(G888="","",G888/F888)</f>
        <v/>
      </c>
      <c r="I888" s="62">
        <f>SUM(テーブル9[[#This Row],[五大]:[工場材]])</f>
        <v/>
      </c>
      <c r="J888" s="65" t="n"/>
      <c r="K888" s="65" t="n"/>
      <c r="L888" s="65" t="n"/>
      <c r="M888" s="65" t="n"/>
      <c r="N888" s="65" t="n"/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6" t="n"/>
      <c r="Y888" s="65" t="n"/>
      <c r="Z888" s="65" t="n"/>
      <c r="AA888" s="65" t="n"/>
      <c r="AB888" s="65" t="n"/>
      <c r="AC888" s="65" t="n"/>
      <c r="AD888" s="65" t="n"/>
      <c r="AE888" s="65" t="n"/>
      <c r="AF888" s="65" t="n"/>
      <c r="AG888" s="65" t="n"/>
      <c r="AH888" s="65" t="n"/>
      <c r="AI888" s="65" t="n"/>
      <c r="AJ888" s="65" t="n"/>
      <c r="AK888" s="65" t="n"/>
      <c r="AL888" s="65" t="n"/>
      <c r="AM888" s="65" t="n"/>
      <c r="AN888" s="65" t="n"/>
      <c r="AO888" s="65" t="n"/>
      <c r="AP888" s="65" t="n"/>
      <c r="AQ888" s="65" t="n"/>
      <c r="AR888" s="65" t="n"/>
      <c r="AS888" s="65" t="n"/>
      <c r="AT888" s="65" t="n"/>
      <c r="AU888" s="65" t="n"/>
      <c r="AV888" s="65" t="n"/>
      <c r="AW888" s="65" t="n"/>
      <c r="AX888" s="65" t="n"/>
      <c r="AY888" s="65" t="n"/>
      <c r="AZ888" s="65" t="n"/>
      <c r="BA888" s="65" t="n"/>
      <c r="BB888" s="65" t="n"/>
      <c r="BC888" s="65" t="n"/>
      <c r="BD888" s="65" t="n"/>
      <c r="BE888" s="65" t="n"/>
      <c r="BF888" s="65" t="n"/>
      <c r="BG888" s="65" t="n"/>
    </row>
    <row r="889">
      <c r="F889" s="68" t="n"/>
      <c r="G889" s="68">
        <f>IF(B889="","",F889-I889 )</f>
        <v/>
      </c>
      <c r="H889" s="5">
        <f>IF(G889="","",G889/F889)</f>
        <v/>
      </c>
      <c r="I889" s="62">
        <f>SUM(テーブル9[[#This Row],[五大]:[工場材]])</f>
        <v/>
      </c>
      <c r="J889" s="65" t="n"/>
      <c r="K889" s="65" t="n"/>
      <c r="L889" s="65" t="n"/>
      <c r="M889" s="65" t="n"/>
      <c r="N889" s="65" t="n"/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6" t="n"/>
      <c r="Y889" s="65" t="n"/>
      <c r="Z889" s="65" t="n"/>
      <c r="AA889" s="65" t="n"/>
      <c r="AB889" s="65" t="n"/>
      <c r="AC889" s="65" t="n"/>
      <c r="AD889" s="65" t="n"/>
      <c r="AE889" s="65" t="n"/>
      <c r="AF889" s="65" t="n"/>
      <c r="AG889" s="65" t="n"/>
      <c r="AH889" s="65" t="n"/>
      <c r="AI889" s="65" t="n"/>
      <c r="AJ889" s="65" t="n"/>
      <c r="AK889" s="65" t="n"/>
      <c r="AL889" s="65" t="n"/>
      <c r="AM889" s="65" t="n"/>
      <c r="AN889" s="65" t="n"/>
      <c r="AO889" s="65" t="n"/>
      <c r="AP889" s="65" t="n"/>
      <c r="AQ889" s="65" t="n"/>
      <c r="AR889" s="65" t="n"/>
      <c r="AS889" s="65" t="n"/>
      <c r="AT889" s="65" t="n"/>
      <c r="AU889" s="65" t="n"/>
      <c r="AV889" s="65" t="n"/>
      <c r="AW889" s="65" t="n"/>
      <c r="AX889" s="65" t="n"/>
      <c r="AY889" s="65" t="n"/>
      <c r="AZ889" s="65" t="n"/>
      <c r="BA889" s="65" t="n"/>
      <c r="BB889" s="65" t="n"/>
      <c r="BC889" s="65" t="n"/>
      <c r="BD889" s="65" t="n"/>
      <c r="BE889" s="65" t="n"/>
      <c r="BF889" s="65" t="n"/>
      <c r="BG889" s="65" t="n"/>
    </row>
    <row r="890">
      <c r="F890" s="68" t="n"/>
      <c r="G890" s="68">
        <f>IF(B890="","",F890-I890 )</f>
        <v/>
      </c>
      <c r="H890" s="5">
        <f>IF(G890="","",G890/F890)</f>
        <v/>
      </c>
      <c r="I890" s="62">
        <f>SUM(テーブル9[[#This Row],[五大]:[工場材]])</f>
        <v/>
      </c>
      <c r="J890" s="65" t="n"/>
      <c r="K890" s="65" t="n"/>
      <c r="L890" s="65" t="n"/>
      <c r="M890" s="65" t="n"/>
      <c r="N890" s="65" t="n"/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6" t="n"/>
      <c r="Y890" s="65" t="n"/>
      <c r="Z890" s="65" t="n"/>
      <c r="AA890" s="65" t="n"/>
      <c r="AB890" s="65" t="n"/>
      <c r="AC890" s="65" t="n"/>
      <c r="AD890" s="65" t="n"/>
      <c r="AE890" s="65" t="n"/>
      <c r="AF890" s="65" t="n"/>
      <c r="AG890" s="65" t="n"/>
      <c r="AH890" s="65" t="n"/>
      <c r="AI890" s="65" t="n"/>
      <c r="AJ890" s="65" t="n"/>
      <c r="AK890" s="65" t="n"/>
      <c r="AL890" s="65" t="n"/>
      <c r="AM890" s="65" t="n"/>
      <c r="AN890" s="65" t="n"/>
      <c r="AO890" s="65" t="n"/>
      <c r="AP890" s="65" t="n"/>
      <c r="AQ890" s="65" t="n"/>
      <c r="AR890" s="65" t="n"/>
      <c r="AS890" s="65" t="n"/>
      <c r="AT890" s="65" t="n"/>
      <c r="AU890" s="65" t="n"/>
      <c r="AV890" s="65" t="n"/>
      <c r="AW890" s="65" t="n"/>
      <c r="AX890" s="65" t="n"/>
      <c r="AY890" s="65" t="n"/>
      <c r="AZ890" s="65" t="n"/>
      <c r="BA890" s="65" t="n"/>
      <c r="BB890" s="65" t="n"/>
      <c r="BC890" s="65" t="n"/>
      <c r="BD890" s="65" t="n"/>
      <c r="BE890" s="65" t="n"/>
      <c r="BF890" s="65" t="n"/>
      <c r="BG890" s="65" t="n"/>
    </row>
    <row r="891">
      <c r="F891" s="68" t="n"/>
      <c r="G891" s="68">
        <f>IF(B891="","",F891-I891 )</f>
        <v/>
      </c>
      <c r="H891" s="5">
        <f>IF(G891="","",G891/F891)</f>
        <v/>
      </c>
      <c r="I891" s="62">
        <f>SUM(テーブル9[[#This Row],[五大]:[工場材]])</f>
        <v/>
      </c>
      <c r="J891" s="65" t="n"/>
      <c r="K891" s="65" t="n"/>
      <c r="L891" s="65" t="n"/>
      <c r="M891" s="65" t="n"/>
      <c r="N891" s="65" t="n"/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6" t="n"/>
      <c r="Y891" s="65" t="n"/>
      <c r="Z891" s="65" t="n"/>
      <c r="AA891" s="65" t="n"/>
      <c r="AB891" s="65" t="n"/>
      <c r="AC891" s="65" t="n"/>
      <c r="AD891" s="65" t="n"/>
      <c r="AE891" s="65" t="n"/>
      <c r="AF891" s="65" t="n"/>
      <c r="AG891" s="65" t="n"/>
      <c r="AH891" s="65" t="n"/>
      <c r="AI891" s="65" t="n"/>
      <c r="AJ891" s="65" t="n"/>
      <c r="AK891" s="65" t="n"/>
      <c r="AL891" s="65" t="n"/>
      <c r="AM891" s="65" t="n"/>
      <c r="AN891" s="65" t="n"/>
      <c r="AO891" s="65" t="n"/>
      <c r="AP891" s="65" t="n"/>
      <c r="AQ891" s="65" t="n"/>
      <c r="AR891" s="65" t="n"/>
      <c r="AS891" s="65" t="n"/>
      <c r="AT891" s="65" t="n"/>
      <c r="AU891" s="65" t="n"/>
      <c r="AV891" s="65" t="n"/>
      <c r="AW891" s="65" t="n"/>
      <c r="AX891" s="65" t="n"/>
      <c r="AY891" s="65" t="n"/>
      <c r="AZ891" s="65" t="n"/>
      <c r="BA891" s="65" t="n"/>
      <c r="BB891" s="65" t="n"/>
      <c r="BC891" s="65" t="n"/>
      <c r="BD891" s="65" t="n"/>
      <c r="BE891" s="65" t="n"/>
      <c r="BF891" s="65" t="n"/>
      <c r="BG891" s="65" t="n"/>
    </row>
    <row r="892">
      <c r="F892" s="68" t="n"/>
      <c r="G892" s="68">
        <f>IF(B892="","",F892-I892 )</f>
        <v/>
      </c>
      <c r="H892" s="5">
        <f>IF(G892="","",G892/F892)</f>
        <v/>
      </c>
      <c r="I892" s="62">
        <f>SUM(テーブル9[[#This Row],[五大]:[工場材]])</f>
        <v/>
      </c>
      <c r="J892" s="65" t="n"/>
      <c r="K892" s="65" t="n"/>
      <c r="L892" s="65" t="n"/>
      <c r="M892" s="65" t="n"/>
      <c r="N892" s="65" t="n"/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6" t="n"/>
      <c r="Y892" s="65" t="n"/>
      <c r="Z892" s="65" t="n"/>
      <c r="AA892" s="65" t="n"/>
      <c r="AB892" s="65" t="n"/>
      <c r="AC892" s="65" t="n"/>
      <c r="AD892" s="65" t="n"/>
      <c r="AE892" s="65" t="n"/>
      <c r="AF892" s="65" t="n"/>
      <c r="AG892" s="65" t="n"/>
      <c r="AH892" s="65" t="n"/>
      <c r="AI892" s="65" t="n"/>
      <c r="AJ892" s="65" t="n"/>
      <c r="AK892" s="65" t="n"/>
      <c r="AL892" s="65" t="n"/>
      <c r="AM892" s="65" t="n"/>
      <c r="AN892" s="65" t="n"/>
      <c r="AO892" s="65" t="n"/>
      <c r="AP892" s="65" t="n"/>
      <c r="AQ892" s="65" t="n"/>
      <c r="AR892" s="65" t="n"/>
      <c r="AS892" s="65" t="n"/>
      <c r="AT892" s="65" t="n"/>
      <c r="AU892" s="65" t="n"/>
      <c r="AV892" s="65" t="n"/>
      <c r="AW892" s="65" t="n"/>
      <c r="AX892" s="65" t="n"/>
      <c r="AY892" s="65" t="n"/>
      <c r="AZ892" s="65" t="n"/>
      <c r="BA892" s="65" t="n"/>
      <c r="BB892" s="65" t="n"/>
      <c r="BC892" s="65" t="n"/>
      <c r="BD892" s="65" t="n"/>
      <c r="BE892" s="65" t="n"/>
      <c r="BF892" s="65" t="n"/>
      <c r="BG892" s="65" t="n"/>
    </row>
    <row r="893">
      <c r="F893" s="68" t="n"/>
      <c r="G893" s="68">
        <f>IF(B893="","",F893-I893 )</f>
        <v/>
      </c>
      <c r="H893" s="5">
        <f>IF(G893="","",G893/F893)</f>
        <v/>
      </c>
      <c r="I893" s="62">
        <f>SUM(テーブル9[[#This Row],[五大]:[工場材]])</f>
        <v/>
      </c>
      <c r="J893" s="65" t="n"/>
      <c r="K893" s="65" t="n"/>
      <c r="L893" s="65" t="n"/>
      <c r="M893" s="65" t="n"/>
      <c r="N893" s="65" t="n"/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6" t="n"/>
      <c r="Y893" s="65" t="n"/>
      <c r="Z893" s="65" t="n"/>
      <c r="AA893" s="65" t="n"/>
      <c r="AB893" s="65" t="n"/>
      <c r="AC893" s="65" t="n"/>
      <c r="AD893" s="65" t="n"/>
      <c r="AE893" s="65" t="n"/>
      <c r="AF893" s="65" t="n"/>
      <c r="AG893" s="65" t="n"/>
      <c r="AH893" s="65" t="n"/>
      <c r="AI893" s="65" t="n"/>
      <c r="AJ893" s="65" t="n"/>
      <c r="AK893" s="65" t="n"/>
      <c r="AL893" s="65" t="n"/>
      <c r="AM893" s="65" t="n"/>
      <c r="AN893" s="65" t="n"/>
      <c r="AO893" s="65" t="n"/>
      <c r="AP893" s="65" t="n"/>
      <c r="AQ893" s="65" t="n"/>
      <c r="AR893" s="65" t="n"/>
      <c r="AS893" s="65" t="n"/>
      <c r="AT893" s="65" t="n"/>
      <c r="AU893" s="65" t="n"/>
      <c r="AV893" s="65" t="n"/>
      <c r="AW893" s="65" t="n"/>
      <c r="AX893" s="65" t="n"/>
      <c r="AY893" s="65" t="n"/>
      <c r="AZ893" s="65" t="n"/>
      <c r="BA893" s="65" t="n"/>
      <c r="BB893" s="65" t="n"/>
      <c r="BC893" s="65" t="n"/>
      <c r="BD893" s="65" t="n"/>
      <c r="BE893" s="65" t="n"/>
      <c r="BF893" s="65" t="n"/>
      <c r="BG893" s="65" t="n"/>
    </row>
    <row r="894">
      <c r="F894" s="68" t="n"/>
      <c r="G894" s="68">
        <f>IF(B894="","",F894-I894 )</f>
        <v/>
      </c>
      <c r="H894" s="5">
        <f>IF(G894="","",G894/F894)</f>
        <v/>
      </c>
      <c r="I894" s="62">
        <f>SUM(テーブル9[[#This Row],[五大]:[工場材]])</f>
        <v/>
      </c>
      <c r="J894" s="65" t="n"/>
      <c r="K894" s="65" t="n"/>
      <c r="L894" s="65" t="n"/>
      <c r="M894" s="65" t="n"/>
      <c r="N894" s="65" t="n"/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6" t="n"/>
      <c r="Y894" s="65" t="n"/>
      <c r="Z894" s="65" t="n"/>
      <c r="AA894" s="65" t="n"/>
      <c r="AB894" s="65" t="n"/>
      <c r="AC894" s="65" t="n"/>
      <c r="AD894" s="65" t="n"/>
      <c r="AE894" s="65" t="n"/>
      <c r="AF894" s="65" t="n"/>
      <c r="AG894" s="65" t="n"/>
      <c r="AH894" s="65" t="n"/>
      <c r="AI894" s="65" t="n"/>
      <c r="AJ894" s="65" t="n"/>
      <c r="AK894" s="65" t="n"/>
      <c r="AL894" s="65" t="n"/>
      <c r="AM894" s="65" t="n"/>
      <c r="AN894" s="65" t="n"/>
      <c r="AO894" s="65" t="n"/>
      <c r="AP894" s="65" t="n"/>
      <c r="AQ894" s="65" t="n"/>
      <c r="AR894" s="65" t="n"/>
      <c r="AS894" s="65" t="n"/>
      <c r="AT894" s="65" t="n"/>
      <c r="AU894" s="65" t="n"/>
      <c r="AV894" s="65" t="n"/>
      <c r="AW894" s="65" t="n"/>
      <c r="AX894" s="65" t="n"/>
      <c r="AY894" s="65" t="n"/>
      <c r="AZ894" s="65" t="n"/>
      <c r="BA894" s="65" t="n"/>
      <c r="BB894" s="65" t="n"/>
      <c r="BC894" s="65" t="n"/>
      <c r="BD894" s="65" t="n"/>
      <c r="BE894" s="65" t="n"/>
      <c r="BF894" s="65" t="n"/>
      <c r="BG894" s="65" t="n"/>
    </row>
    <row r="895">
      <c r="F895" s="68" t="n"/>
      <c r="G895" s="68">
        <f>IF(B895="","",F895-I895 )</f>
        <v/>
      </c>
      <c r="H895" s="5">
        <f>IF(G895="","",G895/F895)</f>
        <v/>
      </c>
      <c r="I895" s="62">
        <f>SUM(テーブル9[[#This Row],[五大]:[工場材]])</f>
        <v/>
      </c>
      <c r="J895" s="65" t="n"/>
      <c r="K895" s="65" t="n"/>
      <c r="L895" s="65" t="n"/>
      <c r="M895" s="65" t="n"/>
      <c r="N895" s="65" t="n"/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6" t="n"/>
      <c r="Y895" s="65" t="n"/>
      <c r="Z895" s="65" t="n"/>
      <c r="AA895" s="65" t="n"/>
      <c r="AB895" s="65" t="n"/>
      <c r="AC895" s="65" t="n"/>
      <c r="AD895" s="65" t="n"/>
      <c r="AE895" s="65" t="n"/>
      <c r="AF895" s="65" t="n"/>
      <c r="AG895" s="65" t="n"/>
      <c r="AH895" s="65" t="n"/>
      <c r="AI895" s="65" t="n"/>
      <c r="AJ895" s="65" t="n"/>
      <c r="AK895" s="65" t="n"/>
      <c r="AL895" s="65" t="n"/>
      <c r="AM895" s="65" t="n"/>
      <c r="AN895" s="65" t="n"/>
      <c r="AO895" s="65" t="n"/>
      <c r="AP895" s="65" t="n"/>
      <c r="AQ895" s="65" t="n"/>
      <c r="AR895" s="65" t="n"/>
      <c r="AS895" s="65" t="n"/>
      <c r="AT895" s="65" t="n"/>
      <c r="AU895" s="65" t="n"/>
      <c r="AV895" s="65" t="n"/>
      <c r="AW895" s="65" t="n"/>
      <c r="AX895" s="65" t="n"/>
      <c r="AY895" s="65" t="n"/>
      <c r="AZ895" s="65" t="n"/>
      <c r="BA895" s="65" t="n"/>
      <c r="BB895" s="65" t="n"/>
      <c r="BC895" s="65" t="n"/>
      <c r="BD895" s="65" t="n"/>
      <c r="BE895" s="65" t="n"/>
      <c r="BF895" s="65" t="n"/>
      <c r="BG895" s="65" t="n"/>
    </row>
    <row r="896">
      <c r="F896" s="68" t="n"/>
      <c r="G896" s="68">
        <f>IF(B896="","",F896-I896 )</f>
        <v/>
      </c>
      <c r="H896" s="5">
        <f>IF(G896="","",G896/F896)</f>
        <v/>
      </c>
      <c r="I896" s="62">
        <f>SUM(テーブル9[[#This Row],[五大]:[工場材]])</f>
        <v/>
      </c>
      <c r="J896" s="65" t="n"/>
      <c r="K896" s="65" t="n"/>
      <c r="L896" s="65" t="n"/>
      <c r="M896" s="65" t="n"/>
      <c r="N896" s="65" t="n"/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6" t="n"/>
      <c r="Y896" s="65" t="n"/>
      <c r="Z896" s="65" t="n"/>
      <c r="AA896" s="65" t="n"/>
      <c r="AB896" s="65" t="n"/>
      <c r="AC896" s="65" t="n"/>
      <c r="AD896" s="65" t="n"/>
      <c r="AE896" s="65" t="n"/>
      <c r="AF896" s="65" t="n"/>
      <c r="AG896" s="65" t="n"/>
      <c r="AH896" s="65" t="n"/>
      <c r="AI896" s="65" t="n"/>
      <c r="AJ896" s="65" t="n"/>
      <c r="AK896" s="65" t="n"/>
      <c r="AL896" s="65" t="n"/>
      <c r="AM896" s="65" t="n"/>
      <c r="AN896" s="65" t="n"/>
      <c r="AO896" s="65" t="n"/>
      <c r="AP896" s="65" t="n"/>
      <c r="AQ896" s="65" t="n"/>
      <c r="AR896" s="65" t="n"/>
      <c r="AS896" s="65" t="n"/>
      <c r="AT896" s="65" t="n"/>
      <c r="AU896" s="65" t="n"/>
      <c r="AV896" s="65" t="n"/>
      <c r="AW896" s="65" t="n"/>
      <c r="AX896" s="65" t="n"/>
      <c r="AY896" s="65" t="n"/>
      <c r="AZ896" s="65" t="n"/>
      <c r="BA896" s="65" t="n"/>
      <c r="BB896" s="65" t="n"/>
      <c r="BC896" s="65" t="n"/>
      <c r="BD896" s="65" t="n"/>
      <c r="BE896" s="65" t="n"/>
      <c r="BF896" s="65" t="n"/>
      <c r="BG896" s="65" t="n"/>
    </row>
    <row r="897">
      <c r="F897" s="68" t="n"/>
      <c r="G897" s="68">
        <f>IF(B897="","",F897-I897 )</f>
        <v/>
      </c>
      <c r="H897" s="5">
        <f>IF(G897="","",G897/F897)</f>
        <v/>
      </c>
      <c r="I897" s="62">
        <f>SUM(テーブル9[[#This Row],[五大]:[工場材]])</f>
        <v/>
      </c>
      <c r="J897" s="65" t="n"/>
      <c r="K897" s="65" t="n"/>
      <c r="L897" s="65" t="n"/>
      <c r="M897" s="65" t="n"/>
      <c r="N897" s="65" t="n"/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6" t="n"/>
      <c r="Y897" s="65" t="n"/>
      <c r="Z897" s="65" t="n"/>
      <c r="AA897" s="65" t="n"/>
      <c r="AB897" s="65" t="n"/>
      <c r="AC897" s="65" t="n"/>
      <c r="AD897" s="65" t="n"/>
      <c r="AE897" s="65" t="n"/>
      <c r="AF897" s="65" t="n"/>
      <c r="AG897" s="65" t="n"/>
      <c r="AH897" s="65" t="n"/>
      <c r="AI897" s="65" t="n"/>
      <c r="AJ897" s="65" t="n"/>
      <c r="AK897" s="65" t="n"/>
      <c r="AL897" s="65" t="n"/>
      <c r="AM897" s="65" t="n"/>
      <c r="AN897" s="65" t="n"/>
      <c r="AO897" s="65" t="n"/>
      <c r="AP897" s="65" t="n"/>
      <c r="AQ897" s="65" t="n"/>
      <c r="AR897" s="65" t="n"/>
      <c r="AS897" s="65" t="n"/>
      <c r="AT897" s="65" t="n"/>
      <c r="AU897" s="65" t="n"/>
      <c r="AV897" s="65" t="n"/>
      <c r="AW897" s="65" t="n"/>
      <c r="AX897" s="65" t="n"/>
      <c r="AY897" s="65" t="n"/>
      <c r="AZ897" s="65" t="n"/>
      <c r="BA897" s="65" t="n"/>
      <c r="BB897" s="65" t="n"/>
      <c r="BC897" s="65" t="n"/>
      <c r="BD897" s="65" t="n"/>
      <c r="BE897" s="65" t="n"/>
      <c r="BF897" s="65" t="n"/>
      <c r="BG897" s="65" t="n"/>
    </row>
    <row r="898">
      <c r="F898" s="68" t="n"/>
      <c r="G898" s="68">
        <f>IF(B898="","",F898-I898 )</f>
        <v/>
      </c>
      <c r="H898" s="5">
        <f>IF(G898="","",G898/F898)</f>
        <v/>
      </c>
      <c r="I898" s="62">
        <f>SUM(テーブル9[[#This Row],[五大]:[工場材]])</f>
        <v/>
      </c>
      <c r="J898" s="65" t="n"/>
      <c r="K898" s="65" t="n"/>
      <c r="L898" s="65" t="n"/>
      <c r="M898" s="65" t="n"/>
      <c r="N898" s="65" t="n"/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6" t="n"/>
      <c r="Y898" s="65" t="n"/>
      <c r="Z898" s="65" t="n"/>
      <c r="AA898" s="65" t="n"/>
      <c r="AB898" s="65" t="n"/>
      <c r="AC898" s="65" t="n"/>
      <c r="AD898" s="65" t="n"/>
      <c r="AE898" s="65" t="n"/>
      <c r="AF898" s="65" t="n"/>
      <c r="AG898" s="65" t="n"/>
      <c r="AH898" s="65" t="n"/>
      <c r="AI898" s="65" t="n"/>
      <c r="AJ898" s="65" t="n"/>
      <c r="AK898" s="65" t="n"/>
      <c r="AL898" s="65" t="n"/>
      <c r="AM898" s="65" t="n"/>
      <c r="AN898" s="65" t="n"/>
      <c r="AO898" s="65" t="n"/>
      <c r="AP898" s="65" t="n"/>
      <c r="AQ898" s="65" t="n"/>
      <c r="AR898" s="65" t="n"/>
      <c r="AS898" s="65" t="n"/>
      <c r="AT898" s="65" t="n"/>
      <c r="AU898" s="65" t="n"/>
      <c r="AV898" s="65" t="n"/>
      <c r="AW898" s="65" t="n"/>
      <c r="AX898" s="65" t="n"/>
      <c r="AY898" s="65" t="n"/>
      <c r="AZ898" s="65" t="n"/>
      <c r="BA898" s="65" t="n"/>
      <c r="BB898" s="65" t="n"/>
      <c r="BC898" s="65" t="n"/>
      <c r="BD898" s="65" t="n"/>
      <c r="BE898" s="65" t="n"/>
      <c r="BF898" s="65" t="n"/>
      <c r="BG898" s="65" t="n"/>
    </row>
    <row r="899">
      <c r="F899" s="68" t="n"/>
      <c r="G899" s="68">
        <f>IF(B899="","",F899-I899 )</f>
        <v/>
      </c>
      <c r="H899" s="5">
        <f>IF(G899="","",G899/F899)</f>
        <v/>
      </c>
      <c r="I899" s="62">
        <f>SUM(テーブル9[[#This Row],[五大]:[工場材]])</f>
        <v/>
      </c>
      <c r="J899" s="65" t="n"/>
      <c r="K899" s="65" t="n"/>
      <c r="L899" s="65" t="n"/>
      <c r="M899" s="65" t="n"/>
      <c r="N899" s="65" t="n"/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6" t="n"/>
      <c r="Y899" s="65" t="n"/>
      <c r="Z899" s="65" t="n"/>
      <c r="AA899" s="65" t="n"/>
      <c r="AB899" s="65" t="n"/>
      <c r="AC899" s="65" t="n"/>
      <c r="AD899" s="65" t="n"/>
      <c r="AE899" s="65" t="n"/>
      <c r="AF899" s="65" t="n"/>
      <c r="AG899" s="65" t="n"/>
      <c r="AH899" s="65" t="n"/>
      <c r="AI899" s="65" t="n"/>
      <c r="AJ899" s="65" t="n"/>
      <c r="AK899" s="65" t="n"/>
      <c r="AL899" s="65" t="n"/>
      <c r="AM899" s="65" t="n"/>
      <c r="AN899" s="65" t="n"/>
      <c r="AO899" s="65" t="n"/>
      <c r="AP899" s="65" t="n"/>
      <c r="AQ899" s="65" t="n"/>
      <c r="AR899" s="65" t="n"/>
      <c r="AS899" s="65" t="n"/>
      <c r="AT899" s="65" t="n"/>
      <c r="AU899" s="65" t="n"/>
      <c r="AV899" s="65" t="n"/>
      <c r="AW899" s="65" t="n"/>
      <c r="AX899" s="65" t="n"/>
      <c r="AY899" s="65" t="n"/>
      <c r="AZ899" s="65" t="n"/>
      <c r="BA899" s="65" t="n"/>
      <c r="BB899" s="65" t="n"/>
      <c r="BC899" s="65" t="n"/>
      <c r="BD899" s="65" t="n"/>
      <c r="BE899" s="65" t="n"/>
      <c r="BF899" s="65" t="n"/>
      <c r="BG899" s="65" t="n"/>
    </row>
    <row r="900">
      <c r="F900" s="68" t="n"/>
      <c r="G900" s="68">
        <f>IF(B900="","",F900-I900 )</f>
        <v/>
      </c>
      <c r="H900" s="5">
        <f>IF(G900="","",G900/F900)</f>
        <v/>
      </c>
      <c r="I900" s="62">
        <f>SUM(テーブル9[[#This Row],[五大]:[工場材]])</f>
        <v/>
      </c>
      <c r="J900" s="65" t="n"/>
      <c r="K900" s="65" t="n"/>
      <c r="L900" s="65" t="n"/>
      <c r="M900" s="65" t="n"/>
      <c r="N900" s="65" t="n"/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6" t="n"/>
      <c r="Y900" s="65" t="n"/>
      <c r="Z900" s="65" t="n"/>
      <c r="AA900" s="65" t="n"/>
      <c r="AB900" s="65" t="n"/>
      <c r="AC900" s="65" t="n"/>
      <c r="AD900" s="65" t="n"/>
      <c r="AE900" s="65" t="n"/>
      <c r="AF900" s="65" t="n"/>
      <c r="AG900" s="65" t="n"/>
      <c r="AH900" s="65" t="n"/>
      <c r="AI900" s="65" t="n"/>
      <c r="AJ900" s="65" t="n"/>
      <c r="AK900" s="65" t="n"/>
      <c r="AL900" s="65" t="n"/>
      <c r="AM900" s="65" t="n"/>
      <c r="AN900" s="65" t="n"/>
      <c r="AO900" s="65" t="n"/>
      <c r="AP900" s="65" t="n"/>
      <c r="AQ900" s="65" t="n"/>
      <c r="AR900" s="65" t="n"/>
      <c r="AS900" s="65" t="n"/>
      <c r="AT900" s="65" t="n"/>
      <c r="AU900" s="65" t="n"/>
      <c r="AV900" s="65" t="n"/>
      <c r="AW900" s="65" t="n"/>
      <c r="AX900" s="65" t="n"/>
      <c r="AY900" s="65" t="n"/>
      <c r="AZ900" s="65" t="n"/>
      <c r="BA900" s="65" t="n"/>
      <c r="BB900" s="65" t="n"/>
      <c r="BC900" s="65" t="n"/>
      <c r="BD900" s="65" t="n"/>
      <c r="BE900" s="65" t="n"/>
      <c r="BF900" s="65" t="n"/>
      <c r="BG900" s="65" t="n"/>
    </row>
    <row r="901">
      <c r="F901" s="68" t="n"/>
      <c r="G901" s="68">
        <f>IF(B901="","",F901-I901 )</f>
        <v/>
      </c>
      <c r="H901" s="5">
        <f>IF(G901="","",G901/F901)</f>
        <v/>
      </c>
      <c r="I901" s="62">
        <f>SUM(テーブル9[[#This Row],[五大]:[工場材]])</f>
        <v/>
      </c>
      <c r="J901" s="65" t="n"/>
      <c r="K901" s="65" t="n"/>
      <c r="L901" s="65" t="n"/>
      <c r="M901" s="65" t="n"/>
      <c r="N901" s="65" t="n"/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6" t="n"/>
      <c r="Y901" s="65" t="n"/>
      <c r="Z901" s="65" t="n"/>
      <c r="AA901" s="65" t="n"/>
      <c r="AB901" s="65" t="n"/>
      <c r="AC901" s="65" t="n"/>
      <c r="AD901" s="65" t="n"/>
      <c r="AE901" s="65" t="n"/>
      <c r="AF901" s="65" t="n"/>
      <c r="AG901" s="65" t="n"/>
      <c r="AH901" s="65" t="n"/>
      <c r="AI901" s="65" t="n"/>
      <c r="AJ901" s="65" t="n"/>
      <c r="AK901" s="65" t="n"/>
      <c r="AL901" s="65" t="n"/>
      <c r="AM901" s="65" t="n"/>
      <c r="AN901" s="65" t="n"/>
      <c r="AO901" s="65" t="n"/>
      <c r="AP901" s="65" t="n"/>
      <c r="AQ901" s="65" t="n"/>
      <c r="AR901" s="65" t="n"/>
      <c r="AS901" s="65" t="n"/>
      <c r="AT901" s="65" t="n"/>
      <c r="AU901" s="65" t="n"/>
      <c r="AV901" s="65" t="n"/>
      <c r="AW901" s="65" t="n"/>
      <c r="AX901" s="65" t="n"/>
      <c r="AY901" s="65" t="n"/>
      <c r="AZ901" s="65" t="n"/>
      <c r="BA901" s="65" t="n"/>
      <c r="BB901" s="65" t="n"/>
      <c r="BC901" s="65" t="n"/>
      <c r="BD901" s="65" t="n"/>
      <c r="BE901" s="65" t="n"/>
      <c r="BF901" s="65" t="n"/>
      <c r="BG901" s="65" t="n"/>
    </row>
    <row r="902">
      <c r="F902" s="68" t="n"/>
      <c r="G902" s="68">
        <f>IF(B902="","",F902-I902 )</f>
        <v/>
      </c>
      <c r="H902" s="5">
        <f>IF(G902="","",G902/F902)</f>
        <v/>
      </c>
      <c r="I902" s="62">
        <f>SUM(テーブル9[[#This Row],[五大]:[工場材]])</f>
        <v/>
      </c>
      <c r="J902" s="65" t="n"/>
      <c r="K902" s="65" t="n"/>
      <c r="L902" s="65" t="n"/>
      <c r="M902" s="65" t="n"/>
      <c r="N902" s="65" t="n"/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6" t="n"/>
      <c r="Y902" s="65" t="n"/>
      <c r="Z902" s="65" t="n"/>
      <c r="AA902" s="65" t="n"/>
      <c r="AB902" s="65" t="n"/>
      <c r="AC902" s="65" t="n"/>
      <c r="AD902" s="65" t="n"/>
      <c r="AE902" s="65" t="n"/>
      <c r="AF902" s="65" t="n"/>
      <c r="AG902" s="65" t="n"/>
      <c r="AH902" s="65" t="n"/>
      <c r="AI902" s="65" t="n"/>
      <c r="AJ902" s="65" t="n"/>
      <c r="AK902" s="65" t="n"/>
      <c r="AL902" s="65" t="n"/>
      <c r="AM902" s="65" t="n"/>
      <c r="AN902" s="65" t="n"/>
      <c r="AO902" s="65" t="n"/>
      <c r="AP902" s="65" t="n"/>
      <c r="AQ902" s="65" t="n"/>
      <c r="AR902" s="65" t="n"/>
      <c r="AS902" s="65" t="n"/>
      <c r="AT902" s="65" t="n"/>
      <c r="AU902" s="65" t="n"/>
      <c r="AV902" s="65" t="n"/>
      <c r="AW902" s="65" t="n"/>
      <c r="AX902" s="65" t="n"/>
      <c r="AY902" s="65" t="n"/>
      <c r="AZ902" s="65" t="n"/>
      <c r="BA902" s="65" t="n"/>
      <c r="BB902" s="65" t="n"/>
      <c r="BC902" s="65" t="n"/>
      <c r="BD902" s="65" t="n"/>
      <c r="BE902" s="65" t="n"/>
      <c r="BF902" s="65" t="n"/>
      <c r="BG902" s="65" t="n"/>
    </row>
    <row r="903">
      <c r="F903" s="68" t="n"/>
      <c r="G903" s="68">
        <f>IF(B903="","",F903-I903 )</f>
        <v/>
      </c>
      <c r="H903" s="5">
        <f>IF(G903="","",G903/F903)</f>
        <v/>
      </c>
      <c r="I903" s="62">
        <f>SUM(テーブル9[[#This Row],[五大]:[工場材]])</f>
        <v/>
      </c>
      <c r="J903" s="65" t="n"/>
      <c r="K903" s="65" t="n"/>
      <c r="L903" s="65" t="n"/>
      <c r="M903" s="65" t="n"/>
      <c r="N903" s="65" t="n"/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6" t="n"/>
      <c r="Y903" s="65" t="n"/>
      <c r="Z903" s="65" t="n"/>
      <c r="AA903" s="65" t="n"/>
      <c r="AB903" s="65" t="n"/>
      <c r="AC903" s="65" t="n"/>
      <c r="AD903" s="65" t="n"/>
      <c r="AE903" s="65" t="n"/>
      <c r="AF903" s="65" t="n"/>
      <c r="AG903" s="65" t="n"/>
      <c r="AH903" s="65" t="n"/>
      <c r="AI903" s="65" t="n"/>
      <c r="AJ903" s="65" t="n"/>
      <c r="AK903" s="65" t="n"/>
      <c r="AL903" s="65" t="n"/>
      <c r="AM903" s="65" t="n"/>
      <c r="AN903" s="65" t="n"/>
      <c r="AO903" s="65" t="n"/>
      <c r="AP903" s="65" t="n"/>
      <c r="AQ903" s="65" t="n"/>
      <c r="AR903" s="65" t="n"/>
      <c r="AS903" s="65" t="n"/>
      <c r="AT903" s="65" t="n"/>
      <c r="AU903" s="65" t="n"/>
      <c r="AV903" s="65" t="n"/>
      <c r="AW903" s="65" t="n"/>
      <c r="AX903" s="65" t="n"/>
      <c r="AY903" s="65" t="n"/>
      <c r="AZ903" s="65" t="n"/>
      <c r="BA903" s="65" t="n"/>
      <c r="BB903" s="65" t="n"/>
      <c r="BC903" s="65" t="n"/>
      <c r="BD903" s="65" t="n"/>
      <c r="BE903" s="65" t="n"/>
      <c r="BF903" s="65" t="n"/>
      <c r="BG903" s="65" t="n"/>
    </row>
    <row r="904">
      <c r="F904" s="68" t="n"/>
      <c r="G904" s="68">
        <f>IF(B904="","",F904-I904 )</f>
        <v/>
      </c>
      <c r="H904" s="5">
        <f>IF(G904="","",G904/F904)</f>
        <v/>
      </c>
      <c r="I904" s="62">
        <f>SUM(テーブル9[[#This Row],[五大]:[工場材]])</f>
        <v/>
      </c>
      <c r="J904" s="65" t="n"/>
      <c r="K904" s="65" t="n"/>
      <c r="L904" s="65" t="n"/>
      <c r="M904" s="65" t="n"/>
      <c r="N904" s="65" t="n"/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6" t="n"/>
      <c r="Y904" s="65" t="n"/>
      <c r="Z904" s="65" t="n"/>
      <c r="AA904" s="65" t="n"/>
      <c r="AB904" s="65" t="n"/>
      <c r="AC904" s="65" t="n"/>
      <c r="AD904" s="65" t="n"/>
      <c r="AE904" s="65" t="n"/>
      <c r="AF904" s="65" t="n"/>
      <c r="AG904" s="65" t="n"/>
      <c r="AH904" s="65" t="n"/>
      <c r="AI904" s="65" t="n"/>
      <c r="AJ904" s="65" t="n"/>
      <c r="AK904" s="65" t="n"/>
      <c r="AL904" s="65" t="n"/>
      <c r="AM904" s="65" t="n"/>
      <c r="AN904" s="65" t="n"/>
      <c r="AO904" s="65" t="n"/>
      <c r="AP904" s="65" t="n"/>
      <c r="AQ904" s="65" t="n"/>
      <c r="AR904" s="65" t="n"/>
      <c r="AS904" s="65" t="n"/>
      <c r="AT904" s="65" t="n"/>
      <c r="AU904" s="65" t="n"/>
      <c r="AV904" s="65" t="n"/>
      <c r="AW904" s="65" t="n"/>
      <c r="AX904" s="65" t="n"/>
      <c r="AY904" s="65" t="n"/>
      <c r="AZ904" s="65" t="n"/>
      <c r="BA904" s="65" t="n"/>
      <c r="BB904" s="65" t="n"/>
      <c r="BC904" s="65" t="n"/>
      <c r="BD904" s="65" t="n"/>
      <c r="BE904" s="65" t="n"/>
      <c r="BF904" s="65" t="n"/>
      <c r="BG904" s="65" t="n"/>
    </row>
    <row r="905">
      <c r="F905" s="68" t="n"/>
      <c r="G905" s="68">
        <f>IF(B905="","",F905-I905 )</f>
        <v/>
      </c>
      <c r="H905" s="5">
        <f>IF(G905="","",G905/F905)</f>
        <v/>
      </c>
      <c r="I905" s="62">
        <f>SUM(テーブル9[[#This Row],[五大]:[工場材]])</f>
        <v/>
      </c>
      <c r="J905" s="65" t="n"/>
      <c r="K905" s="65" t="n"/>
      <c r="L905" s="65" t="n"/>
      <c r="M905" s="65" t="n"/>
      <c r="N905" s="65" t="n"/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6" t="n"/>
      <c r="Y905" s="65" t="n"/>
      <c r="Z905" s="65" t="n"/>
      <c r="AA905" s="65" t="n"/>
      <c r="AB905" s="65" t="n"/>
      <c r="AC905" s="65" t="n"/>
      <c r="AD905" s="65" t="n"/>
      <c r="AE905" s="65" t="n"/>
      <c r="AF905" s="65" t="n"/>
      <c r="AG905" s="65" t="n"/>
      <c r="AH905" s="65" t="n"/>
      <c r="AI905" s="65" t="n"/>
      <c r="AJ905" s="65" t="n"/>
      <c r="AK905" s="65" t="n"/>
      <c r="AL905" s="65" t="n"/>
      <c r="AM905" s="65" t="n"/>
      <c r="AN905" s="65" t="n"/>
      <c r="AO905" s="65" t="n"/>
      <c r="AP905" s="65" t="n"/>
      <c r="AQ905" s="65" t="n"/>
      <c r="AR905" s="65" t="n"/>
      <c r="AS905" s="65" t="n"/>
      <c r="AT905" s="65" t="n"/>
      <c r="AU905" s="65" t="n"/>
      <c r="AV905" s="65" t="n"/>
      <c r="AW905" s="65" t="n"/>
      <c r="AX905" s="65" t="n"/>
      <c r="AY905" s="65" t="n"/>
      <c r="AZ905" s="65" t="n"/>
      <c r="BA905" s="65" t="n"/>
      <c r="BB905" s="65" t="n"/>
      <c r="BC905" s="65" t="n"/>
      <c r="BD905" s="65" t="n"/>
      <c r="BE905" s="65" t="n"/>
      <c r="BF905" s="65" t="n"/>
      <c r="BG905" s="65" t="n"/>
    </row>
    <row r="906">
      <c r="F906" s="68" t="n"/>
      <c r="G906" s="68">
        <f>IF(B906="","",F906-I906 )</f>
        <v/>
      </c>
      <c r="H906" s="5">
        <f>IF(G906="","",G906/F906)</f>
        <v/>
      </c>
      <c r="I906" s="62">
        <f>SUM(テーブル9[[#This Row],[五大]:[工場材]])</f>
        <v/>
      </c>
      <c r="J906" s="65" t="n"/>
      <c r="K906" s="65" t="n"/>
      <c r="L906" s="65" t="n"/>
      <c r="M906" s="65" t="n"/>
      <c r="N906" s="65" t="n"/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6" t="n"/>
      <c r="Y906" s="65" t="n"/>
      <c r="Z906" s="65" t="n"/>
      <c r="AA906" s="65" t="n"/>
      <c r="AB906" s="65" t="n"/>
      <c r="AC906" s="65" t="n"/>
      <c r="AD906" s="65" t="n"/>
      <c r="AE906" s="65" t="n"/>
      <c r="AF906" s="65" t="n"/>
      <c r="AG906" s="65" t="n"/>
      <c r="AH906" s="65" t="n"/>
      <c r="AI906" s="65" t="n"/>
      <c r="AJ906" s="65" t="n"/>
      <c r="AK906" s="65" t="n"/>
      <c r="AL906" s="65" t="n"/>
      <c r="AM906" s="65" t="n"/>
      <c r="AN906" s="65" t="n"/>
      <c r="AO906" s="65" t="n"/>
      <c r="AP906" s="65" t="n"/>
      <c r="AQ906" s="65" t="n"/>
      <c r="AR906" s="65" t="n"/>
      <c r="AS906" s="65" t="n"/>
      <c r="AT906" s="65" t="n"/>
      <c r="AU906" s="65" t="n"/>
      <c r="AV906" s="65" t="n"/>
      <c r="AW906" s="65" t="n"/>
      <c r="AX906" s="65" t="n"/>
      <c r="AY906" s="65" t="n"/>
      <c r="AZ906" s="65" t="n"/>
      <c r="BA906" s="65" t="n"/>
      <c r="BB906" s="65" t="n"/>
      <c r="BC906" s="65" t="n"/>
      <c r="BD906" s="65" t="n"/>
      <c r="BE906" s="65" t="n"/>
      <c r="BF906" s="65" t="n"/>
      <c r="BG906" s="65" t="n"/>
    </row>
    <row r="907">
      <c r="F907" s="68" t="n"/>
      <c r="G907" s="68">
        <f>IF(B907="","",F907-I907 )</f>
        <v/>
      </c>
      <c r="H907" s="5">
        <f>IF(G907="","",G907/F907)</f>
        <v/>
      </c>
      <c r="I907" s="62">
        <f>SUM(テーブル9[[#This Row],[五大]:[工場材]])</f>
        <v/>
      </c>
      <c r="J907" s="65" t="n"/>
      <c r="K907" s="65" t="n"/>
      <c r="L907" s="65" t="n"/>
      <c r="M907" s="65" t="n"/>
      <c r="N907" s="65" t="n"/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6" t="n"/>
      <c r="Y907" s="65" t="n"/>
      <c r="Z907" s="65" t="n"/>
      <c r="AA907" s="65" t="n"/>
      <c r="AB907" s="65" t="n"/>
      <c r="AC907" s="65" t="n"/>
      <c r="AD907" s="65" t="n"/>
      <c r="AE907" s="65" t="n"/>
      <c r="AF907" s="65" t="n"/>
      <c r="AG907" s="65" t="n"/>
      <c r="AH907" s="65" t="n"/>
      <c r="AI907" s="65" t="n"/>
      <c r="AJ907" s="65" t="n"/>
      <c r="AK907" s="65" t="n"/>
      <c r="AL907" s="65" t="n"/>
      <c r="AM907" s="65" t="n"/>
      <c r="AN907" s="65" t="n"/>
      <c r="AO907" s="65" t="n"/>
      <c r="AP907" s="65" t="n"/>
      <c r="AQ907" s="65" t="n"/>
      <c r="AR907" s="65" t="n"/>
      <c r="AS907" s="65" t="n"/>
      <c r="AT907" s="65" t="n"/>
      <c r="AU907" s="65" t="n"/>
      <c r="AV907" s="65" t="n"/>
      <c r="AW907" s="65" t="n"/>
      <c r="AX907" s="65" t="n"/>
      <c r="AY907" s="65" t="n"/>
      <c r="AZ907" s="65" t="n"/>
      <c r="BA907" s="65" t="n"/>
      <c r="BB907" s="65" t="n"/>
      <c r="BC907" s="65" t="n"/>
      <c r="BD907" s="65" t="n"/>
      <c r="BE907" s="65" t="n"/>
      <c r="BF907" s="65" t="n"/>
      <c r="BG907" s="65" t="n"/>
    </row>
    <row r="908">
      <c r="F908" s="68" t="n"/>
      <c r="G908" s="68">
        <f>IF(B908="","",F908-I908 )</f>
        <v/>
      </c>
      <c r="H908" s="5">
        <f>IF(G908="","",G908/F908)</f>
        <v/>
      </c>
      <c r="I908" s="62">
        <f>SUM(テーブル9[[#This Row],[五大]:[工場材]])</f>
        <v/>
      </c>
      <c r="J908" s="65" t="n"/>
      <c r="K908" s="65" t="n"/>
      <c r="L908" s="65" t="n"/>
      <c r="M908" s="65" t="n"/>
      <c r="N908" s="65" t="n"/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6" t="n"/>
      <c r="Y908" s="65" t="n"/>
      <c r="Z908" s="65" t="n"/>
      <c r="AA908" s="65" t="n"/>
      <c r="AB908" s="65" t="n"/>
      <c r="AC908" s="65" t="n"/>
      <c r="AD908" s="65" t="n"/>
      <c r="AE908" s="65" t="n"/>
      <c r="AF908" s="65" t="n"/>
      <c r="AG908" s="65" t="n"/>
      <c r="AH908" s="65" t="n"/>
      <c r="AI908" s="65" t="n"/>
      <c r="AJ908" s="65" t="n"/>
      <c r="AK908" s="65" t="n"/>
      <c r="AL908" s="65" t="n"/>
      <c r="AM908" s="65" t="n"/>
      <c r="AN908" s="65" t="n"/>
      <c r="AO908" s="65" t="n"/>
      <c r="AP908" s="65" t="n"/>
      <c r="AQ908" s="65" t="n"/>
      <c r="AR908" s="65" t="n"/>
      <c r="AS908" s="65" t="n"/>
      <c r="AT908" s="65" t="n"/>
      <c r="AU908" s="65" t="n"/>
      <c r="AV908" s="65" t="n"/>
      <c r="AW908" s="65" t="n"/>
      <c r="AX908" s="65" t="n"/>
      <c r="AY908" s="65" t="n"/>
      <c r="AZ908" s="65" t="n"/>
      <c r="BA908" s="65" t="n"/>
      <c r="BB908" s="65" t="n"/>
      <c r="BC908" s="65" t="n"/>
      <c r="BD908" s="65" t="n"/>
      <c r="BE908" s="65" t="n"/>
      <c r="BF908" s="65" t="n"/>
      <c r="BG908" s="65" t="n"/>
    </row>
    <row r="909">
      <c r="F909" s="68" t="n"/>
      <c r="G909" s="68">
        <f>IF(B909="","",F909-I909 )</f>
        <v/>
      </c>
      <c r="H909" s="5">
        <f>IF(G909="","",G909/F909)</f>
        <v/>
      </c>
      <c r="I909" s="62">
        <f>SUM(テーブル9[[#This Row],[五大]:[工場材]])</f>
        <v/>
      </c>
      <c r="J909" s="65" t="n"/>
      <c r="K909" s="65" t="n"/>
      <c r="L909" s="65" t="n"/>
      <c r="M909" s="65" t="n"/>
      <c r="N909" s="65" t="n"/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6" t="n"/>
      <c r="Y909" s="65" t="n"/>
      <c r="Z909" s="65" t="n"/>
      <c r="AA909" s="65" t="n"/>
      <c r="AB909" s="65" t="n"/>
      <c r="AC909" s="65" t="n"/>
      <c r="AD909" s="65" t="n"/>
      <c r="AE909" s="65" t="n"/>
      <c r="AF909" s="65" t="n"/>
      <c r="AG909" s="65" t="n"/>
      <c r="AH909" s="65" t="n"/>
      <c r="AI909" s="65" t="n"/>
      <c r="AJ909" s="65" t="n"/>
      <c r="AK909" s="65" t="n"/>
      <c r="AL909" s="65" t="n"/>
      <c r="AM909" s="65" t="n"/>
      <c r="AN909" s="65" t="n"/>
      <c r="AO909" s="65" t="n"/>
      <c r="AP909" s="65" t="n"/>
      <c r="AQ909" s="65" t="n"/>
      <c r="AR909" s="65" t="n"/>
      <c r="AS909" s="65" t="n"/>
      <c r="AT909" s="65" t="n"/>
      <c r="AU909" s="65" t="n"/>
      <c r="AV909" s="65" t="n"/>
      <c r="AW909" s="65" t="n"/>
      <c r="AX909" s="65" t="n"/>
      <c r="AY909" s="65" t="n"/>
      <c r="AZ909" s="65" t="n"/>
      <c r="BA909" s="65" t="n"/>
      <c r="BB909" s="65" t="n"/>
      <c r="BC909" s="65" t="n"/>
      <c r="BD909" s="65" t="n"/>
      <c r="BE909" s="65" t="n"/>
      <c r="BF909" s="65" t="n"/>
      <c r="BG909" s="65" t="n"/>
    </row>
    <row r="910">
      <c r="F910" s="68" t="n"/>
      <c r="G910" s="68">
        <f>IF(B910="","",F910-I910 )</f>
        <v/>
      </c>
      <c r="H910" s="5">
        <f>IF(G910="","",G910/F910)</f>
        <v/>
      </c>
      <c r="I910" s="62">
        <f>SUM(テーブル9[[#This Row],[五大]:[工場材]])</f>
        <v/>
      </c>
      <c r="J910" s="65" t="n"/>
      <c r="K910" s="65" t="n"/>
      <c r="L910" s="65" t="n"/>
      <c r="M910" s="65" t="n"/>
      <c r="N910" s="65" t="n"/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6" t="n"/>
      <c r="Y910" s="65" t="n"/>
      <c r="Z910" s="65" t="n"/>
      <c r="AA910" s="65" t="n"/>
      <c r="AB910" s="65" t="n"/>
      <c r="AC910" s="65" t="n"/>
      <c r="AD910" s="65" t="n"/>
      <c r="AE910" s="65" t="n"/>
      <c r="AF910" s="65" t="n"/>
      <c r="AG910" s="65" t="n"/>
      <c r="AH910" s="65" t="n"/>
      <c r="AI910" s="65" t="n"/>
      <c r="AJ910" s="65" t="n"/>
      <c r="AK910" s="65" t="n"/>
      <c r="AL910" s="65" t="n"/>
      <c r="AM910" s="65" t="n"/>
      <c r="AN910" s="65" t="n"/>
      <c r="AO910" s="65" t="n"/>
      <c r="AP910" s="65" t="n"/>
      <c r="AQ910" s="65" t="n"/>
      <c r="AR910" s="65" t="n"/>
      <c r="AS910" s="65" t="n"/>
      <c r="AT910" s="65" t="n"/>
      <c r="AU910" s="65" t="n"/>
      <c r="AV910" s="65" t="n"/>
      <c r="AW910" s="65" t="n"/>
      <c r="AX910" s="65" t="n"/>
      <c r="AY910" s="65" t="n"/>
      <c r="AZ910" s="65" t="n"/>
      <c r="BA910" s="65" t="n"/>
      <c r="BB910" s="65" t="n"/>
      <c r="BC910" s="65" t="n"/>
      <c r="BD910" s="65" t="n"/>
      <c r="BE910" s="65" t="n"/>
      <c r="BF910" s="65" t="n"/>
      <c r="BG910" s="65" t="n"/>
    </row>
    <row r="911">
      <c r="F911" s="68" t="n"/>
      <c r="G911" s="68">
        <f>IF(B911="","",F911-I911 )</f>
        <v/>
      </c>
      <c r="H911" s="5">
        <f>IF(G911="","",G911/F911)</f>
        <v/>
      </c>
      <c r="I911" s="62">
        <f>SUM(テーブル9[[#This Row],[五大]:[工場材]])</f>
        <v/>
      </c>
      <c r="J911" s="65" t="n"/>
      <c r="K911" s="65" t="n"/>
      <c r="L911" s="65" t="n"/>
      <c r="M911" s="65" t="n"/>
      <c r="N911" s="65" t="n"/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6" t="n"/>
      <c r="Y911" s="65" t="n"/>
      <c r="Z911" s="65" t="n"/>
      <c r="AA911" s="65" t="n"/>
      <c r="AB911" s="65" t="n"/>
      <c r="AC911" s="65" t="n"/>
      <c r="AD911" s="65" t="n"/>
      <c r="AE911" s="65" t="n"/>
      <c r="AF911" s="65" t="n"/>
      <c r="AG911" s="65" t="n"/>
      <c r="AH911" s="65" t="n"/>
      <c r="AI911" s="65" t="n"/>
      <c r="AJ911" s="65" t="n"/>
      <c r="AK911" s="65" t="n"/>
      <c r="AL911" s="65" t="n"/>
      <c r="AM911" s="65" t="n"/>
      <c r="AN911" s="65" t="n"/>
      <c r="AO911" s="65" t="n"/>
      <c r="AP911" s="65" t="n"/>
      <c r="AQ911" s="65" t="n"/>
      <c r="AR911" s="65" t="n"/>
      <c r="AS911" s="65" t="n"/>
      <c r="AT911" s="65" t="n"/>
      <c r="AU911" s="65" t="n"/>
      <c r="AV911" s="65" t="n"/>
      <c r="AW911" s="65" t="n"/>
      <c r="AX911" s="65" t="n"/>
      <c r="AY911" s="65" t="n"/>
      <c r="AZ911" s="65" t="n"/>
      <c r="BA911" s="65" t="n"/>
      <c r="BB911" s="65" t="n"/>
      <c r="BC911" s="65" t="n"/>
      <c r="BD911" s="65" t="n"/>
      <c r="BE911" s="65" t="n"/>
      <c r="BF911" s="65" t="n"/>
      <c r="BG911" s="65" t="n"/>
    </row>
    <row r="912">
      <c r="F912" s="68" t="n"/>
      <c r="G912" s="68">
        <f>IF(B912="","",F912-I912 )</f>
        <v/>
      </c>
      <c r="H912" s="5">
        <f>IF(G912="","",G912/F912)</f>
        <v/>
      </c>
      <c r="I912" s="62">
        <f>SUM(テーブル9[[#This Row],[五大]:[工場材]])</f>
        <v/>
      </c>
      <c r="J912" s="65" t="n"/>
      <c r="K912" s="65" t="n"/>
      <c r="L912" s="65" t="n"/>
      <c r="M912" s="65" t="n"/>
      <c r="N912" s="65" t="n"/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6" t="n"/>
      <c r="Y912" s="65" t="n"/>
      <c r="Z912" s="65" t="n"/>
      <c r="AA912" s="65" t="n"/>
      <c r="AB912" s="65" t="n"/>
      <c r="AC912" s="65" t="n"/>
      <c r="AD912" s="65" t="n"/>
      <c r="AE912" s="65" t="n"/>
      <c r="AF912" s="65" t="n"/>
      <c r="AG912" s="65" t="n"/>
      <c r="AH912" s="65" t="n"/>
      <c r="AI912" s="65" t="n"/>
      <c r="AJ912" s="65" t="n"/>
      <c r="AK912" s="65" t="n"/>
      <c r="AL912" s="65" t="n"/>
      <c r="AM912" s="65" t="n"/>
      <c r="AN912" s="65" t="n"/>
      <c r="AO912" s="65" t="n"/>
      <c r="AP912" s="65" t="n"/>
      <c r="AQ912" s="65" t="n"/>
      <c r="AR912" s="65" t="n"/>
      <c r="AS912" s="65" t="n"/>
      <c r="AT912" s="65" t="n"/>
      <c r="AU912" s="65" t="n"/>
      <c r="AV912" s="65" t="n"/>
      <c r="AW912" s="65" t="n"/>
      <c r="AX912" s="65" t="n"/>
      <c r="AY912" s="65" t="n"/>
      <c r="AZ912" s="65" t="n"/>
      <c r="BA912" s="65" t="n"/>
      <c r="BB912" s="65" t="n"/>
      <c r="BC912" s="65" t="n"/>
      <c r="BD912" s="65" t="n"/>
      <c r="BE912" s="65" t="n"/>
      <c r="BF912" s="65" t="n"/>
      <c r="BG912" s="65" t="n"/>
    </row>
    <row r="913">
      <c r="F913" s="68" t="n"/>
      <c r="G913" s="68">
        <f>IF(B913="","",F913-I913 )</f>
        <v/>
      </c>
      <c r="H913" s="5">
        <f>IF(G913="","",G913/F913)</f>
        <v/>
      </c>
      <c r="I913" s="62">
        <f>SUM(テーブル9[[#This Row],[五大]:[工場材]])</f>
        <v/>
      </c>
      <c r="J913" s="65" t="n"/>
      <c r="K913" s="65" t="n"/>
      <c r="L913" s="65" t="n"/>
      <c r="M913" s="65" t="n"/>
      <c r="N913" s="65" t="n"/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6" t="n"/>
      <c r="Y913" s="65" t="n"/>
      <c r="Z913" s="65" t="n"/>
      <c r="AA913" s="65" t="n"/>
      <c r="AB913" s="65" t="n"/>
      <c r="AC913" s="65" t="n"/>
      <c r="AD913" s="65" t="n"/>
      <c r="AE913" s="65" t="n"/>
      <c r="AF913" s="65" t="n"/>
      <c r="AG913" s="65" t="n"/>
      <c r="AH913" s="65" t="n"/>
      <c r="AI913" s="65" t="n"/>
      <c r="AJ913" s="65" t="n"/>
      <c r="AK913" s="65" t="n"/>
      <c r="AL913" s="65" t="n"/>
      <c r="AM913" s="65" t="n"/>
      <c r="AN913" s="65" t="n"/>
      <c r="AO913" s="65" t="n"/>
      <c r="AP913" s="65" t="n"/>
      <c r="AQ913" s="65" t="n"/>
      <c r="AR913" s="65" t="n"/>
      <c r="AS913" s="65" t="n"/>
      <c r="AT913" s="65" t="n"/>
      <c r="AU913" s="65" t="n"/>
      <c r="AV913" s="65" t="n"/>
      <c r="AW913" s="65" t="n"/>
      <c r="AX913" s="65" t="n"/>
      <c r="AY913" s="65" t="n"/>
      <c r="AZ913" s="65" t="n"/>
      <c r="BA913" s="65" t="n"/>
      <c r="BB913" s="65" t="n"/>
      <c r="BC913" s="65" t="n"/>
      <c r="BD913" s="65" t="n"/>
      <c r="BE913" s="65" t="n"/>
      <c r="BF913" s="65" t="n"/>
      <c r="BG913" s="65" t="n"/>
    </row>
    <row r="914">
      <c r="F914" s="68" t="n"/>
      <c r="G914" s="68">
        <f>IF(B914="","",F914-I914 )</f>
        <v/>
      </c>
      <c r="H914" s="5">
        <f>IF(G914="","",G914/F914)</f>
        <v/>
      </c>
      <c r="I914" s="62">
        <f>SUM(テーブル9[[#This Row],[五大]:[工場材]])</f>
        <v/>
      </c>
      <c r="J914" s="65" t="n"/>
      <c r="K914" s="65" t="n"/>
      <c r="L914" s="65" t="n"/>
      <c r="M914" s="65" t="n"/>
      <c r="N914" s="65" t="n"/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6" t="n"/>
      <c r="Y914" s="65" t="n"/>
      <c r="Z914" s="65" t="n"/>
      <c r="AA914" s="65" t="n"/>
      <c r="AB914" s="65" t="n"/>
      <c r="AC914" s="65" t="n"/>
      <c r="AD914" s="65" t="n"/>
      <c r="AE914" s="65" t="n"/>
      <c r="AF914" s="65" t="n"/>
      <c r="AG914" s="65" t="n"/>
      <c r="AH914" s="65" t="n"/>
      <c r="AI914" s="65" t="n"/>
      <c r="AJ914" s="65" t="n"/>
      <c r="AK914" s="65" t="n"/>
      <c r="AL914" s="65" t="n"/>
      <c r="AM914" s="65" t="n"/>
      <c r="AN914" s="65" t="n"/>
      <c r="AO914" s="65" t="n"/>
      <c r="AP914" s="65" t="n"/>
      <c r="AQ914" s="65" t="n"/>
      <c r="AR914" s="65" t="n"/>
      <c r="AS914" s="65" t="n"/>
      <c r="AT914" s="65" t="n"/>
      <c r="AU914" s="65" t="n"/>
      <c r="AV914" s="65" t="n"/>
      <c r="AW914" s="65" t="n"/>
      <c r="AX914" s="65" t="n"/>
      <c r="AY914" s="65" t="n"/>
      <c r="AZ914" s="65" t="n"/>
      <c r="BA914" s="65" t="n"/>
      <c r="BB914" s="65" t="n"/>
      <c r="BC914" s="65" t="n"/>
      <c r="BD914" s="65" t="n"/>
      <c r="BE914" s="65" t="n"/>
      <c r="BF914" s="65" t="n"/>
      <c r="BG914" s="65" t="n"/>
    </row>
    <row r="915">
      <c r="F915" s="68" t="n"/>
      <c r="G915" s="68">
        <f>IF(B915="","",F915-I915 )</f>
        <v/>
      </c>
      <c r="H915" s="5">
        <f>IF(G915="","",G915/F915)</f>
        <v/>
      </c>
      <c r="I915" s="62">
        <f>SUM(テーブル9[[#This Row],[五大]:[工場材]])</f>
        <v/>
      </c>
      <c r="J915" s="65" t="n"/>
      <c r="K915" s="65" t="n"/>
      <c r="L915" s="65" t="n"/>
      <c r="M915" s="65" t="n"/>
      <c r="N915" s="65" t="n"/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6" t="n"/>
      <c r="Y915" s="65" t="n"/>
      <c r="Z915" s="65" t="n"/>
      <c r="AA915" s="65" t="n"/>
      <c r="AB915" s="65" t="n"/>
      <c r="AC915" s="65" t="n"/>
      <c r="AD915" s="65" t="n"/>
      <c r="AE915" s="65" t="n"/>
      <c r="AF915" s="65" t="n"/>
      <c r="AG915" s="65" t="n"/>
      <c r="AH915" s="65" t="n"/>
      <c r="AI915" s="65" t="n"/>
      <c r="AJ915" s="65" t="n"/>
      <c r="AK915" s="65" t="n"/>
      <c r="AL915" s="65" t="n"/>
      <c r="AM915" s="65" t="n"/>
      <c r="AN915" s="65" t="n"/>
      <c r="AO915" s="65" t="n"/>
      <c r="AP915" s="65" t="n"/>
      <c r="AQ915" s="65" t="n"/>
      <c r="AR915" s="65" t="n"/>
      <c r="AS915" s="65" t="n"/>
      <c r="AT915" s="65" t="n"/>
      <c r="AU915" s="65" t="n"/>
      <c r="AV915" s="65" t="n"/>
      <c r="AW915" s="65" t="n"/>
      <c r="AX915" s="65" t="n"/>
      <c r="AY915" s="65" t="n"/>
      <c r="AZ915" s="65" t="n"/>
      <c r="BA915" s="65" t="n"/>
      <c r="BB915" s="65" t="n"/>
      <c r="BC915" s="65" t="n"/>
      <c r="BD915" s="65" t="n"/>
      <c r="BE915" s="65" t="n"/>
      <c r="BF915" s="65" t="n"/>
      <c r="BG915" s="65" t="n"/>
    </row>
    <row r="916">
      <c r="F916" s="68" t="n"/>
      <c r="G916" s="68">
        <f>IF(B916="","",F916-I916 )</f>
        <v/>
      </c>
      <c r="H916" s="5">
        <f>IF(G916="","",G916/F916)</f>
        <v/>
      </c>
      <c r="I916" s="62">
        <f>SUM(テーブル9[[#This Row],[五大]:[工場材]])</f>
        <v/>
      </c>
      <c r="J916" s="65" t="n"/>
      <c r="K916" s="65" t="n"/>
      <c r="L916" s="65" t="n"/>
      <c r="M916" s="65" t="n"/>
      <c r="N916" s="65" t="n"/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6" t="n"/>
      <c r="Y916" s="65" t="n"/>
      <c r="Z916" s="65" t="n"/>
      <c r="AA916" s="65" t="n"/>
      <c r="AB916" s="65" t="n"/>
      <c r="AC916" s="65" t="n"/>
      <c r="AD916" s="65" t="n"/>
      <c r="AE916" s="65" t="n"/>
      <c r="AF916" s="65" t="n"/>
      <c r="AG916" s="65" t="n"/>
      <c r="AH916" s="65" t="n"/>
      <c r="AI916" s="65" t="n"/>
      <c r="AJ916" s="65" t="n"/>
      <c r="AK916" s="65" t="n"/>
      <c r="AL916" s="65" t="n"/>
      <c r="AM916" s="65" t="n"/>
      <c r="AN916" s="65" t="n"/>
      <c r="AO916" s="65" t="n"/>
      <c r="AP916" s="65" t="n"/>
      <c r="AQ916" s="65" t="n"/>
      <c r="AR916" s="65" t="n"/>
      <c r="AS916" s="65" t="n"/>
      <c r="AT916" s="65" t="n"/>
      <c r="AU916" s="65" t="n"/>
      <c r="AV916" s="65" t="n"/>
      <c r="AW916" s="65" t="n"/>
      <c r="AX916" s="65" t="n"/>
      <c r="AY916" s="65" t="n"/>
      <c r="AZ916" s="65" t="n"/>
      <c r="BA916" s="65" t="n"/>
      <c r="BB916" s="65" t="n"/>
      <c r="BC916" s="65" t="n"/>
      <c r="BD916" s="65" t="n"/>
      <c r="BE916" s="65" t="n"/>
      <c r="BF916" s="65" t="n"/>
      <c r="BG916" s="65" t="n"/>
    </row>
    <row r="917">
      <c r="F917" s="68" t="n"/>
      <c r="G917" s="68">
        <f>IF(B917="","",F917-I917 )</f>
        <v/>
      </c>
      <c r="H917" s="5">
        <f>IF(G917="","",G917/F917)</f>
        <v/>
      </c>
      <c r="I917" s="62">
        <f>SUM(テーブル9[[#This Row],[五大]:[工場材]])</f>
        <v/>
      </c>
      <c r="J917" s="65" t="n"/>
      <c r="K917" s="65" t="n"/>
      <c r="L917" s="65" t="n"/>
      <c r="M917" s="65" t="n"/>
      <c r="N917" s="65" t="n"/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6" t="n"/>
      <c r="Y917" s="65" t="n"/>
      <c r="Z917" s="65" t="n"/>
      <c r="AA917" s="65" t="n"/>
      <c r="AB917" s="65" t="n"/>
      <c r="AC917" s="65" t="n"/>
      <c r="AD917" s="65" t="n"/>
      <c r="AE917" s="65" t="n"/>
      <c r="AF917" s="65" t="n"/>
      <c r="AG917" s="65" t="n"/>
      <c r="AH917" s="65" t="n"/>
      <c r="AI917" s="65" t="n"/>
      <c r="AJ917" s="65" t="n"/>
      <c r="AK917" s="65" t="n"/>
      <c r="AL917" s="65" t="n"/>
      <c r="AM917" s="65" t="n"/>
      <c r="AN917" s="65" t="n"/>
      <c r="AO917" s="65" t="n"/>
      <c r="AP917" s="65" t="n"/>
      <c r="AQ917" s="65" t="n"/>
      <c r="AR917" s="65" t="n"/>
      <c r="AS917" s="65" t="n"/>
      <c r="AT917" s="65" t="n"/>
      <c r="AU917" s="65" t="n"/>
      <c r="AV917" s="65" t="n"/>
      <c r="AW917" s="65" t="n"/>
      <c r="AX917" s="65" t="n"/>
      <c r="AY917" s="65" t="n"/>
      <c r="AZ917" s="65" t="n"/>
      <c r="BA917" s="65" t="n"/>
      <c r="BB917" s="65" t="n"/>
      <c r="BC917" s="65" t="n"/>
      <c r="BD917" s="65" t="n"/>
      <c r="BE917" s="65" t="n"/>
      <c r="BF917" s="65" t="n"/>
      <c r="BG917" s="65" t="n"/>
    </row>
    <row r="918">
      <c r="F918" s="68" t="n"/>
      <c r="G918" s="68">
        <f>IF(B918="","",F918-I918 )</f>
        <v/>
      </c>
      <c r="H918" s="5">
        <f>IF(G918="","",G918/F918)</f>
        <v/>
      </c>
      <c r="I918" s="62">
        <f>SUM(テーブル9[[#This Row],[五大]:[工場材]])</f>
        <v/>
      </c>
      <c r="J918" s="65" t="n"/>
      <c r="K918" s="65" t="n"/>
      <c r="L918" s="65" t="n"/>
      <c r="M918" s="65" t="n"/>
      <c r="N918" s="65" t="n"/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6" t="n"/>
      <c r="Y918" s="65" t="n"/>
      <c r="Z918" s="65" t="n"/>
      <c r="AA918" s="65" t="n"/>
      <c r="AB918" s="65" t="n"/>
      <c r="AC918" s="65" t="n"/>
      <c r="AD918" s="65" t="n"/>
      <c r="AE918" s="65" t="n"/>
      <c r="AF918" s="65" t="n"/>
      <c r="AG918" s="65" t="n"/>
      <c r="AH918" s="65" t="n"/>
      <c r="AI918" s="65" t="n"/>
      <c r="AJ918" s="65" t="n"/>
      <c r="AK918" s="65" t="n"/>
      <c r="AL918" s="65" t="n"/>
      <c r="AM918" s="65" t="n"/>
      <c r="AN918" s="65" t="n"/>
      <c r="AO918" s="65" t="n"/>
      <c r="AP918" s="65" t="n"/>
      <c r="AQ918" s="65" t="n"/>
      <c r="AR918" s="65" t="n"/>
      <c r="AS918" s="65" t="n"/>
      <c r="AT918" s="65" t="n"/>
      <c r="AU918" s="65" t="n"/>
      <c r="AV918" s="65" t="n"/>
      <c r="AW918" s="65" t="n"/>
      <c r="AX918" s="65" t="n"/>
      <c r="AY918" s="65" t="n"/>
      <c r="AZ918" s="65" t="n"/>
      <c r="BA918" s="65" t="n"/>
      <c r="BB918" s="65" t="n"/>
      <c r="BC918" s="65" t="n"/>
      <c r="BD918" s="65" t="n"/>
      <c r="BE918" s="65" t="n"/>
      <c r="BF918" s="65" t="n"/>
      <c r="BG918" s="65" t="n"/>
    </row>
    <row r="919">
      <c r="F919" s="68" t="n"/>
      <c r="G919" s="68">
        <f>IF(B919="","",F919-I919 )</f>
        <v/>
      </c>
      <c r="H919" s="5">
        <f>IF(G919="","",G919/F919)</f>
        <v/>
      </c>
      <c r="I919" s="62">
        <f>SUM(テーブル9[[#This Row],[五大]:[工場材]])</f>
        <v/>
      </c>
      <c r="J919" s="65" t="n"/>
      <c r="K919" s="65" t="n"/>
      <c r="L919" s="65" t="n"/>
      <c r="M919" s="65" t="n"/>
      <c r="N919" s="65" t="n"/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6" t="n"/>
      <c r="Y919" s="65" t="n"/>
      <c r="Z919" s="65" t="n"/>
      <c r="AA919" s="65" t="n"/>
      <c r="AB919" s="65" t="n"/>
      <c r="AC919" s="65" t="n"/>
      <c r="AD919" s="65" t="n"/>
      <c r="AE919" s="65" t="n"/>
      <c r="AF919" s="65" t="n"/>
      <c r="AG919" s="65" t="n"/>
      <c r="AH919" s="65" t="n"/>
      <c r="AI919" s="65" t="n"/>
      <c r="AJ919" s="65" t="n"/>
      <c r="AK919" s="65" t="n"/>
      <c r="AL919" s="65" t="n"/>
      <c r="AM919" s="65" t="n"/>
      <c r="AN919" s="65" t="n"/>
      <c r="AO919" s="65" t="n"/>
      <c r="AP919" s="65" t="n"/>
      <c r="AQ919" s="65" t="n"/>
      <c r="AR919" s="65" t="n"/>
      <c r="AS919" s="65" t="n"/>
      <c r="AT919" s="65" t="n"/>
      <c r="AU919" s="65" t="n"/>
      <c r="AV919" s="65" t="n"/>
      <c r="AW919" s="65" t="n"/>
      <c r="AX919" s="65" t="n"/>
      <c r="AY919" s="65" t="n"/>
      <c r="AZ919" s="65" t="n"/>
      <c r="BA919" s="65" t="n"/>
      <c r="BB919" s="65" t="n"/>
      <c r="BC919" s="65" t="n"/>
      <c r="BD919" s="65" t="n"/>
      <c r="BE919" s="65" t="n"/>
      <c r="BF919" s="65" t="n"/>
      <c r="BG919" s="65" t="n"/>
    </row>
    <row r="920">
      <c r="F920" s="68" t="n"/>
      <c r="G920" s="68">
        <f>IF(B920="","",F920-I920 )</f>
        <v/>
      </c>
      <c r="H920" s="5">
        <f>IF(G920="","",G920/F920)</f>
        <v/>
      </c>
      <c r="I920" s="62">
        <f>SUM(テーブル9[[#This Row],[五大]:[工場材]])</f>
        <v/>
      </c>
      <c r="J920" s="65" t="n"/>
      <c r="K920" s="65" t="n"/>
      <c r="L920" s="65" t="n"/>
      <c r="M920" s="65" t="n"/>
      <c r="N920" s="65" t="n"/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6" t="n"/>
      <c r="Y920" s="65" t="n"/>
      <c r="Z920" s="65" t="n"/>
      <c r="AA920" s="65" t="n"/>
      <c r="AB920" s="65" t="n"/>
      <c r="AC920" s="65" t="n"/>
      <c r="AD920" s="65" t="n"/>
      <c r="AE920" s="65" t="n"/>
      <c r="AF920" s="65" t="n"/>
      <c r="AG920" s="65" t="n"/>
      <c r="AH920" s="65" t="n"/>
      <c r="AI920" s="65" t="n"/>
      <c r="AJ920" s="65" t="n"/>
      <c r="AK920" s="65" t="n"/>
      <c r="AL920" s="65" t="n"/>
      <c r="AM920" s="65" t="n"/>
      <c r="AN920" s="65" t="n"/>
      <c r="AO920" s="65" t="n"/>
      <c r="AP920" s="65" t="n"/>
      <c r="AQ920" s="65" t="n"/>
      <c r="AR920" s="65" t="n"/>
      <c r="AS920" s="65" t="n"/>
      <c r="AT920" s="65" t="n"/>
      <c r="AU920" s="65" t="n"/>
      <c r="AV920" s="65" t="n"/>
      <c r="AW920" s="65" t="n"/>
      <c r="AX920" s="65" t="n"/>
      <c r="AY920" s="65" t="n"/>
      <c r="AZ920" s="65" t="n"/>
      <c r="BA920" s="65" t="n"/>
      <c r="BB920" s="65" t="n"/>
      <c r="BC920" s="65" t="n"/>
      <c r="BD920" s="65" t="n"/>
      <c r="BE920" s="65" t="n"/>
      <c r="BF920" s="65" t="n"/>
      <c r="BG920" s="65" t="n"/>
    </row>
    <row r="921">
      <c r="F921" s="68" t="n"/>
      <c r="G921" s="68">
        <f>IF(B921="","",F921-I921 )</f>
        <v/>
      </c>
      <c r="H921" s="5">
        <f>IF(G921="","",G921/F921)</f>
        <v/>
      </c>
      <c r="I921" s="62">
        <f>SUM(テーブル9[[#This Row],[五大]:[工場材]])</f>
        <v/>
      </c>
      <c r="J921" s="65" t="n"/>
      <c r="K921" s="65" t="n"/>
      <c r="L921" s="65" t="n"/>
      <c r="M921" s="65" t="n"/>
      <c r="N921" s="65" t="n"/>
      <c r="O921" s="65" t="n"/>
      <c r="P921" s="65" t="n"/>
      <c r="Q921" s="65" t="n"/>
      <c r="R921" s="65" t="n"/>
      <c r="S921" s="65" t="n"/>
      <c r="T921" s="65" t="n"/>
      <c r="U921" s="65" t="n"/>
      <c r="V921" s="65" t="n"/>
      <c r="W921" s="65" t="n"/>
      <c r="X921" s="66" t="n"/>
      <c r="Y921" s="65" t="n"/>
      <c r="Z921" s="65" t="n"/>
      <c r="AA921" s="65" t="n"/>
      <c r="AB921" s="65" t="n"/>
      <c r="AC921" s="65" t="n"/>
      <c r="AD921" s="65" t="n"/>
      <c r="AE921" s="65" t="n"/>
      <c r="AF921" s="65" t="n"/>
      <c r="AG921" s="65" t="n"/>
      <c r="AH921" s="65" t="n"/>
      <c r="AI921" s="65" t="n"/>
      <c r="AJ921" s="65" t="n"/>
      <c r="AK921" s="65" t="n"/>
      <c r="AL921" s="65" t="n"/>
      <c r="AM921" s="65" t="n"/>
      <c r="AN921" s="65" t="n"/>
      <c r="AO921" s="65" t="n"/>
      <c r="AP921" s="65" t="n"/>
      <c r="AQ921" s="65" t="n"/>
      <c r="AR921" s="65" t="n"/>
      <c r="AS921" s="65" t="n"/>
      <c r="AT921" s="65" t="n"/>
      <c r="AU921" s="65" t="n"/>
      <c r="AV921" s="65" t="n"/>
      <c r="AW921" s="65" t="n"/>
      <c r="AX921" s="65" t="n"/>
      <c r="AY921" s="65" t="n"/>
      <c r="AZ921" s="65" t="n"/>
      <c r="BA921" s="65" t="n"/>
      <c r="BB921" s="65" t="n"/>
      <c r="BC921" s="65" t="n"/>
      <c r="BD921" s="65" t="n"/>
      <c r="BE921" s="65" t="n"/>
      <c r="BF921" s="65" t="n"/>
      <c r="BG921" s="65" t="n"/>
    </row>
    <row r="922">
      <c r="F922" s="68" t="n"/>
      <c r="G922" s="68">
        <f>IF(B922="","",F922-I922 )</f>
        <v/>
      </c>
      <c r="H922" s="5">
        <f>IF(G922="","",G922/F922)</f>
        <v/>
      </c>
      <c r="I922" s="62">
        <f>SUM(テーブル9[[#This Row],[五大]:[工場材]])</f>
        <v/>
      </c>
      <c r="J922" s="65" t="n"/>
      <c r="K922" s="65" t="n"/>
      <c r="L922" s="65" t="n"/>
      <c r="M922" s="65" t="n"/>
      <c r="N922" s="65" t="n"/>
      <c r="O922" s="65" t="n"/>
      <c r="P922" s="65" t="n"/>
      <c r="Q922" s="65" t="n"/>
      <c r="R922" s="65" t="n"/>
      <c r="S922" s="65" t="n"/>
      <c r="T922" s="65" t="n"/>
      <c r="U922" s="65" t="n"/>
      <c r="V922" s="65" t="n"/>
      <c r="W922" s="65" t="n"/>
      <c r="X922" s="66" t="n"/>
      <c r="Y922" s="65" t="n"/>
      <c r="Z922" s="65" t="n"/>
      <c r="AA922" s="65" t="n"/>
      <c r="AB922" s="65" t="n"/>
      <c r="AC922" s="65" t="n"/>
      <c r="AD922" s="65" t="n"/>
      <c r="AE922" s="65" t="n"/>
      <c r="AF922" s="65" t="n"/>
      <c r="AG922" s="65" t="n"/>
      <c r="AH922" s="65" t="n"/>
      <c r="AI922" s="65" t="n"/>
      <c r="AJ922" s="65" t="n"/>
      <c r="AK922" s="65" t="n"/>
      <c r="AL922" s="65" t="n"/>
      <c r="AM922" s="65" t="n"/>
      <c r="AN922" s="65" t="n"/>
      <c r="AO922" s="65" t="n"/>
      <c r="AP922" s="65" t="n"/>
      <c r="AQ922" s="65" t="n"/>
      <c r="AR922" s="65" t="n"/>
      <c r="AS922" s="65" t="n"/>
      <c r="AT922" s="65" t="n"/>
      <c r="AU922" s="65" t="n"/>
      <c r="AV922" s="65" t="n"/>
      <c r="AW922" s="65" t="n"/>
      <c r="AX922" s="65" t="n"/>
      <c r="AY922" s="65" t="n"/>
      <c r="AZ922" s="65" t="n"/>
      <c r="BA922" s="65" t="n"/>
      <c r="BB922" s="65" t="n"/>
      <c r="BC922" s="65" t="n"/>
      <c r="BD922" s="65" t="n"/>
      <c r="BE922" s="65" t="n"/>
      <c r="BF922" s="65" t="n"/>
      <c r="BG922" s="65" t="n"/>
    </row>
    <row r="923">
      <c r="F923" s="68" t="n"/>
      <c r="G923" s="68">
        <f>IF(B923="","",F923-I923 )</f>
        <v/>
      </c>
      <c r="H923" s="5">
        <f>IF(G923="","",G923/F923)</f>
        <v/>
      </c>
      <c r="I923" s="62">
        <f>SUM(テーブル9[[#This Row],[五大]:[工場材]])</f>
        <v/>
      </c>
      <c r="J923" s="65" t="n"/>
      <c r="K923" s="65" t="n"/>
      <c r="L923" s="65" t="n"/>
      <c r="M923" s="65" t="n"/>
      <c r="N923" s="65" t="n"/>
      <c r="O923" s="65" t="n"/>
      <c r="P923" s="65" t="n"/>
      <c r="Q923" s="65" t="n"/>
      <c r="R923" s="65" t="n"/>
      <c r="S923" s="65" t="n"/>
      <c r="T923" s="65" t="n"/>
      <c r="U923" s="65" t="n"/>
      <c r="V923" s="65" t="n"/>
      <c r="W923" s="65" t="n"/>
      <c r="X923" s="66" t="n"/>
      <c r="Y923" s="65" t="n"/>
      <c r="Z923" s="65" t="n"/>
      <c r="AA923" s="65" t="n"/>
      <c r="AB923" s="65" t="n"/>
      <c r="AC923" s="65" t="n"/>
      <c r="AD923" s="65" t="n"/>
      <c r="AE923" s="65" t="n"/>
      <c r="AF923" s="65" t="n"/>
      <c r="AG923" s="65" t="n"/>
      <c r="AH923" s="65" t="n"/>
      <c r="AI923" s="65" t="n"/>
      <c r="AJ923" s="65" t="n"/>
      <c r="AK923" s="65" t="n"/>
      <c r="AL923" s="65" t="n"/>
      <c r="AM923" s="65" t="n"/>
      <c r="AN923" s="65" t="n"/>
      <c r="AO923" s="65" t="n"/>
      <c r="AP923" s="65" t="n"/>
      <c r="AQ923" s="65" t="n"/>
      <c r="AR923" s="65" t="n"/>
      <c r="AS923" s="65" t="n"/>
      <c r="AT923" s="65" t="n"/>
      <c r="AU923" s="65" t="n"/>
      <c r="AV923" s="65" t="n"/>
      <c r="AW923" s="65" t="n"/>
      <c r="AX923" s="65" t="n"/>
      <c r="AY923" s="65" t="n"/>
      <c r="AZ923" s="65" t="n"/>
      <c r="BA923" s="65" t="n"/>
      <c r="BB923" s="65" t="n"/>
      <c r="BC923" s="65" t="n"/>
      <c r="BD923" s="65" t="n"/>
      <c r="BE923" s="65" t="n"/>
      <c r="BF923" s="65" t="n"/>
      <c r="BG923" s="65" t="n"/>
    </row>
    <row r="924">
      <c r="F924" s="68" t="n"/>
      <c r="G924" s="68">
        <f>IF(B924="","",F924-I924 )</f>
        <v/>
      </c>
      <c r="H924" s="5">
        <f>IF(G924="","",G924/F924)</f>
        <v/>
      </c>
      <c r="I924" s="62">
        <f>SUM(テーブル9[[#This Row],[五大]:[工場材]])</f>
        <v/>
      </c>
      <c r="J924" s="65" t="n"/>
      <c r="K924" s="65" t="n"/>
      <c r="L924" s="65" t="n"/>
      <c r="M924" s="65" t="n"/>
      <c r="N924" s="65" t="n"/>
      <c r="O924" s="65" t="n"/>
      <c r="P924" s="65" t="n"/>
      <c r="Q924" s="65" t="n"/>
      <c r="R924" s="65" t="n"/>
      <c r="S924" s="65" t="n"/>
      <c r="T924" s="65" t="n"/>
      <c r="U924" s="65" t="n"/>
      <c r="V924" s="65" t="n"/>
      <c r="W924" s="65" t="n"/>
      <c r="X924" s="66" t="n"/>
      <c r="Y924" s="65" t="n"/>
      <c r="Z924" s="65" t="n"/>
      <c r="AA924" s="65" t="n"/>
      <c r="AB924" s="65" t="n"/>
      <c r="AC924" s="65" t="n"/>
      <c r="AD924" s="65" t="n"/>
      <c r="AE924" s="65" t="n"/>
      <c r="AF924" s="65" t="n"/>
      <c r="AG924" s="65" t="n"/>
      <c r="AH924" s="65" t="n"/>
      <c r="AI924" s="65" t="n"/>
      <c r="AJ924" s="65" t="n"/>
      <c r="AK924" s="65" t="n"/>
      <c r="AL924" s="65" t="n"/>
      <c r="AM924" s="65" t="n"/>
      <c r="AN924" s="65" t="n"/>
      <c r="AO924" s="65" t="n"/>
      <c r="AP924" s="65" t="n"/>
      <c r="AQ924" s="65" t="n"/>
      <c r="AR924" s="65" t="n"/>
      <c r="AS924" s="65" t="n"/>
      <c r="AT924" s="65" t="n"/>
      <c r="AU924" s="65" t="n"/>
      <c r="AV924" s="65" t="n"/>
      <c r="AW924" s="65" t="n"/>
      <c r="AX924" s="65" t="n"/>
      <c r="AY924" s="65" t="n"/>
      <c r="AZ924" s="65" t="n"/>
      <c r="BA924" s="65" t="n"/>
      <c r="BB924" s="65" t="n"/>
      <c r="BC924" s="65" t="n"/>
      <c r="BD924" s="65" t="n"/>
      <c r="BE924" s="65" t="n"/>
      <c r="BF924" s="65" t="n"/>
      <c r="BG924" s="65" t="n"/>
    </row>
    <row r="925">
      <c r="F925" s="68" t="n"/>
      <c r="G925" s="68">
        <f>IF(B925="","",F925-I925 )</f>
        <v/>
      </c>
      <c r="H925" s="5">
        <f>IF(G925="","",G925/F925)</f>
        <v/>
      </c>
      <c r="I925" s="62">
        <f>SUM(テーブル9[[#This Row],[五大]:[工場材]])</f>
        <v/>
      </c>
      <c r="J925" s="65" t="n"/>
      <c r="K925" s="65" t="n"/>
      <c r="L925" s="65" t="n"/>
      <c r="M925" s="65" t="n"/>
      <c r="N925" s="65" t="n"/>
      <c r="O925" s="65" t="n"/>
      <c r="P925" s="65" t="n"/>
      <c r="Q925" s="65" t="n"/>
      <c r="R925" s="65" t="n"/>
      <c r="S925" s="65" t="n"/>
      <c r="T925" s="65" t="n"/>
      <c r="U925" s="65" t="n"/>
      <c r="V925" s="65" t="n"/>
      <c r="W925" s="65" t="n"/>
      <c r="X925" s="66" t="n"/>
      <c r="Y925" s="65" t="n"/>
      <c r="Z925" s="65" t="n"/>
      <c r="AA925" s="65" t="n"/>
      <c r="AB925" s="65" t="n"/>
      <c r="AC925" s="65" t="n"/>
      <c r="AD925" s="65" t="n"/>
      <c r="AE925" s="65" t="n"/>
      <c r="AF925" s="65" t="n"/>
      <c r="AG925" s="65" t="n"/>
      <c r="AH925" s="65" t="n"/>
      <c r="AI925" s="65" t="n"/>
      <c r="AJ925" s="65" t="n"/>
      <c r="AK925" s="65" t="n"/>
      <c r="AL925" s="65" t="n"/>
      <c r="AM925" s="65" t="n"/>
      <c r="AN925" s="65" t="n"/>
      <c r="AO925" s="65" t="n"/>
      <c r="AP925" s="65" t="n"/>
      <c r="AQ925" s="65" t="n"/>
      <c r="AR925" s="65" t="n"/>
      <c r="AS925" s="65" t="n"/>
      <c r="AT925" s="65" t="n"/>
      <c r="AU925" s="65" t="n"/>
      <c r="AV925" s="65" t="n"/>
      <c r="AW925" s="65" t="n"/>
      <c r="AX925" s="65" t="n"/>
      <c r="AY925" s="65" t="n"/>
      <c r="AZ925" s="65" t="n"/>
      <c r="BA925" s="65" t="n"/>
      <c r="BB925" s="65" t="n"/>
      <c r="BC925" s="65" t="n"/>
      <c r="BD925" s="65" t="n"/>
      <c r="BE925" s="65" t="n"/>
      <c r="BF925" s="65" t="n"/>
      <c r="BG925" s="65" t="n"/>
    </row>
    <row r="926">
      <c r="F926" s="68" t="n"/>
      <c r="G926" s="68">
        <f>IF(B926="","",F926-I926 )</f>
        <v/>
      </c>
      <c r="H926" s="5">
        <f>IF(G926="","",G926/F926)</f>
        <v/>
      </c>
      <c r="I926" s="62">
        <f>SUM(テーブル9[[#This Row],[五大]:[工場材]])</f>
        <v/>
      </c>
      <c r="J926" s="65" t="n"/>
      <c r="K926" s="65" t="n"/>
      <c r="L926" s="65" t="n"/>
      <c r="M926" s="65" t="n"/>
      <c r="N926" s="65" t="n"/>
      <c r="O926" s="65" t="n"/>
      <c r="P926" s="65" t="n"/>
      <c r="Q926" s="65" t="n"/>
      <c r="R926" s="65" t="n"/>
      <c r="S926" s="65" t="n"/>
      <c r="T926" s="65" t="n"/>
      <c r="U926" s="65" t="n"/>
      <c r="V926" s="65" t="n"/>
      <c r="W926" s="65" t="n"/>
      <c r="X926" s="66" t="n"/>
      <c r="Y926" s="65" t="n"/>
      <c r="Z926" s="65" t="n"/>
      <c r="AA926" s="65" t="n"/>
      <c r="AB926" s="65" t="n"/>
      <c r="AC926" s="65" t="n"/>
      <c r="AD926" s="65" t="n"/>
      <c r="AE926" s="65" t="n"/>
      <c r="AF926" s="65" t="n"/>
      <c r="AG926" s="65" t="n"/>
      <c r="AH926" s="65" t="n"/>
      <c r="AI926" s="65" t="n"/>
      <c r="AJ926" s="65" t="n"/>
      <c r="AK926" s="65" t="n"/>
      <c r="AL926" s="65" t="n"/>
      <c r="AM926" s="65" t="n"/>
      <c r="AN926" s="65" t="n"/>
      <c r="AO926" s="65" t="n"/>
      <c r="AP926" s="65" t="n"/>
      <c r="AQ926" s="65" t="n"/>
      <c r="AR926" s="65" t="n"/>
      <c r="AS926" s="65" t="n"/>
      <c r="AT926" s="65" t="n"/>
      <c r="AU926" s="65" t="n"/>
      <c r="AV926" s="65" t="n"/>
      <c r="AW926" s="65" t="n"/>
      <c r="AX926" s="65" t="n"/>
      <c r="AY926" s="65" t="n"/>
      <c r="AZ926" s="65" t="n"/>
      <c r="BA926" s="65" t="n"/>
      <c r="BB926" s="65" t="n"/>
      <c r="BC926" s="65" t="n"/>
      <c r="BD926" s="65" t="n"/>
      <c r="BE926" s="65" t="n"/>
      <c r="BF926" s="65" t="n"/>
      <c r="BG926" s="65" t="n"/>
    </row>
    <row r="927">
      <c r="F927" s="68" t="n"/>
      <c r="G927" s="68">
        <f>IF(B927="","",F927-I927 )</f>
        <v/>
      </c>
      <c r="H927" s="5">
        <f>IF(G927="","",G927/F927)</f>
        <v/>
      </c>
      <c r="I927" s="62">
        <f>SUM(テーブル9[[#This Row],[五大]:[工場材]])</f>
        <v/>
      </c>
      <c r="J927" s="65" t="n"/>
      <c r="K927" s="65" t="n"/>
      <c r="L927" s="65" t="n"/>
      <c r="M927" s="65" t="n"/>
      <c r="N927" s="65" t="n"/>
      <c r="O927" s="65" t="n"/>
      <c r="P927" s="65" t="n"/>
      <c r="Q927" s="65" t="n"/>
      <c r="R927" s="65" t="n"/>
      <c r="S927" s="65" t="n"/>
      <c r="T927" s="65" t="n"/>
      <c r="U927" s="65" t="n"/>
      <c r="V927" s="65" t="n"/>
      <c r="W927" s="65" t="n"/>
      <c r="X927" s="66" t="n"/>
      <c r="Y927" s="65" t="n"/>
      <c r="Z927" s="65" t="n"/>
      <c r="AA927" s="65" t="n"/>
      <c r="AB927" s="65" t="n"/>
      <c r="AC927" s="65" t="n"/>
      <c r="AD927" s="65" t="n"/>
      <c r="AE927" s="65" t="n"/>
      <c r="AF927" s="65" t="n"/>
      <c r="AG927" s="65" t="n"/>
      <c r="AH927" s="65" t="n"/>
      <c r="AI927" s="65" t="n"/>
      <c r="AJ927" s="65" t="n"/>
      <c r="AK927" s="65" t="n"/>
      <c r="AL927" s="65" t="n"/>
      <c r="AM927" s="65" t="n"/>
      <c r="AN927" s="65" t="n"/>
      <c r="AO927" s="65" t="n"/>
      <c r="AP927" s="65" t="n"/>
      <c r="AQ927" s="65" t="n"/>
      <c r="AR927" s="65" t="n"/>
      <c r="AS927" s="65" t="n"/>
      <c r="AT927" s="65" t="n"/>
      <c r="AU927" s="65" t="n"/>
      <c r="AV927" s="65" t="n"/>
      <c r="AW927" s="65" t="n"/>
      <c r="AX927" s="65" t="n"/>
      <c r="AY927" s="65" t="n"/>
      <c r="AZ927" s="65" t="n"/>
      <c r="BA927" s="65" t="n"/>
      <c r="BB927" s="65" t="n"/>
      <c r="BC927" s="65" t="n"/>
      <c r="BD927" s="65" t="n"/>
      <c r="BE927" s="65" t="n"/>
      <c r="BF927" s="65" t="n"/>
      <c r="BG927" s="65" t="n"/>
    </row>
    <row r="928">
      <c r="F928" s="68" t="n"/>
      <c r="G928" s="68">
        <f>IF(B928="","",F928-I928 )</f>
        <v/>
      </c>
      <c r="H928" s="5">
        <f>IF(G928="","",G928/F928)</f>
        <v/>
      </c>
      <c r="I928" s="62">
        <f>SUM(テーブル9[[#This Row],[五大]:[工場材]])</f>
        <v/>
      </c>
      <c r="J928" s="65" t="n"/>
      <c r="K928" s="65" t="n"/>
      <c r="L928" s="65" t="n"/>
      <c r="M928" s="65" t="n"/>
      <c r="N928" s="65" t="n"/>
      <c r="O928" s="65" t="n"/>
      <c r="P928" s="65" t="n"/>
      <c r="Q928" s="65" t="n"/>
      <c r="R928" s="65" t="n"/>
      <c r="S928" s="65" t="n"/>
      <c r="T928" s="65" t="n"/>
      <c r="U928" s="65" t="n"/>
      <c r="V928" s="65" t="n"/>
      <c r="W928" s="65" t="n"/>
      <c r="X928" s="66" t="n"/>
      <c r="Y928" s="65" t="n"/>
      <c r="Z928" s="65" t="n"/>
      <c r="AA928" s="65" t="n"/>
      <c r="AB928" s="65" t="n"/>
      <c r="AC928" s="65" t="n"/>
      <c r="AD928" s="65" t="n"/>
      <c r="AE928" s="65" t="n"/>
      <c r="AF928" s="65" t="n"/>
      <c r="AG928" s="65" t="n"/>
      <c r="AH928" s="65" t="n"/>
      <c r="AI928" s="65" t="n"/>
      <c r="AJ928" s="65" t="n"/>
      <c r="AK928" s="65" t="n"/>
      <c r="AL928" s="65" t="n"/>
      <c r="AM928" s="65" t="n"/>
      <c r="AN928" s="65" t="n"/>
      <c r="AO928" s="65" t="n"/>
      <c r="AP928" s="65" t="n"/>
      <c r="AQ928" s="65" t="n"/>
      <c r="AR928" s="65" t="n"/>
      <c r="AS928" s="65" t="n"/>
      <c r="AT928" s="65" t="n"/>
      <c r="AU928" s="65" t="n"/>
      <c r="AV928" s="65" t="n"/>
      <c r="AW928" s="65" t="n"/>
      <c r="AX928" s="65" t="n"/>
      <c r="AY928" s="65" t="n"/>
      <c r="AZ928" s="65" t="n"/>
      <c r="BA928" s="65" t="n"/>
      <c r="BB928" s="65" t="n"/>
      <c r="BC928" s="65" t="n"/>
      <c r="BD928" s="65" t="n"/>
      <c r="BE928" s="65" t="n"/>
      <c r="BF928" s="65" t="n"/>
      <c r="BG928" s="65" t="n"/>
    </row>
    <row r="929">
      <c r="F929" s="68" t="n"/>
      <c r="G929" s="68">
        <f>IF(B929="","",F929-I929 )</f>
        <v/>
      </c>
      <c r="H929" s="5">
        <f>IF(G929="","",G929/F929)</f>
        <v/>
      </c>
      <c r="I929" s="62">
        <f>SUM(テーブル9[[#This Row],[五大]:[工場材]])</f>
        <v/>
      </c>
      <c r="J929" s="65" t="n"/>
      <c r="K929" s="65" t="n"/>
      <c r="L929" s="65" t="n"/>
      <c r="M929" s="65" t="n"/>
      <c r="N929" s="65" t="n"/>
      <c r="O929" s="65" t="n"/>
      <c r="P929" s="65" t="n"/>
      <c r="Q929" s="65" t="n"/>
      <c r="R929" s="65" t="n"/>
      <c r="S929" s="65" t="n"/>
      <c r="T929" s="65" t="n"/>
      <c r="U929" s="65" t="n"/>
      <c r="V929" s="65" t="n"/>
      <c r="W929" s="65" t="n"/>
      <c r="X929" s="66" t="n"/>
      <c r="Y929" s="65" t="n"/>
      <c r="Z929" s="65" t="n"/>
      <c r="AA929" s="65" t="n"/>
      <c r="AB929" s="65" t="n"/>
      <c r="AC929" s="65" t="n"/>
      <c r="AD929" s="65" t="n"/>
      <c r="AE929" s="65" t="n"/>
      <c r="AF929" s="65" t="n"/>
      <c r="AG929" s="65" t="n"/>
      <c r="AH929" s="65" t="n"/>
      <c r="AI929" s="65" t="n"/>
      <c r="AJ929" s="65" t="n"/>
      <c r="AK929" s="65" t="n"/>
      <c r="AL929" s="65" t="n"/>
      <c r="AM929" s="65" t="n"/>
      <c r="AN929" s="65" t="n"/>
      <c r="AO929" s="65" t="n"/>
      <c r="AP929" s="65" t="n"/>
      <c r="AQ929" s="65" t="n"/>
      <c r="AR929" s="65" t="n"/>
      <c r="AS929" s="65" t="n"/>
      <c r="AT929" s="65" t="n"/>
      <c r="AU929" s="65" t="n"/>
      <c r="AV929" s="65" t="n"/>
      <c r="AW929" s="65" t="n"/>
      <c r="AX929" s="65" t="n"/>
      <c r="AY929" s="65" t="n"/>
      <c r="AZ929" s="65" t="n"/>
      <c r="BA929" s="65" t="n"/>
      <c r="BB929" s="65" t="n"/>
      <c r="BC929" s="65" t="n"/>
      <c r="BD929" s="65" t="n"/>
      <c r="BE929" s="65" t="n"/>
      <c r="BF929" s="65" t="n"/>
      <c r="BG929" s="65" t="n"/>
    </row>
    <row r="930">
      <c r="F930" s="68" t="n"/>
      <c r="G930" s="68">
        <f>IF(B930="","",F930-I930 )</f>
        <v/>
      </c>
      <c r="H930" s="5">
        <f>IF(G930="","",G930/F930)</f>
        <v/>
      </c>
      <c r="I930" s="62">
        <f>SUM(テーブル9[[#This Row],[五大]:[工場材]])</f>
        <v/>
      </c>
      <c r="J930" s="65" t="n"/>
      <c r="K930" s="65" t="n"/>
      <c r="L930" s="65" t="n"/>
      <c r="M930" s="65" t="n"/>
      <c r="N930" s="65" t="n"/>
      <c r="O930" s="65" t="n"/>
      <c r="P930" s="65" t="n"/>
      <c r="Q930" s="65" t="n"/>
      <c r="R930" s="65" t="n"/>
      <c r="S930" s="65" t="n"/>
      <c r="T930" s="65" t="n"/>
      <c r="U930" s="65" t="n"/>
      <c r="V930" s="65" t="n"/>
      <c r="W930" s="65" t="n"/>
      <c r="X930" s="66" t="n"/>
      <c r="Y930" s="65" t="n"/>
      <c r="Z930" s="65" t="n"/>
      <c r="AA930" s="65" t="n"/>
      <c r="AB930" s="65" t="n"/>
      <c r="AC930" s="65" t="n"/>
      <c r="AD930" s="65" t="n"/>
      <c r="AE930" s="65" t="n"/>
      <c r="AF930" s="65" t="n"/>
      <c r="AG930" s="65" t="n"/>
      <c r="AH930" s="65" t="n"/>
      <c r="AI930" s="65" t="n"/>
      <c r="AJ930" s="65" t="n"/>
      <c r="AK930" s="65" t="n"/>
      <c r="AL930" s="65" t="n"/>
      <c r="AM930" s="65" t="n"/>
      <c r="AN930" s="65" t="n"/>
      <c r="AO930" s="65" t="n"/>
      <c r="AP930" s="65" t="n"/>
      <c r="AQ930" s="65" t="n"/>
      <c r="AR930" s="65" t="n"/>
      <c r="AS930" s="65" t="n"/>
      <c r="AT930" s="65" t="n"/>
      <c r="AU930" s="65" t="n"/>
      <c r="AV930" s="65" t="n"/>
      <c r="AW930" s="65" t="n"/>
      <c r="AX930" s="65" t="n"/>
      <c r="AY930" s="65" t="n"/>
      <c r="AZ930" s="65" t="n"/>
      <c r="BA930" s="65" t="n"/>
      <c r="BB930" s="65" t="n"/>
      <c r="BC930" s="65" t="n"/>
      <c r="BD930" s="65" t="n"/>
      <c r="BE930" s="65" t="n"/>
      <c r="BF930" s="65" t="n"/>
      <c r="BG930" s="65" t="n"/>
    </row>
    <row r="931">
      <c r="F931" s="68" t="n"/>
      <c r="G931" s="68">
        <f>IF(B931="","",F931-I931 )</f>
        <v/>
      </c>
      <c r="H931" s="5">
        <f>IF(G931="","",G931/F931)</f>
        <v/>
      </c>
      <c r="I931" s="62">
        <f>SUM(テーブル9[[#This Row],[五大]:[工場材]])</f>
        <v/>
      </c>
      <c r="J931" s="65" t="n"/>
      <c r="K931" s="65" t="n"/>
      <c r="L931" s="65" t="n"/>
      <c r="M931" s="65" t="n"/>
      <c r="N931" s="65" t="n"/>
      <c r="O931" s="65" t="n"/>
      <c r="P931" s="65" t="n"/>
      <c r="Q931" s="65" t="n"/>
      <c r="R931" s="65" t="n"/>
      <c r="S931" s="65" t="n"/>
      <c r="T931" s="65" t="n"/>
      <c r="U931" s="65" t="n"/>
      <c r="V931" s="65" t="n"/>
      <c r="W931" s="65" t="n"/>
      <c r="X931" s="66" t="n"/>
      <c r="Y931" s="65" t="n"/>
      <c r="Z931" s="65" t="n"/>
      <c r="AA931" s="65" t="n"/>
      <c r="AB931" s="65" t="n"/>
      <c r="AC931" s="65" t="n"/>
      <c r="AD931" s="65" t="n"/>
      <c r="AE931" s="65" t="n"/>
      <c r="AF931" s="65" t="n"/>
      <c r="AG931" s="65" t="n"/>
      <c r="AH931" s="65" t="n"/>
      <c r="AI931" s="65" t="n"/>
      <c r="AJ931" s="65" t="n"/>
      <c r="AK931" s="65" t="n"/>
      <c r="AL931" s="65" t="n"/>
      <c r="AM931" s="65" t="n"/>
      <c r="AN931" s="65" t="n"/>
      <c r="AO931" s="65" t="n"/>
      <c r="AP931" s="65" t="n"/>
      <c r="AQ931" s="65" t="n"/>
      <c r="AR931" s="65" t="n"/>
      <c r="AS931" s="65" t="n"/>
      <c r="AT931" s="65" t="n"/>
      <c r="AU931" s="65" t="n"/>
      <c r="AV931" s="65" t="n"/>
      <c r="AW931" s="65" t="n"/>
      <c r="AX931" s="65" t="n"/>
      <c r="AY931" s="65" t="n"/>
      <c r="AZ931" s="65" t="n"/>
      <c r="BA931" s="65" t="n"/>
      <c r="BB931" s="65" t="n"/>
      <c r="BC931" s="65" t="n"/>
      <c r="BD931" s="65" t="n"/>
      <c r="BE931" s="65" t="n"/>
      <c r="BF931" s="65" t="n"/>
      <c r="BG931" s="65" t="n"/>
    </row>
    <row r="932">
      <c r="F932" s="68" t="n"/>
      <c r="G932" s="68">
        <f>IF(B932="","",F932-I932 )</f>
        <v/>
      </c>
      <c r="H932" s="5">
        <f>IF(G932="","",G932/F932)</f>
        <v/>
      </c>
      <c r="I932" s="62">
        <f>SUM(テーブル9[[#This Row],[五大]:[工場材]])</f>
        <v/>
      </c>
      <c r="J932" s="65" t="n"/>
      <c r="K932" s="65" t="n"/>
      <c r="L932" s="65" t="n"/>
      <c r="M932" s="65" t="n"/>
      <c r="N932" s="65" t="n"/>
      <c r="O932" s="65" t="n"/>
      <c r="P932" s="65" t="n"/>
      <c r="Q932" s="65" t="n"/>
      <c r="R932" s="65" t="n"/>
      <c r="S932" s="65" t="n"/>
      <c r="T932" s="65" t="n"/>
      <c r="U932" s="65" t="n"/>
      <c r="V932" s="65" t="n"/>
      <c r="W932" s="65" t="n"/>
      <c r="X932" s="66" t="n"/>
      <c r="Y932" s="65" t="n"/>
      <c r="Z932" s="65" t="n"/>
      <c r="AA932" s="65" t="n"/>
      <c r="AB932" s="65" t="n"/>
      <c r="AC932" s="65" t="n"/>
      <c r="AD932" s="65" t="n"/>
      <c r="AE932" s="65" t="n"/>
      <c r="AF932" s="65" t="n"/>
      <c r="AG932" s="65" t="n"/>
      <c r="AH932" s="65" t="n"/>
      <c r="AI932" s="65" t="n"/>
      <c r="AJ932" s="65" t="n"/>
      <c r="AK932" s="65" t="n"/>
      <c r="AL932" s="65" t="n"/>
      <c r="AM932" s="65" t="n"/>
      <c r="AN932" s="65" t="n"/>
      <c r="AO932" s="65" t="n"/>
      <c r="AP932" s="65" t="n"/>
      <c r="AQ932" s="65" t="n"/>
      <c r="AR932" s="65" t="n"/>
      <c r="AS932" s="65" t="n"/>
      <c r="AT932" s="65" t="n"/>
      <c r="AU932" s="65" t="n"/>
      <c r="AV932" s="65" t="n"/>
      <c r="AW932" s="65" t="n"/>
      <c r="AX932" s="65" t="n"/>
      <c r="AY932" s="65" t="n"/>
      <c r="AZ932" s="65" t="n"/>
      <c r="BA932" s="65" t="n"/>
      <c r="BB932" s="65" t="n"/>
      <c r="BC932" s="65" t="n"/>
      <c r="BD932" s="65" t="n"/>
      <c r="BE932" s="65" t="n"/>
      <c r="BF932" s="65" t="n"/>
      <c r="BG932" s="65" t="n"/>
    </row>
    <row r="933">
      <c r="F933" s="68" t="n"/>
      <c r="G933" s="68">
        <f>IF(B933="","",F933-I933 )</f>
        <v/>
      </c>
      <c r="H933" s="5">
        <f>IF(G933="","",G933/F933)</f>
        <v/>
      </c>
      <c r="I933" s="62">
        <f>SUM(テーブル9[[#This Row],[五大]:[工場材]])</f>
        <v/>
      </c>
      <c r="J933" s="65" t="n"/>
      <c r="K933" s="65" t="n"/>
      <c r="L933" s="65" t="n"/>
      <c r="M933" s="65" t="n"/>
      <c r="N933" s="65" t="n"/>
      <c r="O933" s="65" t="n"/>
      <c r="P933" s="65" t="n"/>
      <c r="Q933" s="65" t="n"/>
      <c r="R933" s="65" t="n"/>
      <c r="S933" s="65" t="n"/>
      <c r="T933" s="65" t="n"/>
      <c r="U933" s="65" t="n"/>
      <c r="V933" s="65" t="n"/>
      <c r="W933" s="65" t="n"/>
      <c r="X933" s="66" t="n"/>
      <c r="Y933" s="65" t="n"/>
      <c r="Z933" s="65" t="n"/>
      <c r="AA933" s="65" t="n"/>
      <c r="AB933" s="65" t="n"/>
      <c r="AC933" s="65" t="n"/>
      <c r="AD933" s="65" t="n"/>
      <c r="AE933" s="65" t="n"/>
      <c r="AF933" s="65" t="n"/>
      <c r="AG933" s="65" t="n"/>
      <c r="AH933" s="65" t="n"/>
      <c r="AI933" s="65" t="n"/>
      <c r="AJ933" s="65" t="n"/>
      <c r="AK933" s="65" t="n"/>
      <c r="AL933" s="65" t="n"/>
      <c r="AM933" s="65" t="n"/>
      <c r="AN933" s="65" t="n"/>
      <c r="AO933" s="65" t="n"/>
      <c r="AP933" s="65" t="n"/>
      <c r="AQ933" s="65" t="n"/>
      <c r="AR933" s="65" t="n"/>
      <c r="AS933" s="65" t="n"/>
      <c r="AT933" s="65" t="n"/>
      <c r="AU933" s="65" t="n"/>
      <c r="AV933" s="65" t="n"/>
      <c r="AW933" s="65" t="n"/>
      <c r="AX933" s="65" t="n"/>
      <c r="AY933" s="65" t="n"/>
      <c r="AZ933" s="65" t="n"/>
      <c r="BA933" s="65" t="n"/>
      <c r="BB933" s="65" t="n"/>
      <c r="BC933" s="65" t="n"/>
      <c r="BD933" s="65" t="n"/>
      <c r="BE933" s="65" t="n"/>
      <c r="BF933" s="65" t="n"/>
      <c r="BG933" s="65" t="n"/>
    </row>
    <row r="934">
      <c r="F934" s="68" t="n"/>
      <c r="G934" s="68">
        <f>IF(B934="","",F934-I934 )</f>
        <v/>
      </c>
      <c r="H934" s="5">
        <f>IF(G934="","",G934/F934)</f>
        <v/>
      </c>
      <c r="I934" s="62">
        <f>SUM(テーブル9[[#This Row],[五大]:[工場材]])</f>
        <v/>
      </c>
      <c r="J934" s="65" t="n"/>
      <c r="K934" s="65" t="n"/>
      <c r="L934" s="65" t="n"/>
      <c r="M934" s="65" t="n"/>
      <c r="N934" s="65" t="n"/>
      <c r="O934" s="65" t="n"/>
      <c r="P934" s="65" t="n"/>
      <c r="Q934" s="65" t="n"/>
      <c r="R934" s="65" t="n"/>
      <c r="S934" s="65" t="n"/>
      <c r="T934" s="65" t="n"/>
      <c r="U934" s="65" t="n"/>
      <c r="V934" s="65" t="n"/>
      <c r="W934" s="65" t="n"/>
      <c r="X934" s="66" t="n"/>
      <c r="Y934" s="65" t="n"/>
      <c r="Z934" s="65" t="n"/>
      <c r="AA934" s="65" t="n"/>
      <c r="AB934" s="65" t="n"/>
      <c r="AC934" s="65" t="n"/>
      <c r="AD934" s="65" t="n"/>
      <c r="AE934" s="65" t="n"/>
      <c r="AF934" s="65" t="n"/>
      <c r="AG934" s="65" t="n"/>
      <c r="AH934" s="65" t="n"/>
      <c r="AI934" s="65" t="n"/>
      <c r="AJ934" s="65" t="n"/>
      <c r="AK934" s="65" t="n"/>
      <c r="AL934" s="65" t="n"/>
      <c r="AM934" s="65" t="n"/>
      <c r="AN934" s="65" t="n"/>
      <c r="AO934" s="65" t="n"/>
      <c r="AP934" s="65" t="n"/>
      <c r="AQ934" s="65" t="n"/>
      <c r="AR934" s="65" t="n"/>
      <c r="AS934" s="65" t="n"/>
      <c r="AT934" s="65" t="n"/>
      <c r="AU934" s="65" t="n"/>
      <c r="AV934" s="65" t="n"/>
      <c r="AW934" s="65" t="n"/>
      <c r="AX934" s="65" t="n"/>
      <c r="AY934" s="65" t="n"/>
      <c r="AZ934" s="65" t="n"/>
      <c r="BA934" s="65" t="n"/>
      <c r="BB934" s="65" t="n"/>
      <c r="BC934" s="65" t="n"/>
      <c r="BD934" s="65" t="n"/>
      <c r="BE934" s="65" t="n"/>
      <c r="BF934" s="65" t="n"/>
      <c r="BG934" s="65" t="n"/>
    </row>
    <row r="935">
      <c r="F935" s="68" t="n"/>
      <c r="G935" s="68">
        <f>IF(B935="","",F935-I935 )</f>
        <v/>
      </c>
      <c r="H935" s="5">
        <f>IF(G935="","",G935/F935)</f>
        <v/>
      </c>
      <c r="I935" s="62">
        <f>SUM(テーブル9[[#This Row],[五大]:[工場材]])</f>
        <v/>
      </c>
      <c r="J935" s="65" t="n"/>
      <c r="K935" s="65" t="n"/>
      <c r="L935" s="65" t="n"/>
      <c r="M935" s="65" t="n"/>
      <c r="N935" s="65" t="n"/>
      <c r="O935" s="65" t="n"/>
      <c r="P935" s="65" t="n"/>
      <c r="Q935" s="65" t="n"/>
      <c r="R935" s="65" t="n"/>
      <c r="S935" s="65" t="n"/>
      <c r="T935" s="65" t="n"/>
      <c r="U935" s="65" t="n"/>
      <c r="V935" s="65" t="n"/>
      <c r="W935" s="65" t="n"/>
      <c r="X935" s="66" t="n"/>
      <c r="Y935" s="65" t="n"/>
      <c r="Z935" s="65" t="n"/>
      <c r="AA935" s="65" t="n"/>
      <c r="AB935" s="65" t="n"/>
      <c r="AC935" s="65" t="n"/>
      <c r="AD935" s="65" t="n"/>
      <c r="AE935" s="65" t="n"/>
      <c r="AF935" s="65" t="n"/>
      <c r="AG935" s="65" t="n"/>
      <c r="AH935" s="65" t="n"/>
      <c r="AI935" s="65" t="n"/>
      <c r="AJ935" s="65" t="n"/>
      <c r="AK935" s="65" t="n"/>
      <c r="AL935" s="65" t="n"/>
      <c r="AM935" s="65" t="n"/>
      <c r="AN935" s="65" t="n"/>
      <c r="AO935" s="65" t="n"/>
      <c r="AP935" s="65" t="n"/>
      <c r="AQ935" s="65" t="n"/>
      <c r="AR935" s="65" t="n"/>
      <c r="AS935" s="65" t="n"/>
      <c r="AT935" s="65" t="n"/>
      <c r="AU935" s="65" t="n"/>
      <c r="AV935" s="65" t="n"/>
      <c r="AW935" s="65" t="n"/>
      <c r="AX935" s="65" t="n"/>
      <c r="AY935" s="65" t="n"/>
      <c r="AZ935" s="65" t="n"/>
      <c r="BA935" s="65" t="n"/>
      <c r="BB935" s="65" t="n"/>
      <c r="BC935" s="65" t="n"/>
      <c r="BD935" s="65" t="n"/>
      <c r="BE935" s="65" t="n"/>
      <c r="BF935" s="65" t="n"/>
      <c r="BG935" s="65" t="n"/>
    </row>
    <row r="936">
      <c r="F936" s="68" t="n"/>
      <c r="G936" s="68">
        <f>IF(B936="","",F936-I936 )</f>
        <v/>
      </c>
      <c r="H936" s="5">
        <f>IF(G936="","",G936/F936)</f>
        <v/>
      </c>
      <c r="I936" s="62">
        <f>SUM(テーブル9[[#This Row],[五大]:[工場材]])</f>
        <v/>
      </c>
      <c r="J936" s="65" t="n"/>
      <c r="K936" s="65" t="n"/>
      <c r="L936" s="65" t="n"/>
      <c r="M936" s="65" t="n"/>
      <c r="N936" s="65" t="n"/>
      <c r="O936" s="65" t="n"/>
      <c r="P936" s="65" t="n"/>
      <c r="Q936" s="65" t="n"/>
      <c r="R936" s="65" t="n"/>
      <c r="S936" s="65" t="n"/>
      <c r="T936" s="65" t="n"/>
      <c r="U936" s="65" t="n"/>
      <c r="V936" s="65" t="n"/>
      <c r="W936" s="65" t="n"/>
      <c r="X936" s="66" t="n"/>
      <c r="Y936" s="65" t="n"/>
      <c r="Z936" s="65" t="n"/>
      <c r="AA936" s="65" t="n"/>
      <c r="AB936" s="65" t="n"/>
      <c r="AC936" s="65" t="n"/>
      <c r="AD936" s="65" t="n"/>
      <c r="AE936" s="65" t="n"/>
      <c r="AF936" s="65" t="n"/>
      <c r="AG936" s="65" t="n"/>
      <c r="AH936" s="65" t="n"/>
      <c r="AI936" s="65" t="n"/>
      <c r="AJ936" s="65" t="n"/>
      <c r="AK936" s="65" t="n"/>
      <c r="AL936" s="65" t="n"/>
      <c r="AM936" s="65" t="n"/>
      <c r="AN936" s="65" t="n"/>
      <c r="AO936" s="65" t="n"/>
      <c r="AP936" s="65" t="n"/>
      <c r="AQ936" s="65" t="n"/>
      <c r="AR936" s="65" t="n"/>
      <c r="AS936" s="65" t="n"/>
      <c r="AT936" s="65" t="n"/>
      <c r="AU936" s="65" t="n"/>
      <c r="AV936" s="65" t="n"/>
      <c r="AW936" s="65" t="n"/>
      <c r="AX936" s="65" t="n"/>
      <c r="AY936" s="65" t="n"/>
      <c r="AZ936" s="65" t="n"/>
      <c r="BA936" s="65" t="n"/>
      <c r="BB936" s="65" t="n"/>
      <c r="BC936" s="65" t="n"/>
      <c r="BD936" s="65" t="n"/>
      <c r="BE936" s="65" t="n"/>
      <c r="BF936" s="65" t="n"/>
      <c r="BG936" s="65" t="n"/>
    </row>
    <row r="937">
      <c r="F937" s="68" t="n"/>
      <c r="G937" s="68">
        <f>IF(B937="","",F937-I937 )</f>
        <v/>
      </c>
      <c r="H937" s="5">
        <f>IF(G937="","",G937/F937)</f>
        <v/>
      </c>
      <c r="I937" s="62">
        <f>SUM(テーブル9[[#This Row],[五大]:[工場材]])</f>
        <v/>
      </c>
      <c r="J937" s="65" t="n"/>
      <c r="K937" s="65" t="n"/>
      <c r="L937" s="65" t="n"/>
      <c r="M937" s="65" t="n"/>
      <c r="N937" s="65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6" t="n"/>
      <c r="Y937" s="65" t="n"/>
      <c r="Z937" s="65" t="n"/>
      <c r="AA937" s="65" t="n"/>
      <c r="AB937" s="65" t="n"/>
      <c r="AC937" s="65" t="n"/>
      <c r="AD937" s="65" t="n"/>
      <c r="AE937" s="65" t="n"/>
      <c r="AF937" s="65" t="n"/>
      <c r="AG937" s="65" t="n"/>
      <c r="AH937" s="65" t="n"/>
      <c r="AI937" s="65" t="n"/>
      <c r="AJ937" s="65" t="n"/>
      <c r="AK937" s="65" t="n"/>
      <c r="AL937" s="65" t="n"/>
      <c r="AM937" s="65" t="n"/>
      <c r="AN937" s="65" t="n"/>
      <c r="AO937" s="65" t="n"/>
      <c r="AP937" s="65" t="n"/>
      <c r="AQ937" s="65" t="n"/>
      <c r="AR937" s="65" t="n"/>
      <c r="AS937" s="65" t="n"/>
      <c r="AT937" s="65" t="n"/>
      <c r="AU937" s="65" t="n"/>
      <c r="AV937" s="65" t="n"/>
      <c r="AW937" s="65" t="n"/>
      <c r="AX937" s="65" t="n"/>
      <c r="AY937" s="65" t="n"/>
      <c r="AZ937" s="65" t="n"/>
      <c r="BA937" s="65" t="n"/>
      <c r="BB937" s="65" t="n"/>
      <c r="BC937" s="65" t="n"/>
      <c r="BD937" s="65" t="n"/>
      <c r="BE937" s="65" t="n"/>
      <c r="BF937" s="65" t="n"/>
      <c r="BG937" s="65" t="n"/>
    </row>
    <row r="938">
      <c r="F938" s="68" t="n"/>
      <c r="G938" s="68">
        <f>IF(B938="","",F938-I938 )</f>
        <v/>
      </c>
      <c r="H938" s="5">
        <f>IF(G938="","",G938/F938)</f>
        <v/>
      </c>
      <c r="I938" s="62">
        <f>SUM(テーブル9[[#This Row],[五大]:[工場材]])</f>
        <v/>
      </c>
      <c r="J938" s="65" t="n"/>
      <c r="K938" s="65" t="n"/>
      <c r="L938" s="65" t="n"/>
      <c r="M938" s="65" t="n"/>
      <c r="N938" s="65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6" t="n"/>
      <c r="Y938" s="65" t="n"/>
      <c r="Z938" s="65" t="n"/>
      <c r="AA938" s="65" t="n"/>
      <c r="AB938" s="65" t="n"/>
      <c r="AC938" s="65" t="n"/>
      <c r="AD938" s="65" t="n"/>
      <c r="AE938" s="65" t="n"/>
      <c r="AF938" s="65" t="n"/>
      <c r="AG938" s="65" t="n"/>
      <c r="AH938" s="65" t="n"/>
      <c r="AI938" s="65" t="n"/>
      <c r="AJ938" s="65" t="n"/>
      <c r="AK938" s="65" t="n"/>
      <c r="AL938" s="65" t="n"/>
      <c r="AM938" s="65" t="n"/>
      <c r="AN938" s="65" t="n"/>
      <c r="AO938" s="65" t="n"/>
      <c r="AP938" s="65" t="n"/>
      <c r="AQ938" s="65" t="n"/>
      <c r="AR938" s="65" t="n"/>
      <c r="AS938" s="65" t="n"/>
      <c r="AT938" s="65" t="n"/>
      <c r="AU938" s="65" t="n"/>
      <c r="AV938" s="65" t="n"/>
      <c r="AW938" s="65" t="n"/>
      <c r="AX938" s="65" t="n"/>
      <c r="AY938" s="65" t="n"/>
      <c r="AZ938" s="65" t="n"/>
      <c r="BA938" s="65" t="n"/>
      <c r="BB938" s="65" t="n"/>
      <c r="BC938" s="65" t="n"/>
      <c r="BD938" s="65" t="n"/>
      <c r="BE938" s="65" t="n"/>
      <c r="BF938" s="65" t="n"/>
      <c r="BG938" s="65" t="n"/>
    </row>
    <row r="939">
      <c r="F939" s="68" t="n"/>
      <c r="G939" s="68">
        <f>IF(B939="","",F939-I939 )</f>
        <v/>
      </c>
      <c r="H939" s="5">
        <f>IF(G939="","",G939/F939)</f>
        <v/>
      </c>
      <c r="I939" s="62">
        <f>SUM(テーブル9[[#This Row],[五大]:[工場材]])</f>
        <v/>
      </c>
      <c r="J939" s="65" t="n"/>
      <c r="K939" s="65" t="n"/>
      <c r="L939" s="65" t="n"/>
      <c r="M939" s="65" t="n"/>
      <c r="N939" s="65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6" t="n"/>
      <c r="Y939" s="65" t="n"/>
      <c r="Z939" s="65" t="n"/>
      <c r="AA939" s="65" t="n"/>
      <c r="AB939" s="65" t="n"/>
      <c r="AC939" s="65" t="n"/>
      <c r="AD939" s="65" t="n"/>
      <c r="AE939" s="65" t="n"/>
      <c r="AF939" s="65" t="n"/>
      <c r="AG939" s="65" t="n"/>
      <c r="AH939" s="65" t="n"/>
      <c r="AI939" s="65" t="n"/>
      <c r="AJ939" s="65" t="n"/>
      <c r="AK939" s="65" t="n"/>
      <c r="AL939" s="65" t="n"/>
      <c r="AM939" s="65" t="n"/>
      <c r="AN939" s="65" t="n"/>
      <c r="AO939" s="65" t="n"/>
      <c r="AP939" s="65" t="n"/>
      <c r="AQ939" s="65" t="n"/>
      <c r="AR939" s="65" t="n"/>
      <c r="AS939" s="65" t="n"/>
      <c r="AT939" s="65" t="n"/>
      <c r="AU939" s="65" t="n"/>
      <c r="AV939" s="65" t="n"/>
      <c r="AW939" s="65" t="n"/>
      <c r="AX939" s="65" t="n"/>
      <c r="AY939" s="65" t="n"/>
      <c r="AZ939" s="65" t="n"/>
      <c r="BA939" s="65" t="n"/>
      <c r="BB939" s="65" t="n"/>
      <c r="BC939" s="65" t="n"/>
      <c r="BD939" s="65" t="n"/>
      <c r="BE939" s="65" t="n"/>
      <c r="BF939" s="65" t="n"/>
      <c r="BG939" s="65" t="n"/>
    </row>
    <row r="940">
      <c r="F940" s="68" t="n"/>
      <c r="G940" s="68">
        <f>IF(B940="","",F940-I940 )</f>
        <v/>
      </c>
      <c r="H940" s="5">
        <f>IF(G940="","",G940/F940)</f>
        <v/>
      </c>
      <c r="I940" s="62">
        <f>SUM(テーブル9[[#This Row],[五大]:[工場材]])</f>
        <v/>
      </c>
      <c r="J940" s="65" t="n"/>
      <c r="K940" s="65" t="n"/>
      <c r="L940" s="65" t="n"/>
      <c r="M940" s="65" t="n"/>
      <c r="N940" s="65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6" t="n"/>
      <c r="Y940" s="65" t="n"/>
      <c r="Z940" s="65" t="n"/>
      <c r="AA940" s="65" t="n"/>
      <c r="AB940" s="65" t="n"/>
      <c r="AC940" s="65" t="n"/>
      <c r="AD940" s="65" t="n"/>
      <c r="AE940" s="65" t="n"/>
      <c r="AF940" s="65" t="n"/>
      <c r="AG940" s="65" t="n"/>
      <c r="AH940" s="65" t="n"/>
      <c r="AI940" s="65" t="n"/>
      <c r="AJ940" s="65" t="n"/>
      <c r="AK940" s="65" t="n"/>
      <c r="AL940" s="65" t="n"/>
      <c r="AM940" s="65" t="n"/>
      <c r="AN940" s="65" t="n"/>
      <c r="AO940" s="65" t="n"/>
      <c r="AP940" s="65" t="n"/>
      <c r="AQ940" s="65" t="n"/>
      <c r="AR940" s="65" t="n"/>
      <c r="AS940" s="65" t="n"/>
      <c r="AT940" s="65" t="n"/>
      <c r="AU940" s="65" t="n"/>
      <c r="AV940" s="65" t="n"/>
      <c r="AW940" s="65" t="n"/>
      <c r="AX940" s="65" t="n"/>
      <c r="AY940" s="65" t="n"/>
      <c r="AZ940" s="65" t="n"/>
      <c r="BA940" s="65" t="n"/>
      <c r="BB940" s="65" t="n"/>
      <c r="BC940" s="65" t="n"/>
      <c r="BD940" s="65" t="n"/>
      <c r="BE940" s="65" t="n"/>
      <c r="BF940" s="65" t="n"/>
      <c r="BG940" s="65" t="n"/>
    </row>
    <row r="941">
      <c r="F941" s="68" t="n"/>
      <c r="G941" s="68">
        <f>IF(B941="","",F941-I941 )</f>
        <v/>
      </c>
      <c r="H941" s="5">
        <f>IF(G941="","",G941/F941)</f>
        <v/>
      </c>
      <c r="I941" s="62">
        <f>SUM(テーブル9[[#This Row],[五大]:[工場材]])</f>
        <v/>
      </c>
      <c r="J941" s="65" t="n"/>
      <c r="K941" s="65" t="n"/>
      <c r="L941" s="65" t="n"/>
      <c r="M941" s="65" t="n"/>
      <c r="N941" s="65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6" t="n"/>
      <c r="Y941" s="65" t="n"/>
      <c r="Z941" s="65" t="n"/>
      <c r="AA941" s="65" t="n"/>
      <c r="AB941" s="65" t="n"/>
      <c r="AC941" s="65" t="n"/>
      <c r="AD941" s="65" t="n"/>
      <c r="AE941" s="65" t="n"/>
      <c r="AF941" s="65" t="n"/>
      <c r="AG941" s="65" t="n"/>
      <c r="AH941" s="65" t="n"/>
      <c r="AI941" s="65" t="n"/>
      <c r="AJ941" s="65" t="n"/>
      <c r="AK941" s="65" t="n"/>
      <c r="AL941" s="65" t="n"/>
      <c r="AM941" s="65" t="n"/>
      <c r="AN941" s="65" t="n"/>
      <c r="AO941" s="65" t="n"/>
      <c r="AP941" s="65" t="n"/>
      <c r="AQ941" s="65" t="n"/>
      <c r="AR941" s="65" t="n"/>
      <c r="AS941" s="65" t="n"/>
      <c r="AT941" s="65" t="n"/>
      <c r="AU941" s="65" t="n"/>
      <c r="AV941" s="65" t="n"/>
      <c r="AW941" s="65" t="n"/>
      <c r="AX941" s="65" t="n"/>
      <c r="AY941" s="65" t="n"/>
      <c r="AZ941" s="65" t="n"/>
      <c r="BA941" s="65" t="n"/>
      <c r="BB941" s="65" t="n"/>
      <c r="BC941" s="65" t="n"/>
      <c r="BD941" s="65" t="n"/>
      <c r="BE941" s="65" t="n"/>
      <c r="BF941" s="65" t="n"/>
      <c r="BG941" s="65" t="n"/>
    </row>
    <row r="942">
      <c r="F942" s="68" t="n"/>
      <c r="G942" s="68">
        <f>IF(B942="","",F942-I942 )</f>
        <v/>
      </c>
      <c r="H942" s="5">
        <f>IF(G942="","",G942/F942)</f>
        <v/>
      </c>
      <c r="I942" s="62">
        <f>SUM(テーブル9[[#This Row],[五大]:[工場材]])</f>
        <v/>
      </c>
      <c r="J942" s="65" t="n"/>
      <c r="K942" s="65" t="n"/>
      <c r="L942" s="65" t="n"/>
      <c r="M942" s="65" t="n"/>
      <c r="N942" s="65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6" t="n"/>
      <c r="Y942" s="65" t="n"/>
      <c r="Z942" s="65" t="n"/>
      <c r="AA942" s="65" t="n"/>
      <c r="AB942" s="65" t="n"/>
      <c r="AC942" s="65" t="n"/>
      <c r="AD942" s="65" t="n"/>
      <c r="AE942" s="65" t="n"/>
      <c r="AF942" s="65" t="n"/>
      <c r="AG942" s="65" t="n"/>
      <c r="AH942" s="65" t="n"/>
      <c r="AI942" s="65" t="n"/>
      <c r="AJ942" s="65" t="n"/>
      <c r="AK942" s="65" t="n"/>
      <c r="AL942" s="65" t="n"/>
      <c r="AM942" s="65" t="n"/>
      <c r="AN942" s="65" t="n"/>
      <c r="AO942" s="65" t="n"/>
      <c r="AP942" s="65" t="n"/>
      <c r="AQ942" s="65" t="n"/>
      <c r="AR942" s="65" t="n"/>
      <c r="AS942" s="65" t="n"/>
      <c r="AT942" s="65" t="n"/>
      <c r="AU942" s="65" t="n"/>
      <c r="AV942" s="65" t="n"/>
      <c r="AW942" s="65" t="n"/>
      <c r="AX942" s="65" t="n"/>
      <c r="AY942" s="65" t="n"/>
      <c r="AZ942" s="65" t="n"/>
      <c r="BA942" s="65" t="n"/>
      <c r="BB942" s="65" t="n"/>
      <c r="BC942" s="65" t="n"/>
      <c r="BD942" s="65" t="n"/>
      <c r="BE942" s="65" t="n"/>
      <c r="BF942" s="65" t="n"/>
      <c r="BG942" s="65" t="n"/>
    </row>
    <row r="943">
      <c r="F943" s="68" t="n"/>
      <c r="G943" s="68">
        <f>IF(B943="","",F943-I943 )</f>
        <v/>
      </c>
      <c r="H943" s="5">
        <f>IF(G943="","",G943/F943)</f>
        <v/>
      </c>
      <c r="I943" s="62">
        <f>SUM(テーブル9[[#This Row],[五大]:[工場材]])</f>
        <v/>
      </c>
      <c r="J943" s="65" t="n"/>
      <c r="K943" s="65" t="n"/>
      <c r="L943" s="65" t="n"/>
      <c r="M943" s="65" t="n"/>
      <c r="N943" s="65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6" t="n"/>
      <c r="Y943" s="65" t="n"/>
      <c r="Z943" s="65" t="n"/>
      <c r="AA943" s="65" t="n"/>
      <c r="AB943" s="65" t="n"/>
      <c r="AC943" s="65" t="n"/>
      <c r="AD943" s="65" t="n"/>
      <c r="AE943" s="65" t="n"/>
      <c r="AF943" s="65" t="n"/>
      <c r="AG943" s="65" t="n"/>
      <c r="AH943" s="65" t="n"/>
      <c r="AI943" s="65" t="n"/>
      <c r="AJ943" s="65" t="n"/>
      <c r="AK943" s="65" t="n"/>
      <c r="AL943" s="65" t="n"/>
      <c r="AM943" s="65" t="n"/>
      <c r="AN943" s="65" t="n"/>
      <c r="AO943" s="65" t="n"/>
      <c r="AP943" s="65" t="n"/>
      <c r="AQ943" s="65" t="n"/>
      <c r="AR943" s="65" t="n"/>
      <c r="AS943" s="65" t="n"/>
      <c r="AT943" s="65" t="n"/>
      <c r="AU943" s="65" t="n"/>
      <c r="AV943" s="65" t="n"/>
      <c r="AW943" s="65" t="n"/>
      <c r="AX943" s="65" t="n"/>
      <c r="AY943" s="65" t="n"/>
      <c r="AZ943" s="65" t="n"/>
      <c r="BA943" s="65" t="n"/>
      <c r="BB943" s="65" t="n"/>
      <c r="BC943" s="65" t="n"/>
      <c r="BD943" s="65" t="n"/>
      <c r="BE943" s="65" t="n"/>
      <c r="BF943" s="65" t="n"/>
      <c r="BG943" s="65" t="n"/>
    </row>
    <row r="944">
      <c r="F944" s="68" t="n"/>
      <c r="G944" s="68">
        <f>IF(B944="","",F944-I944 )</f>
        <v/>
      </c>
      <c r="H944" s="5">
        <f>IF(G944="","",G944/F944)</f>
        <v/>
      </c>
      <c r="I944" s="62">
        <f>SUM(テーブル9[[#This Row],[五大]:[工場材]])</f>
        <v/>
      </c>
      <c r="J944" s="65" t="n"/>
      <c r="K944" s="65" t="n"/>
      <c r="L944" s="65" t="n"/>
      <c r="M944" s="65" t="n"/>
      <c r="N944" s="65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6" t="n"/>
      <c r="Y944" s="65" t="n"/>
      <c r="Z944" s="65" t="n"/>
      <c r="AA944" s="65" t="n"/>
      <c r="AB944" s="65" t="n"/>
      <c r="AC944" s="65" t="n"/>
      <c r="AD944" s="65" t="n"/>
      <c r="AE944" s="65" t="n"/>
      <c r="AF944" s="65" t="n"/>
      <c r="AG944" s="65" t="n"/>
      <c r="AH944" s="65" t="n"/>
      <c r="AI944" s="65" t="n"/>
      <c r="AJ944" s="65" t="n"/>
      <c r="AK944" s="65" t="n"/>
      <c r="AL944" s="65" t="n"/>
      <c r="AM944" s="65" t="n"/>
      <c r="AN944" s="65" t="n"/>
      <c r="AO944" s="65" t="n"/>
      <c r="AP944" s="65" t="n"/>
      <c r="AQ944" s="65" t="n"/>
      <c r="AR944" s="65" t="n"/>
      <c r="AS944" s="65" t="n"/>
      <c r="AT944" s="65" t="n"/>
      <c r="AU944" s="65" t="n"/>
      <c r="AV944" s="65" t="n"/>
      <c r="AW944" s="65" t="n"/>
      <c r="AX944" s="65" t="n"/>
      <c r="AY944" s="65" t="n"/>
      <c r="AZ944" s="65" t="n"/>
      <c r="BA944" s="65" t="n"/>
      <c r="BB944" s="65" t="n"/>
      <c r="BC944" s="65" t="n"/>
      <c r="BD944" s="65" t="n"/>
      <c r="BE944" s="65" t="n"/>
      <c r="BF944" s="65" t="n"/>
      <c r="BG944" s="65" t="n"/>
    </row>
    <row r="945">
      <c r="F945" s="68" t="n"/>
      <c r="G945" s="68">
        <f>IF(B945="","",F945-I945 )</f>
        <v/>
      </c>
      <c r="H945" s="5">
        <f>IF(G945="","",G945/F945)</f>
        <v/>
      </c>
      <c r="I945" s="62">
        <f>SUM(テーブル9[[#This Row],[五大]:[工場材]])</f>
        <v/>
      </c>
      <c r="J945" s="65" t="n"/>
      <c r="K945" s="65" t="n"/>
      <c r="L945" s="65" t="n"/>
      <c r="M945" s="65" t="n"/>
      <c r="N945" s="65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6" t="n"/>
      <c r="Y945" s="65" t="n"/>
      <c r="Z945" s="65" t="n"/>
      <c r="AA945" s="65" t="n"/>
      <c r="AB945" s="65" t="n"/>
      <c r="AC945" s="65" t="n"/>
      <c r="AD945" s="65" t="n"/>
      <c r="AE945" s="65" t="n"/>
      <c r="AF945" s="65" t="n"/>
      <c r="AG945" s="65" t="n"/>
      <c r="AH945" s="65" t="n"/>
      <c r="AI945" s="65" t="n"/>
      <c r="AJ945" s="65" t="n"/>
      <c r="AK945" s="65" t="n"/>
      <c r="AL945" s="65" t="n"/>
      <c r="AM945" s="65" t="n"/>
      <c r="AN945" s="65" t="n"/>
      <c r="AO945" s="65" t="n"/>
      <c r="AP945" s="65" t="n"/>
      <c r="AQ945" s="65" t="n"/>
      <c r="AR945" s="65" t="n"/>
      <c r="AS945" s="65" t="n"/>
      <c r="AT945" s="65" t="n"/>
      <c r="AU945" s="65" t="n"/>
      <c r="AV945" s="65" t="n"/>
      <c r="AW945" s="65" t="n"/>
      <c r="AX945" s="65" t="n"/>
      <c r="AY945" s="65" t="n"/>
      <c r="AZ945" s="65" t="n"/>
      <c r="BA945" s="65" t="n"/>
      <c r="BB945" s="65" t="n"/>
      <c r="BC945" s="65" t="n"/>
      <c r="BD945" s="65" t="n"/>
      <c r="BE945" s="65" t="n"/>
      <c r="BF945" s="65" t="n"/>
      <c r="BG945" s="65" t="n"/>
    </row>
    <row r="946">
      <c r="F946" s="68" t="n"/>
      <c r="G946" s="68">
        <f>IF(B946="","",F946-I946 )</f>
        <v/>
      </c>
      <c r="H946" s="5">
        <f>IF(G946="","",G946/F946)</f>
        <v/>
      </c>
      <c r="I946" s="62">
        <f>SUM(テーブル9[[#This Row],[五大]:[工場材]])</f>
        <v/>
      </c>
      <c r="J946" s="65" t="n"/>
      <c r="K946" s="65" t="n"/>
      <c r="L946" s="65" t="n"/>
      <c r="M946" s="65" t="n"/>
      <c r="N946" s="65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6" t="n"/>
      <c r="Y946" s="65" t="n"/>
      <c r="Z946" s="65" t="n"/>
      <c r="AA946" s="65" t="n"/>
      <c r="AB946" s="65" t="n"/>
      <c r="AC946" s="65" t="n"/>
      <c r="AD946" s="65" t="n"/>
      <c r="AE946" s="65" t="n"/>
      <c r="AF946" s="65" t="n"/>
      <c r="AG946" s="65" t="n"/>
      <c r="AH946" s="65" t="n"/>
      <c r="AI946" s="65" t="n"/>
      <c r="AJ946" s="65" t="n"/>
      <c r="AK946" s="65" t="n"/>
      <c r="AL946" s="65" t="n"/>
      <c r="AM946" s="65" t="n"/>
      <c r="AN946" s="65" t="n"/>
      <c r="AO946" s="65" t="n"/>
      <c r="AP946" s="65" t="n"/>
      <c r="AQ946" s="65" t="n"/>
      <c r="AR946" s="65" t="n"/>
      <c r="AS946" s="65" t="n"/>
      <c r="AT946" s="65" t="n"/>
      <c r="AU946" s="65" t="n"/>
      <c r="AV946" s="65" t="n"/>
      <c r="AW946" s="65" t="n"/>
      <c r="AX946" s="65" t="n"/>
      <c r="AY946" s="65" t="n"/>
      <c r="AZ946" s="65" t="n"/>
      <c r="BA946" s="65" t="n"/>
      <c r="BB946" s="65" t="n"/>
      <c r="BC946" s="65" t="n"/>
      <c r="BD946" s="65" t="n"/>
      <c r="BE946" s="65" t="n"/>
      <c r="BF946" s="65" t="n"/>
      <c r="BG946" s="65" t="n"/>
    </row>
    <row r="947">
      <c r="F947" s="68" t="n"/>
      <c r="G947" s="68">
        <f>IF(B947="","",F947-I947 )</f>
        <v/>
      </c>
      <c r="H947" s="5">
        <f>IF(G947="","",G947/F947)</f>
        <v/>
      </c>
      <c r="I947" s="62">
        <f>SUM(テーブル9[[#This Row],[五大]:[工場材]])</f>
        <v/>
      </c>
      <c r="J947" s="65" t="n"/>
      <c r="K947" s="65" t="n"/>
      <c r="L947" s="65" t="n"/>
      <c r="M947" s="65" t="n"/>
      <c r="N947" s="65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6" t="n"/>
      <c r="Y947" s="65" t="n"/>
      <c r="Z947" s="65" t="n"/>
      <c r="AA947" s="65" t="n"/>
      <c r="AB947" s="65" t="n"/>
      <c r="AC947" s="65" t="n"/>
      <c r="AD947" s="65" t="n"/>
      <c r="AE947" s="65" t="n"/>
      <c r="AF947" s="65" t="n"/>
      <c r="AG947" s="65" t="n"/>
      <c r="AH947" s="65" t="n"/>
      <c r="AI947" s="65" t="n"/>
      <c r="AJ947" s="65" t="n"/>
      <c r="AK947" s="65" t="n"/>
      <c r="AL947" s="65" t="n"/>
      <c r="AM947" s="65" t="n"/>
      <c r="AN947" s="65" t="n"/>
      <c r="AO947" s="65" t="n"/>
      <c r="AP947" s="65" t="n"/>
      <c r="AQ947" s="65" t="n"/>
      <c r="AR947" s="65" t="n"/>
      <c r="AS947" s="65" t="n"/>
      <c r="AT947" s="65" t="n"/>
      <c r="AU947" s="65" t="n"/>
      <c r="AV947" s="65" t="n"/>
      <c r="AW947" s="65" t="n"/>
      <c r="AX947" s="65" t="n"/>
      <c r="AY947" s="65" t="n"/>
      <c r="AZ947" s="65" t="n"/>
      <c r="BA947" s="65" t="n"/>
      <c r="BB947" s="65" t="n"/>
      <c r="BC947" s="65" t="n"/>
      <c r="BD947" s="65" t="n"/>
      <c r="BE947" s="65" t="n"/>
      <c r="BF947" s="65" t="n"/>
      <c r="BG947" s="65" t="n"/>
    </row>
    <row r="948">
      <c r="F948" s="68" t="n"/>
      <c r="G948" s="68">
        <f>IF(B948="","",F948-I948 )</f>
        <v/>
      </c>
      <c r="H948" s="5">
        <f>IF(G948="","",G948/F948)</f>
        <v/>
      </c>
      <c r="I948" s="62">
        <f>SUM(テーブル9[[#This Row],[五大]:[工場材]])</f>
        <v/>
      </c>
      <c r="J948" s="65" t="n"/>
      <c r="K948" s="65" t="n"/>
      <c r="L948" s="65" t="n"/>
      <c r="M948" s="65" t="n"/>
      <c r="N948" s="65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6" t="n"/>
      <c r="Y948" s="65" t="n"/>
      <c r="Z948" s="65" t="n"/>
      <c r="AA948" s="65" t="n"/>
      <c r="AB948" s="65" t="n"/>
      <c r="AC948" s="65" t="n"/>
      <c r="AD948" s="65" t="n"/>
      <c r="AE948" s="65" t="n"/>
      <c r="AF948" s="65" t="n"/>
      <c r="AG948" s="65" t="n"/>
      <c r="AH948" s="65" t="n"/>
      <c r="AI948" s="65" t="n"/>
      <c r="AJ948" s="65" t="n"/>
      <c r="AK948" s="65" t="n"/>
      <c r="AL948" s="65" t="n"/>
      <c r="AM948" s="65" t="n"/>
      <c r="AN948" s="65" t="n"/>
      <c r="AO948" s="65" t="n"/>
      <c r="AP948" s="65" t="n"/>
      <c r="AQ948" s="65" t="n"/>
      <c r="AR948" s="65" t="n"/>
      <c r="AS948" s="65" t="n"/>
      <c r="AT948" s="65" t="n"/>
      <c r="AU948" s="65" t="n"/>
      <c r="AV948" s="65" t="n"/>
      <c r="AW948" s="65" t="n"/>
      <c r="AX948" s="65" t="n"/>
      <c r="AY948" s="65" t="n"/>
      <c r="AZ948" s="65" t="n"/>
      <c r="BA948" s="65" t="n"/>
      <c r="BB948" s="65" t="n"/>
      <c r="BC948" s="65" t="n"/>
      <c r="BD948" s="65" t="n"/>
      <c r="BE948" s="65" t="n"/>
      <c r="BF948" s="65" t="n"/>
      <c r="BG948" s="65" t="n"/>
    </row>
    <row r="949">
      <c r="F949" s="68" t="n"/>
      <c r="G949" s="68">
        <f>IF(B949="","",F949-I949 )</f>
        <v/>
      </c>
      <c r="H949" s="5">
        <f>IF(G949="","",G949/F949)</f>
        <v/>
      </c>
      <c r="I949" s="62">
        <f>SUM(テーブル9[[#This Row],[五大]:[工場材]])</f>
        <v/>
      </c>
      <c r="J949" s="65" t="n"/>
      <c r="K949" s="65" t="n"/>
      <c r="L949" s="65" t="n"/>
      <c r="M949" s="65" t="n"/>
      <c r="N949" s="65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6" t="n"/>
      <c r="Y949" s="65" t="n"/>
      <c r="Z949" s="65" t="n"/>
      <c r="AA949" s="65" t="n"/>
      <c r="AB949" s="65" t="n"/>
      <c r="AC949" s="65" t="n"/>
      <c r="AD949" s="65" t="n"/>
      <c r="AE949" s="65" t="n"/>
      <c r="AF949" s="65" t="n"/>
      <c r="AG949" s="65" t="n"/>
      <c r="AH949" s="65" t="n"/>
      <c r="AI949" s="65" t="n"/>
      <c r="AJ949" s="65" t="n"/>
      <c r="AK949" s="65" t="n"/>
      <c r="AL949" s="65" t="n"/>
      <c r="AM949" s="65" t="n"/>
      <c r="AN949" s="65" t="n"/>
      <c r="AO949" s="65" t="n"/>
      <c r="AP949" s="65" t="n"/>
      <c r="AQ949" s="65" t="n"/>
      <c r="AR949" s="65" t="n"/>
      <c r="AS949" s="65" t="n"/>
      <c r="AT949" s="65" t="n"/>
      <c r="AU949" s="65" t="n"/>
      <c r="AV949" s="65" t="n"/>
      <c r="AW949" s="65" t="n"/>
      <c r="AX949" s="65" t="n"/>
      <c r="AY949" s="65" t="n"/>
      <c r="AZ949" s="65" t="n"/>
      <c r="BA949" s="65" t="n"/>
      <c r="BB949" s="65" t="n"/>
      <c r="BC949" s="65" t="n"/>
      <c r="BD949" s="65" t="n"/>
      <c r="BE949" s="65" t="n"/>
      <c r="BF949" s="65" t="n"/>
      <c r="BG949" s="65" t="n"/>
    </row>
    <row r="950">
      <c r="F950" s="68" t="n"/>
      <c r="G950" s="68">
        <f>IF(B950="","",F950-I950 )</f>
        <v/>
      </c>
      <c r="H950" s="5">
        <f>IF(G950="","",G950/F950)</f>
        <v/>
      </c>
      <c r="I950" s="62">
        <f>SUM(テーブル9[[#This Row],[五大]:[工場材]])</f>
        <v/>
      </c>
      <c r="J950" s="65" t="n"/>
      <c r="K950" s="65" t="n"/>
      <c r="L950" s="65" t="n"/>
      <c r="M950" s="65" t="n"/>
      <c r="N950" s="65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6" t="n"/>
      <c r="Y950" s="65" t="n"/>
      <c r="Z950" s="65" t="n"/>
      <c r="AA950" s="65" t="n"/>
      <c r="AB950" s="65" t="n"/>
      <c r="AC950" s="65" t="n"/>
      <c r="AD950" s="65" t="n"/>
      <c r="AE950" s="65" t="n"/>
      <c r="AF950" s="65" t="n"/>
      <c r="AG950" s="65" t="n"/>
      <c r="AH950" s="65" t="n"/>
      <c r="AI950" s="65" t="n"/>
      <c r="AJ950" s="65" t="n"/>
      <c r="AK950" s="65" t="n"/>
      <c r="AL950" s="65" t="n"/>
      <c r="AM950" s="65" t="n"/>
      <c r="AN950" s="65" t="n"/>
      <c r="AO950" s="65" t="n"/>
      <c r="AP950" s="65" t="n"/>
      <c r="AQ950" s="65" t="n"/>
      <c r="AR950" s="65" t="n"/>
      <c r="AS950" s="65" t="n"/>
      <c r="AT950" s="65" t="n"/>
      <c r="AU950" s="65" t="n"/>
      <c r="AV950" s="65" t="n"/>
      <c r="AW950" s="65" t="n"/>
      <c r="AX950" s="65" t="n"/>
      <c r="AY950" s="65" t="n"/>
      <c r="AZ950" s="65" t="n"/>
      <c r="BA950" s="65" t="n"/>
      <c r="BB950" s="65" t="n"/>
      <c r="BC950" s="65" t="n"/>
      <c r="BD950" s="65" t="n"/>
      <c r="BE950" s="65" t="n"/>
      <c r="BF950" s="65" t="n"/>
      <c r="BG950" s="65" t="n"/>
    </row>
    <row r="951">
      <c r="F951" s="68" t="n"/>
      <c r="G951" s="68">
        <f>IF(B951="","",F951-I951 )</f>
        <v/>
      </c>
      <c r="H951" s="5">
        <f>IF(G951="","",G951/F951)</f>
        <v/>
      </c>
      <c r="I951" s="62">
        <f>SUM(テーブル9[[#This Row],[五大]:[工場材]])</f>
        <v/>
      </c>
      <c r="J951" s="65" t="n"/>
      <c r="K951" s="65" t="n"/>
      <c r="L951" s="65" t="n"/>
      <c r="M951" s="65" t="n"/>
      <c r="N951" s="65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6" t="n"/>
      <c r="Y951" s="65" t="n"/>
      <c r="Z951" s="65" t="n"/>
      <c r="AA951" s="65" t="n"/>
      <c r="AB951" s="65" t="n"/>
      <c r="AC951" s="65" t="n"/>
      <c r="AD951" s="65" t="n"/>
      <c r="AE951" s="65" t="n"/>
      <c r="AF951" s="65" t="n"/>
      <c r="AG951" s="65" t="n"/>
      <c r="AH951" s="65" t="n"/>
      <c r="AI951" s="65" t="n"/>
      <c r="AJ951" s="65" t="n"/>
      <c r="AK951" s="65" t="n"/>
      <c r="AL951" s="65" t="n"/>
      <c r="AM951" s="65" t="n"/>
      <c r="AN951" s="65" t="n"/>
      <c r="AO951" s="65" t="n"/>
      <c r="AP951" s="65" t="n"/>
      <c r="AQ951" s="65" t="n"/>
      <c r="AR951" s="65" t="n"/>
      <c r="AS951" s="65" t="n"/>
      <c r="AT951" s="65" t="n"/>
      <c r="AU951" s="65" t="n"/>
      <c r="AV951" s="65" t="n"/>
      <c r="AW951" s="65" t="n"/>
      <c r="AX951" s="65" t="n"/>
      <c r="AY951" s="65" t="n"/>
      <c r="AZ951" s="65" t="n"/>
      <c r="BA951" s="65" t="n"/>
      <c r="BB951" s="65" t="n"/>
      <c r="BC951" s="65" t="n"/>
      <c r="BD951" s="65" t="n"/>
      <c r="BE951" s="65" t="n"/>
      <c r="BF951" s="65" t="n"/>
      <c r="BG951" s="65" t="n"/>
    </row>
    <row r="952">
      <c r="F952" s="68" t="n"/>
      <c r="G952" s="68">
        <f>IF(B952="","",F952-I952 )</f>
        <v/>
      </c>
      <c r="H952" s="5">
        <f>IF(G952="","",G952/F952)</f>
        <v/>
      </c>
      <c r="I952" s="62">
        <f>SUM(テーブル9[[#This Row],[五大]:[工場材]])</f>
        <v/>
      </c>
      <c r="J952" s="65" t="n"/>
      <c r="K952" s="65" t="n"/>
      <c r="L952" s="65" t="n"/>
      <c r="M952" s="65" t="n"/>
      <c r="N952" s="65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6" t="n"/>
      <c r="Y952" s="65" t="n"/>
      <c r="Z952" s="65" t="n"/>
      <c r="AA952" s="65" t="n"/>
      <c r="AB952" s="65" t="n"/>
      <c r="AC952" s="65" t="n"/>
      <c r="AD952" s="65" t="n"/>
      <c r="AE952" s="65" t="n"/>
      <c r="AF952" s="65" t="n"/>
      <c r="AG952" s="65" t="n"/>
      <c r="AH952" s="65" t="n"/>
      <c r="AI952" s="65" t="n"/>
      <c r="AJ952" s="65" t="n"/>
      <c r="AK952" s="65" t="n"/>
      <c r="AL952" s="65" t="n"/>
      <c r="AM952" s="65" t="n"/>
      <c r="AN952" s="65" t="n"/>
      <c r="AO952" s="65" t="n"/>
      <c r="AP952" s="65" t="n"/>
      <c r="AQ952" s="65" t="n"/>
      <c r="AR952" s="65" t="n"/>
      <c r="AS952" s="65" t="n"/>
      <c r="AT952" s="65" t="n"/>
      <c r="AU952" s="65" t="n"/>
      <c r="AV952" s="65" t="n"/>
      <c r="AW952" s="65" t="n"/>
      <c r="AX952" s="65" t="n"/>
      <c r="AY952" s="65" t="n"/>
      <c r="AZ952" s="65" t="n"/>
      <c r="BA952" s="65" t="n"/>
      <c r="BB952" s="65" t="n"/>
      <c r="BC952" s="65" t="n"/>
      <c r="BD952" s="65" t="n"/>
      <c r="BE952" s="65" t="n"/>
      <c r="BF952" s="65" t="n"/>
      <c r="BG952" s="65" t="n"/>
    </row>
    <row r="953">
      <c r="F953" s="68" t="n"/>
      <c r="G953" s="68">
        <f>IF(B953="","",F953-I953 )</f>
        <v/>
      </c>
      <c r="H953" s="5">
        <f>IF(G953="","",G953/F953)</f>
        <v/>
      </c>
      <c r="I953" s="62">
        <f>SUM(テーブル9[[#This Row],[五大]:[工場材]])</f>
        <v/>
      </c>
      <c r="J953" s="65" t="n"/>
      <c r="K953" s="65" t="n"/>
      <c r="L953" s="65" t="n"/>
      <c r="M953" s="65" t="n"/>
      <c r="N953" s="65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6" t="n"/>
      <c r="Y953" s="65" t="n"/>
      <c r="Z953" s="65" t="n"/>
      <c r="AA953" s="65" t="n"/>
      <c r="AB953" s="65" t="n"/>
      <c r="AC953" s="65" t="n"/>
      <c r="AD953" s="65" t="n"/>
      <c r="AE953" s="65" t="n"/>
      <c r="AF953" s="65" t="n"/>
      <c r="AG953" s="65" t="n"/>
      <c r="AH953" s="65" t="n"/>
      <c r="AI953" s="65" t="n"/>
      <c r="AJ953" s="65" t="n"/>
      <c r="AK953" s="65" t="n"/>
      <c r="AL953" s="65" t="n"/>
      <c r="AM953" s="65" t="n"/>
      <c r="AN953" s="65" t="n"/>
      <c r="AO953" s="65" t="n"/>
      <c r="AP953" s="65" t="n"/>
      <c r="AQ953" s="65" t="n"/>
      <c r="AR953" s="65" t="n"/>
      <c r="AS953" s="65" t="n"/>
      <c r="AT953" s="65" t="n"/>
      <c r="AU953" s="65" t="n"/>
      <c r="AV953" s="65" t="n"/>
      <c r="AW953" s="65" t="n"/>
      <c r="AX953" s="65" t="n"/>
      <c r="AY953" s="65" t="n"/>
      <c r="AZ953" s="65" t="n"/>
      <c r="BA953" s="65" t="n"/>
      <c r="BB953" s="65" t="n"/>
      <c r="BC953" s="65" t="n"/>
      <c r="BD953" s="65" t="n"/>
      <c r="BE953" s="65" t="n"/>
      <c r="BF953" s="65" t="n"/>
      <c r="BG953" s="65" t="n"/>
    </row>
    <row r="954">
      <c r="F954" s="68" t="n"/>
      <c r="G954" s="68">
        <f>IF(B954="","",F954-I954 )</f>
        <v/>
      </c>
      <c r="H954" s="5">
        <f>IF(G954="","",G954/F954)</f>
        <v/>
      </c>
      <c r="I954" s="62">
        <f>SUM(テーブル9[[#This Row],[五大]:[工場材]])</f>
        <v/>
      </c>
      <c r="J954" s="65" t="n"/>
      <c r="K954" s="65" t="n"/>
      <c r="L954" s="65" t="n"/>
      <c r="M954" s="65" t="n"/>
      <c r="N954" s="65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6" t="n"/>
      <c r="Y954" s="65" t="n"/>
      <c r="Z954" s="65" t="n"/>
      <c r="AA954" s="65" t="n"/>
      <c r="AB954" s="65" t="n"/>
      <c r="AC954" s="65" t="n"/>
      <c r="AD954" s="65" t="n"/>
      <c r="AE954" s="65" t="n"/>
      <c r="AF954" s="65" t="n"/>
      <c r="AG954" s="65" t="n"/>
      <c r="AH954" s="65" t="n"/>
      <c r="AI954" s="65" t="n"/>
      <c r="AJ954" s="65" t="n"/>
      <c r="AK954" s="65" t="n"/>
      <c r="AL954" s="65" t="n"/>
      <c r="AM954" s="65" t="n"/>
      <c r="AN954" s="65" t="n"/>
      <c r="AO954" s="65" t="n"/>
      <c r="AP954" s="65" t="n"/>
      <c r="AQ954" s="65" t="n"/>
      <c r="AR954" s="65" t="n"/>
      <c r="AS954" s="65" t="n"/>
      <c r="AT954" s="65" t="n"/>
      <c r="AU954" s="65" t="n"/>
      <c r="AV954" s="65" t="n"/>
      <c r="AW954" s="65" t="n"/>
      <c r="AX954" s="65" t="n"/>
      <c r="AY954" s="65" t="n"/>
      <c r="AZ954" s="65" t="n"/>
      <c r="BA954" s="65" t="n"/>
      <c r="BB954" s="65" t="n"/>
      <c r="BC954" s="65" t="n"/>
      <c r="BD954" s="65" t="n"/>
      <c r="BE954" s="65" t="n"/>
      <c r="BF954" s="65" t="n"/>
      <c r="BG954" s="65" t="n"/>
    </row>
    <row r="955">
      <c r="F955" s="68" t="n"/>
      <c r="G955" s="68">
        <f>IF(B955="","",F955-I955 )</f>
        <v/>
      </c>
      <c r="H955" s="5">
        <f>IF(G955="","",G955/F955)</f>
        <v/>
      </c>
      <c r="I955" s="62">
        <f>SUM(テーブル9[[#This Row],[五大]:[工場材]])</f>
        <v/>
      </c>
      <c r="J955" s="65" t="n"/>
      <c r="K955" s="65" t="n"/>
      <c r="L955" s="65" t="n"/>
      <c r="M955" s="65" t="n"/>
      <c r="N955" s="65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6" t="n"/>
      <c r="Y955" s="65" t="n"/>
      <c r="Z955" s="65" t="n"/>
      <c r="AA955" s="65" t="n"/>
      <c r="AB955" s="65" t="n"/>
      <c r="AC955" s="65" t="n"/>
      <c r="AD955" s="65" t="n"/>
      <c r="AE955" s="65" t="n"/>
      <c r="AF955" s="65" t="n"/>
      <c r="AG955" s="65" t="n"/>
      <c r="AH955" s="65" t="n"/>
      <c r="AI955" s="65" t="n"/>
      <c r="AJ955" s="65" t="n"/>
      <c r="AK955" s="65" t="n"/>
      <c r="AL955" s="65" t="n"/>
      <c r="AM955" s="65" t="n"/>
      <c r="AN955" s="65" t="n"/>
      <c r="AO955" s="65" t="n"/>
      <c r="AP955" s="65" t="n"/>
      <c r="AQ955" s="65" t="n"/>
      <c r="AR955" s="65" t="n"/>
      <c r="AS955" s="65" t="n"/>
      <c r="AT955" s="65" t="n"/>
      <c r="AU955" s="65" t="n"/>
      <c r="AV955" s="65" t="n"/>
      <c r="AW955" s="65" t="n"/>
      <c r="AX955" s="65" t="n"/>
      <c r="AY955" s="65" t="n"/>
      <c r="AZ955" s="65" t="n"/>
      <c r="BA955" s="65" t="n"/>
      <c r="BB955" s="65" t="n"/>
      <c r="BC955" s="65" t="n"/>
      <c r="BD955" s="65" t="n"/>
      <c r="BE955" s="65" t="n"/>
      <c r="BF955" s="65" t="n"/>
      <c r="BG955" s="65" t="n"/>
    </row>
    <row r="956">
      <c r="F956" s="68" t="n"/>
      <c r="G956" s="68">
        <f>IF(B956="","",F956-I956 )</f>
        <v/>
      </c>
      <c r="H956" s="5">
        <f>IF(G956="","",G956/F956)</f>
        <v/>
      </c>
      <c r="I956" s="62">
        <f>SUM(テーブル9[[#This Row],[五大]:[工場材]])</f>
        <v/>
      </c>
      <c r="J956" s="65" t="n"/>
      <c r="K956" s="65" t="n"/>
      <c r="L956" s="65" t="n"/>
      <c r="M956" s="65" t="n"/>
      <c r="N956" s="65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6" t="n"/>
      <c r="Y956" s="65" t="n"/>
      <c r="Z956" s="65" t="n"/>
      <c r="AA956" s="65" t="n"/>
      <c r="AB956" s="65" t="n"/>
      <c r="AC956" s="65" t="n"/>
      <c r="AD956" s="65" t="n"/>
      <c r="AE956" s="65" t="n"/>
      <c r="AF956" s="65" t="n"/>
      <c r="AG956" s="65" t="n"/>
      <c r="AH956" s="65" t="n"/>
      <c r="AI956" s="65" t="n"/>
      <c r="AJ956" s="65" t="n"/>
      <c r="AK956" s="65" t="n"/>
      <c r="AL956" s="65" t="n"/>
      <c r="AM956" s="65" t="n"/>
      <c r="AN956" s="65" t="n"/>
      <c r="AO956" s="65" t="n"/>
      <c r="AP956" s="65" t="n"/>
      <c r="AQ956" s="65" t="n"/>
      <c r="AR956" s="65" t="n"/>
      <c r="AS956" s="65" t="n"/>
      <c r="AT956" s="65" t="n"/>
      <c r="AU956" s="65" t="n"/>
      <c r="AV956" s="65" t="n"/>
      <c r="AW956" s="65" t="n"/>
      <c r="AX956" s="65" t="n"/>
      <c r="AY956" s="65" t="n"/>
      <c r="AZ956" s="65" t="n"/>
      <c r="BA956" s="65" t="n"/>
      <c r="BB956" s="65" t="n"/>
      <c r="BC956" s="65" t="n"/>
      <c r="BD956" s="65" t="n"/>
      <c r="BE956" s="65" t="n"/>
      <c r="BF956" s="65" t="n"/>
      <c r="BG956" s="65" t="n"/>
    </row>
    <row r="957">
      <c r="F957" s="68" t="n"/>
      <c r="G957" s="68">
        <f>IF(B957="","",F957-I957 )</f>
        <v/>
      </c>
      <c r="H957" s="5">
        <f>IF(G957="","",G957/F957)</f>
        <v/>
      </c>
      <c r="I957" s="62">
        <f>SUM(テーブル9[[#This Row],[五大]:[工場材]])</f>
        <v/>
      </c>
      <c r="J957" s="65" t="n"/>
      <c r="K957" s="65" t="n"/>
      <c r="L957" s="65" t="n"/>
      <c r="M957" s="65" t="n"/>
      <c r="N957" s="65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6" t="n"/>
      <c r="Y957" s="65" t="n"/>
      <c r="Z957" s="65" t="n"/>
      <c r="AA957" s="65" t="n"/>
      <c r="AB957" s="65" t="n"/>
      <c r="AC957" s="65" t="n"/>
      <c r="AD957" s="65" t="n"/>
      <c r="AE957" s="65" t="n"/>
      <c r="AF957" s="65" t="n"/>
      <c r="AG957" s="65" t="n"/>
      <c r="AH957" s="65" t="n"/>
      <c r="AI957" s="65" t="n"/>
      <c r="AJ957" s="65" t="n"/>
      <c r="AK957" s="65" t="n"/>
      <c r="AL957" s="65" t="n"/>
      <c r="AM957" s="65" t="n"/>
      <c r="AN957" s="65" t="n"/>
      <c r="AO957" s="65" t="n"/>
      <c r="AP957" s="65" t="n"/>
      <c r="AQ957" s="65" t="n"/>
      <c r="AR957" s="65" t="n"/>
      <c r="AS957" s="65" t="n"/>
      <c r="AT957" s="65" t="n"/>
      <c r="AU957" s="65" t="n"/>
      <c r="AV957" s="65" t="n"/>
      <c r="AW957" s="65" t="n"/>
      <c r="AX957" s="65" t="n"/>
      <c r="AY957" s="65" t="n"/>
      <c r="AZ957" s="65" t="n"/>
      <c r="BA957" s="65" t="n"/>
      <c r="BB957" s="65" t="n"/>
      <c r="BC957" s="65" t="n"/>
      <c r="BD957" s="65" t="n"/>
      <c r="BE957" s="65" t="n"/>
      <c r="BF957" s="65" t="n"/>
      <c r="BG957" s="65" t="n"/>
    </row>
    <row r="958">
      <c r="F958" s="68" t="n"/>
      <c r="G958" s="68">
        <f>IF(B958="","",F958-I958 )</f>
        <v/>
      </c>
      <c r="H958" s="5">
        <f>IF(G958="","",G958/F958)</f>
        <v/>
      </c>
      <c r="I958" s="62">
        <f>SUM(テーブル9[[#This Row],[五大]:[工場材]])</f>
        <v/>
      </c>
      <c r="J958" s="65" t="n"/>
      <c r="K958" s="65" t="n"/>
      <c r="L958" s="65" t="n"/>
      <c r="M958" s="65" t="n"/>
      <c r="N958" s="65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6" t="n"/>
      <c r="Y958" s="65" t="n"/>
      <c r="Z958" s="65" t="n"/>
      <c r="AA958" s="65" t="n"/>
      <c r="AB958" s="65" t="n"/>
      <c r="AC958" s="65" t="n"/>
      <c r="AD958" s="65" t="n"/>
      <c r="AE958" s="65" t="n"/>
      <c r="AF958" s="65" t="n"/>
      <c r="AG958" s="65" t="n"/>
      <c r="AH958" s="65" t="n"/>
      <c r="AI958" s="65" t="n"/>
      <c r="AJ958" s="65" t="n"/>
      <c r="AK958" s="65" t="n"/>
      <c r="AL958" s="65" t="n"/>
      <c r="AM958" s="65" t="n"/>
      <c r="AN958" s="65" t="n"/>
      <c r="AO958" s="65" t="n"/>
      <c r="AP958" s="65" t="n"/>
      <c r="AQ958" s="65" t="n"/>
      <c r="AR958" s="65" t="n"/>
      <c r="AS958" s="65" t="n"/>
      <c r="AT958" s="65" t="n"/>
      <c r="AU958" s="65" t="n"/>
      <c r="AV958" s="65" t="n"/>
      <c r="AW958" s="65" t="n"/>
      <c r="AX958" s="65" t="n"/>
      <c r="AY958" s="65" t="n"/>
      <c r="AZ958" s="65" t="n"/>
      <c r="BA958" s="65" t="n"/>
      <c r="BB958" s="65" t="n"/>
      <c r="BC958" s="65" t="n"/>
      <c r="BD958" s="65" t="n"/>
      <c r="BE958" s="65" t="n"/>
      <c r="BF958" s="65" t="n"/>
      <c r="BG958" s="65" t="n"/>
    </row>
    <row r="959">
      <c r="F959" s="68" t="n"/>
      <c r="G959" s="68">
        <f>IF(B959="","",F959-I959 )</f>
        <v/>
      </c>
      <c r="H959" s="5">
        <f>IF(G959="","",G959/F959)</f>
        <v/>
      </c>
      <c r="I959" s="62">
        <f>SUM(テーブル9[[#This Row],[五大]:[工場材]])</f>
        <v/>
      </c>
      <c r="J959" s="65" t="n"/>
      <c r="K959" s="65" t="n"/>
      <c r="L959" s="65" t="n"/>
      <c r="M959" s="65" t="n"/>
      <c r="N959" s="65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6" t="n"/>
      <c r="Y959" s="65" t="n"/>
      <c r="Z959" s="65" t="n"/>
      <c r="AA959" s="65" t="n"/>
      <c r="AB959" s="65" t="n"/>
      <c r="AC959" s="65" t="n"/>
      <c r="AD959" s="65" t="n"/>
      <c r="AE959" s="65" t="n"/>
      <c r="AF959" s="65" t="n"/>
      <c r="AG959" s="65" t="n"/>
      <c r="AH959" s="65" t="n"/>
      <c r="AI959" s="65" t="n"/>
      <c r="AJ959" s="65" t="n"/>
      <c r="AK959" s="65" t="n"/>
      <c r="AL959" s="65" t="n"/>
      <c r="AM959" s="65" t="n"/>
      <c r="AN959" s="65" t="n"/>
      <c r="AO959" s="65" t="n"/>
      <c r="AP959" s="65" t="n"/>
      <c r="AQ959" s="65" t="n"/>
      <c r="AR959" s="65" t="n"/>
      <c r="AS959" s="65" t="n"/>
      <c r="AT959" s="65" t="n"/>
      <c r="AU959" s="65" t="n"/>
      <c r="AV959" s="65" t="n"/>
      <c r="AW959" s="65" t="n"/>
      <c r="AX959" s="65" t="n"/>
      <c r="AY959" s="65" t="n"/>
      <c r="AZ959" s="65" t="n"/>
      <c r="BA959" s="65" t="n"/>
      <c r="BB959" s="65" t="n"/>
      <c r="BC959" s="65" t="n"/>
      <c r="BD959" s="65" t="n"/>
      <c r="BE959" s="65" t="n"/>
      <c r="BF959" s="65" t="n"/>
      <c r="BG959" s="65" t="n"/>
    </row>
    <row r="960">
      <c r="F960" s="68" t="n"/>
      <c r="G960" s="68">
        <f>IF(B960="","",F960-I960 )</f>
        <v/>
      </c>
      <c r="H960" s="5">
        <f>IF(G960="","",G960/F960)</f>
        <v/>
      </c>
      <c r="I960" s="62">
        <f>SUM(テーブル9[[#This Row],[五大]:[工場材]])</f>
        <v/>
      </c>
      <c r="J960" s="65" t="n"/>
      <c r="K960" s="65" t="n"/>
      <c r="L960" s="65" t="n"/>
      <c r="M960" s="65" t="n"/>
      <c r="N960" s="65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6" t="n"/>
      <c r="Y960" s="65" t="n"/>
      <c r="Z960" s="65" t="n"/>
      <c r="AA960" s="65" t="n"/>
      <c r="AB960" s="65" t="n"/>
      <c r="AC960" s="65" t="n"/>
      <c r="AD960" s="65" t="n"/>
      <c r="AE960" s="65" t="n"/>
      <c r="AF960" s="65" t="n"/>
      <c r="AG960" s="65" t="n"/>
      <c r="AH960" s="65" t="n"/>
      <c r="AI960" s="65" t="n"/>
      <c r="AJ960" s="65" t="n"/>
      <c r="AK960" s="65" t="n"/>
      <c r="AL960" s="65" t="n"/>
      <c r="AM960" s="65" t="n"/>
      <c r="AN960" s="65" t="n"/>
      <c r="AO960" s="65" t="n"/>
      <c r="AP960" s="65" t="n"/>
      <c r="AQ960" s="65" t="n"/>
      <c r="AR960" s="65" t="n"/>
      <c r="AS960" s="65" t="n"/>
      <c r="AT960" s="65" t="n"/>
      <c r="AU960" s="65" t="n"/>
      <c r="AV960" s="65" t="n"/>
      <c r="AW960" s="65" t="n"/>
      <c r="AX960" s="65" t="n"/>
      <c r="AY960" s="65" t="n"/>
      <c r="AZ960" s="65" t="n"/>
      <c r="BA960" s="65" t="n"/>
      <c r="BB960" s="65" t="n"/>
      <c r="BC960" s="65" t="n"/>
      <c r="BD960" s="65" t="n"/>
      <c r="BE960" s="65" t="n"/>
      <c r="BF960" s="65" t="n"/>
      <c r="BG960" s="65" t="n"/>
    </row>
    <row r="961">
      <c r="F961" s="68" t="n"/>
      <c r="G961" s="68">
        <f>IF(B961="","",F961-I961 )</f>
        <v/>
      </c>
      <c r="H961" s="5">
        <f>IF(G961="","",G961/F961)</f>
        <v/>
      </c>
      <c r="I961" s="62">
        <f>SUM(テーブル9[[#This Row],[五大]:[工場材]])</f>
        <v/>
      </c>
      <c r="J961" s="65" t="n"/>
      <c r="K961" s="65" t="n"/>
      <c r="L961" s="65" t="n"/>
      <c r="M961" s="65" t="n"/>
      <c r="N961" s="65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6" t="n"/>
      <c r="Y961" s="65" t="n"/>
      <c r="Z961" s="65" t="n"/>
      <c r="AA961" s="65" t="n"/>
      <c r="AB961" s="65" t="n"/>
      <c r="AC961" s="65" t="n"/>
      <c r="AD961" s="65" t="n"/>
      <c r="AE961" s="65" t="n"/>
      <c r="AF961" s="65" t="n"/>
      <c r="AG961" s="65" t="n"/>
      <c r="AH961" s="65" t="n"/>
      <c r="AI961" s="65" t="n"/>
      <c r="AJ961" s="65" t="n"/>
      <c r="AK961" s="65" t="n"/>
      <c r="AL961" s="65" t="n"/>
      <c r="AM961" s="65" t="n"/>
      <c r="AN961" s="65" t="n"/>
      <c r="AO961" s="65" t="n"/>
      <c r="AP961" s="65" t="n"/>
      <c r="AQ961" s="65" t="n"/>
      <c r="AR961" s="65" t="n"/>
      <c r="AS961" s="65" t="n"/>
      <c r="AT961" s="65" t="n"/>
      <c r="AU961" s="65" t="n"/>
      <c r="AV961" s="65" t="n"/>
      <c r="AW961" s="65" t="n"/>
      <c r="AX961" s="65" t="n"/>
      <c r="AY961" s="65" t="n"/>
      <c r="AZ961" s="65" t="n"/>
      <c r="BA961" s="65" t="n"/>
      <c r="BB961" s="65" t="n"/>
      <c r="BC961" s="65" t="n"/>
      <c r="BD961" s="65" t="n"/>
      <c r="BE961" s="65" t="n"/>
      <c r="BF961" s="65" t="n"/>
      <c r="BG961" s="65" t="n"/>
    </row>
    <row r="962">
      <c r="F962" s="68" t="n"/>
      <c r="G962" s="68">
        <f>IF(B962="","",F962-I962 )</f>
        <v/>
      </c>
      <c r="H962" s="5">
        <f>IF(G962="","",G962/F962)</f>
        <v/>
      </c>
      <c r="I962" s="62">
        <f>SUM(テーブル9[[#This Row],[五大]:[工場材]])</f>
        <v/>
      </c>
      <c r="J962" s="65" t="n"/>
      <c r="K962" s="65" t="n"/>
      <c r="L962" s="65" t="n"/>
      <c r="M962" s="65" t="n"/>
      <c r="N962" s="65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6" t="n"/>
      <c r="Y962" s="65" t="n"/>
      <c r="Z962" s="65" t="n"/>
      <c r="AA962" s="65" t="n"/>
      <c r="AB962" s="65" t="n"/>
      <c r="AC962" s="65" t="n"/>
      <c r="AD962" s="65" t="n"/>
      <c r="AE962" s="65" t="n"/>
      <c r="AF962" s="65" t="n"/>
      <c r="AG962" s="65" t="n"/>
      <c r="AH962" s="65" t="n"/>
      <c r="AI962" s="65" t="n"/>
      <c r="AJ962" s="65" t="n"/>
      <c r="AK962" s="65" t="n"/>
      <c r="AL962" s="65" t="n"/>
      <c r="AM962" s="65" t="n"/>
      <c r="AN962" s="65" t="n"/>
      <c r="AO962" s="65" t="n"/>
      <c r="AP962" s="65" t="n"/>
      <c r="AQ962" s="65" t="n"/>
      <c r="AR962" s="65" t="n"/>
      <c r="AS962" s="65" t="n"/>
      <c r="AT962" s="65" t="n"/>
      <c r="AU962" s="65" t="n"/>
      <c r="AV962" s="65" t="n"/>
      <c r="AW962" s="65" t="n"/>
      <c r="AX962" s="65" t="n"/>
      <c r="AY962" s="65" t="n"/>
      <c r="AZ962" s="65" t="n"/>
      <c r="BA962" s="65" t="n"/>
      <c r="BB962" s="65" t="n"/>
      <c r="BC962" s="65" t="n"/>
      <c r="BD962" s="65" t="n"/>
      <c r="BE962" s="65" t="n"/>
      <c r="BF962" s="65" t="n"/>
      <c r="BG962" s="65" t="n"/>
    </row>
    <row r="963">
      <c r="F963" s="68" t="n"/>
      <c r="G963" s="68">
        <f>IF(B963="","",F963-I963 )</f>
        <v/>
      </c>
      <c r="H963" s="5">
        <f>IF(G963="","",G963/F963)</f>
        <v/>
      </c>
      <c r="I963" s="62">
        <f>SUM(テーブル9[[#This Row],[五大]:[工場材]])</f>
        <v/>
      </c>
      <c r="J963" s="65" t="n"/>
      <c r="K963" s="65" t="n"/>
      <c r="L963" s="65" t="n"/>
      <c r="M963" s="65" t="n"/>
      <c r="N963" s="65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6" t="n"/>
      <c r="Y963" s="65" t="n"/>
      <c r="Z963" s="65" t="n"/>
      <c r="AA963" s="65" t="n"/>
      <c r="AB963" s="65" t="n"/>
      <c r="AC963" s="65" t="n"/>
      <c r="AD963" s="65" t="n"/>
      <c r="AE963" s="65" t="n"/>
      <c r="AF963" s="65" t="n"/>
      <c r="AG963" s="65" t="n"/>
      <c r="AH963" s="65" t="n"/>
      <c r="AI963" s="65" t="n"/>
      <c r="AJ963" s="65" t="n"/>
      <c r="AK963" s="65" t="n"/>
      <c r="AL963" s="65" t="n"/>
      <c r="AM963" s="65" t="n"/>
      <c r="AN963" s="65" t="n"/>
      <c r="AO963" s="65" t="n"/>
      <c r="AP963" s="65" t="n"/>
      <c r="AQ963" s="65" t="n"/>
      <c r="AR963" s="65" t="n"/>
      <c r="AS963" s="65" t="n"/>
      <c r="AT963" s="65" t="n"/>
      <c r="AU963" s="65" t="n"/>
      <c r="AV963" s="65" t="n"/>
      <c r="AW963" s="65" t="n"/>
      <c r="AX963" s="65" t="n"/>
      <c r="AY963" s="65" t="n"/>
      <c r="AZ963" s="65" t="n"/>
      <c r="BA963" s="65" t="n"/>
      <c r="BB963" s="65" t="n"/>
      <c r="BC963" s="65" t="n"/>
      <c r="BD963" s="65" t="n"/>
      <c r="BE963" s="65" t="n"/>
      <c r="BF963" s="65" t="n"/>
      <c r="BG963" s="65" t="n"/>
    </row>
    <row r="964">
      <c r="F964" s="68" t="n"/>
      <c r="G964" s="68">
        <f>IF(B964="","",F964-I964 )</f>
        <v/>
      </c>
      <c r="H964" s="5">
        <f>IF(G964="","",G964/F964)</f>
        <v/>
      </c>
      <c r="I964" s="62">
        <f>SUM(テーブル9[[#This Row],[五大]:[工場材]])</f>
        <v/>
      </c>
      <c r="J964" s="65" t="n"/>
      <c r="K964" s="65" t="n"/>
      <c r="L964" s="65" t="n"/>
      <c r="M964" s="65" t="n"/>
      <c r="N964" s="65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6" t="n"/>
      <c r="Y964" s="65" t="n"/>
      <c r="Z964" s="65" t="n"/>
      <c r="AA964" s="65" t="n"/>
      <c r="AB964" s="65" t="n"/>
      <c r="AC964" s="65" t="n"/>
      <c r="AD964" s="65" t="n"/>
      <c r="AE964" s="65" t="n"/>
      <c r="AF964" s="65" t="n"/>
      <c r="AG964" s="65" t="n"/>
      <c r="AH964" s="65" t="n"/>
      <c r="AI964" s="65" t="n"/>
      <c r="AJ964" s="65" t="n"/>
      <c r="AK964" s="65" t="n"/>
      <c r="AL964" s="65" t="n"/>
      <c r="AM964" s="65" t="n"/>
      <c r="AN964" s="65" t="n"/>
      <c r="AO964" s="65" t="n"/>
      <c r="AP964" s="65" t="n"/>
      <c r="AQ964" s="65" t="n"/>
      <c r="AR964" s="65" t="n"/>
      <c r="AS964" s="65" t="n"/>
      <c r="AT964" s="65" t="n"/>
      <c r="AU964" s="65" t="n"/>
      <c r="AV964" s="65" t="n"/>
      <c r="AW964" s="65" t="n"/>
      <c r="AX964" s="65" t="n"/>
      <c r="AY964" s="65" t="n"/>
      <c r="AZ964" s="65" t="n"/>
      <c r="BA964" s="65" t="n"/>
      <c r="BB964" s="65" t="n"/>
      <c r="BC964" s="65" t="n"/>
      <c r="BD964" s="65" t="n"/>
      <c r="BE964" s="65" t="n"/>
      <c r="BF964" s="65" t="n"/>
      <c r="BG964" s="65" t="n"/>
    </row>
    <row r="965">
      <c r="F965" s="68" t="n"/>
      <c r="G965" s="68">
        <f>IF(B965="","",F965-I965 )</f>
        <v/>
      </c>
      <c r="H965" s="5">
        <f>IF(G965="","",G965/F965)</f>
        <v/>
      </c>
      <c r="I965" s="62">
        <f>SUM(テーブル9[[#This Row],[五大]:[工場材]])</f>
        <v/>
      </c>
      <c r="J965" s="65" t="n"/>
      <c r="K965" s="65" t="n"/>
      <c r="L965" s="65" t="n"/>
      <c r="M965" s="65" t="n"/>
      <c r="N965" s="65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6" t="n"/>
      <c r="Y965" s="65" t="n"/>
      <c r="Z965" s="65" t="n"/>
      <c r="AA965" s="65" t="n"/>
      <c r="AB965" s="65" t="n"/>
      <c r="AC965" s="65" t="n"/>
      <c r="AD965" s="65" t="n"/>
      <c r="AE965" s="65" t="n"/>
      <c r="AF965" s="65" t="n"/>
      <c r="AG965" s="65" t="n"/>
      <c r="AH965" s="65" t="n"/>
      <c r="AI965" s="65" t="n"/>
      <c r="AJ965" s="65" t="n"/>
      <c r="AK965" s="65" t="n"/>
      <c r="AL965" s="65" t="n"/>
      <c r="AM965" s="65" t="n"/>
      <c r="AN965" s="65" t="n"/>
      <c r="AO965" s="65" t="n"/>
      <c r="AP965" s="65" t="n"/>
      <c r="AQ965" s="65" t="n"/>
      <c r="AR965" s="65" t="n"/>
      <c r="AS965" s="65" t="n"/>
      <c r="AT965" s="65" t="n"/>
      <c r="AU965" s="65" t="n"/>
      <c r="AV965" s="65" t="n"/>
      <c r="AW965" s="65" t="n"/>
      <c r="AX965" s="65" t="n"/>
      <c r="AY965" s="65" t="n"/>
      <c r="AZ965" s="65" t="n"/>
      <c r="BA965" s="65" t="n"/>
      <c r="BB965" s="65" t="n"/>
      <c r="BC965" s="65" t="n"/>
      <c r="BD965" s="65" t="n"/>
      <c r="BE965" s="65" t="n"/>
      <c r="BF965" s="65" t="n"/>
      <c r="BG965" s="65" t="n"/>
    </row>
    <row r="966">
      <c r="F966" s="68" t="n"/>
      <c r="G966" s="68">
        <f>IF(B966="","",F966-I966 )</f>
        <v/>
      </c>
      <c r="H966" s="5">
        <f>IF(G966="","",G966/F966)</f>
        <v/>
      </c>
      <c r="I966" s="62">
        <f>SUM(テーブル9[[#This Row],[五大]:[工場材]])</f>
        <v/>
      </c>
      <c r="J966" s="65" t="n"/>
      <c r="K966" s="65" t="n"/>
      <c r="L966" s="65" t="n"/>
      <c r="M966" s="65" t="n"/>
      <c r="N966" s="65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6" t="n"/>
      <c r="Y966" s="65" t="n"/>
      <c r="Z966" s="65" t="n"/>
      <c r="AA966" s="65" t="n"/>
      <c r="AB966" s="65" t="n"/>
      <c r="AC966" s="65" t="n"/>
      <c r="AD966" s="65" t="n"/>
      <c r="AE966" s="65" t="n"/>
      <c r="AF966" s="65" t="n"/>
      <c r="AG966" s="65" t="n"/>
      <c r="AH966" s="65" t="n"/>
      <c r="AI966" s="65" t="n"/>
      <c r="AJ966" s="65" t="n"/>
      <c r="AK966" s="65" t="n"/>
      <c r="AL966" s="65" t="n"/>
      <c r="AM966" s="65" t="n"/>
      <c r="AN966" s="65" t="n"/>
      <c r="AO966" s="65" t="n"/>
      <c r="AP966" s="65" t="n"/>
      <c r="AQ966" s="65" t="n"/>
      <c r="AR966" s="65" t="n"/>
      <c r="AS966" s="65" t="n"/>
      <c r="AT966" s="65" t="n"/>
      <c r="AU966" s="65" t="n"/>
      <c r="AV966" s="65" t="n"/>
      <c r="AW966" s="65" t="n"/>
      <c r="AX966" s="65" t="n"/>
      <c r="AY966" s="65" t="n"/>
      <c r="AZ966" s="65" t="n"/>
      <c r="BA966" s="65" t="n"/>
      <c r="BB966" s="65" t="n"/>
      <c r="BC966" s="65" t="n"/>
      <c r="BD966" s="65" t="n"/>
      <c r="BE966" s="65" t="n"/>
      <c r="BF966" s="65" t="n"/>
      <c r="BG966" s="65" t="n"/>
    </row>
    <row r="967">
      <c r="F967" s="68" t="n"/>
      <c r="G967" s="68">
        <f>IF(B967="","",F967-I967 )</f>
        <v/>
      </c>
      <c r="H967" s="5">
        <f>IF(G967="","",G967/F967)</f>
        <v/>
      </c>
      <c r="I967" s="62">
        <f>SUM(テーブル9[[#This Row],[五大]:[工場材]])</f>
        <v/>
      </c>
      <c r="J967" s="65" t="n"/>
      <c r="K967" s="65" t="n"/>
      <c r="L967" s="65" t="n"/>
      <c r="M967" s="65" t="n"/>
      <c r="N967" s="65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6" t="n"/>
      <c r="Y967" s="65" t="n"/>
      <c r="Z967" s="65" t="n"/>
      <c r="AA967" s="65" t="n"/>
      <c r="AB967" s="65" t="n"/>
      <c r="AC967" s="65" t="n"/>
      <c r="AD967" s="65" t="n"/>
      <c r="AE967" s="65" t="n"/>
      <c r="AF967" s="65" t="n"/>
      <c r="AG967" s="65" t="n"/>
      <c r="AH967" s="65" t="n"/>
      <c r="AI967" s="65" t="n"/>
      <c r="AJ967" s="65" t="n"/>
      <c r="AK967" s="65" t="n"/>
      <c r="AL967" s="65" t="n"/>
      <c r="AM967" s="65" t="n"/>
      <c r="AN967" s="65" t="n"/>
      <c r="AO967" s="65" t="n"/>
      <c r="AP967" s="65" t="n"/>
      <c r="AQ967" s="65" t="n"/>
      <c r="AR967" s="65" t="n"/>
      <c r="AS967" s="65" t="n"/>
      <c r="AT967" s="65" t="n"/>
      <c r="AU967" s="65" t="n"/>
      <c r="AV967" s="65" t="n"/>
      <c r="AW967" s="65" t="n"/>
      <c r="AX967" s="65" t="n"/>
      <c r="AY967" s="65" t="n"/>
      <c r="AZ967" s="65" t="n"/>
      <c r="BA967" s="65" t="n"/>
      <c r="BB967" s="65" t="n"/>
      <c r="BC967" s="65" t="n"/>
      <c r="BD967" s="65" t="n"/>
      <c r="BE967" s="65" t="n"/>
      <c r="BF967" s="65" t="n"/>
      <c r="BG967" s="65" t="n"/>
    </row>
    <row r="968">
      <c r="F968" s="68" t="n"/>
      <c r="G968" s="68">
        <f>IF(B968="","",F968-I968 )</f>
        <v/>
      </c>
      <c r="H968" s="5">
        <f>IF(G968="","",G968/F968)</f>
        <v/>
      </c>
      <c r="I968" s="62">
        <f>SUM(テーブル9[[#This Row],[五大]:[工場材]])</f>
        <v/>
      </c>
      <c r="J968" s="65" t="n"/>
      <c r="K968" s="65" t="n"/>
      <c r="L968" s="65" t="n"/>
      <c r="M968" s="65" t="n"/>
      <c r="N968" s="65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6" t="n"/>
      <c r="Y968" s="65" t="n"/>
      <c r="Z968" s="65" t="n"/>
      <c r="AA968" s="65" t="n"/>
      <c r="AB968" s="65" t="n"/>
      <c r="AC968" s="65" t="n"/>
      <c r="AD968" s="65" t="n"/>
      <c r="AE968" s="65" t="n"/>
      <c r="AF968" s="65" t="n"/>
      <c r="AG968" s="65" t="n"/>
      <c r="AH968" s="65" t="n"/>
      <c r="AI968" s="65" t="n"/>
      <c r="AJ968" s="65" t="n"/>
      <c r="AK968" s="65" t="n"/>
      <c r="AL968" s="65" t="n"/>
      <c r="AM968" s="65" t="n"/>
      <c r="AN968" s="65" t="n"/>
      <c r="AO968" s="65" t="n"/>
      <c r="AP968" s="65" t="n"/>
      <c r="AQ968" s="65" t="n"/>
      <c r="AR968" s="65" t="n"/>
      <c r="AS968" s="65" t="n"/>
      <c r="AT968" s="65" t="n"/>
      <c r="AU968" s="65" t="n"/>
      <c r="AV968" s="65" t="n"/>
      <c r="AW968" s="65" t="n"/>
      <c r="AX968" s="65" t="n"/>
      <c r="AY968" s="65" t="n"/>
      <c r="AZ968" s="65" t="n"/>
      <c r="BA968" s="65" t="n"/>
      <c r="BB968" s="65" t="n"/>
      <c r="BC968" s="65" t="n"/>
      <c r="BD968" s="65" t="n"/>
      <c r="BE968" s="65" t="n"/>
      <c r="BF968" s="65" t="n"/>
      <c r="BG968" s="65" t="n"/>
    </row>
    <row r="969">
      <c r="F969" s="68" t="n"/>
      <c r="G969" s="68">
        <f>IF(B969="","",F969-I969 )</f>
        <v/>
      </c>
      <c r="H969" s="5">
        <f>IF(G969="","",G969/F969)</f>
        <v/>
      </c>
      <c r="I969" s="62">
        <f>SUM(テーブル9[[#This Row],[五大]:[工場材]])</f>
        <v/>
      </c>
      <c r="J969" s="65" t="n"/>
      <c r="K969" s="65" t="n"/>
      <c r="L969" s="65" t="n"/>
      <c r="M969" s="65" t="n"/>
      <c r="N969" s="65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6" t="n"/>
      <c r="Y969" s="65" t="n"/>
      <c r="Z969" s="65" t="n"/>
      <c r="AA969" s="65" t="n"/>
      <c r="AB969" s="65" t="n"/>
      <c r="AC969" s="65" t="n"/>
      <c r="AD969" s="65" t="n"/>
      <c r="AE969" s="65" t="n"/>
      <c r="AF969" s="65" t="n"/>
      <c r="AG969" s="65" t="n"/>
      <c r="AH969" s="65" t="n"/>
      <c r="AI969" s="65" t="n"/>
      <c r="AJ969" s="65" t="n"/>
      <c r="AK969" s="65" t="n"/>
      <c r="AL969" s="65" t="n"/>
      <c r="AM969" s="65" t="n"/>
      <c r="AN969" s="65" t="n"/>
      <c r="AO969" s="65" t="n"/>
      <c r="AP969" s="65" t="n"/>
      <c r="AQ969" s="65" t="n"/>
      <c r="AR969" s="65" t="n"/>
      <c r="AS969" s="65" t="n"/>
      <c r="AT969" s="65" t="n"/>
      <c r="AU969" s="65" t="n"/>
      <c r="AV969" s="65" t="n"/>
      <c r="AW969" s="65" t="n"/>
      <c r="AX969" s="65" t="n"/>
      <c r="AY969" s="65" t="n"/>
      <c r="AZ969" s="65" t="n"/>
      <c r="BA969" s="65" t="n"/>
      <c r="BB969" s="65" t="n"/>
      <c r="BC969" s="65" t="n"/>
      <c r="BD969" s="65" t="n"/>
      <c r="BE969" s="65" t="n"/>
      <c r="BF969" s="65" t="n"/>
      <c r="BG969" s="65" t="n"/>
    </row>
    <row r="970">
      <c r="F970" s="68" t="n"/>
      <c r="G970" s="68">
        <f>IF(B970="","",F970-I970 )</f>
        <v/>
      </c>
      <c r="H970" s="5">
        <f>IF(G970="","",G970/F970)</f>
        <v/>
      </c>
      <c r="I970" s="62">
        <f>SUM(テーブル9[[#This Row],[五大]:[工場材]])</f>
        <v/>
      </c>
      <c r="J970" s="65" t="n"/>
      <c r="K970" s="65" t="n"/>
      <c r="L970" s="65" t="n"/>
      <c r="M970" s="65" t="n"/>
      <c r="N970" s="65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6" t="n"/>
      <c r="Y970" s="65" t="n"/>
      <c r="Z970" s="65" t="n"/>
      <c r="AA970" s="65" t="n"/>
      <c r="AB970" s="65" t="n"/>
      <c r="AC970" s="65" t="n"/>
      <c r="AD970" s="65" t="n"/>
      <c r="AE970" s="65" t="n"/>
      <c r="AF970" s="65" t="n"/>
      <c r="AG970" s="65" t="n"/>
      <c r="AH970" s="65" t="n"/>
      <c r="AI970" s="65" t="n"/>
      <c r="AJ970" s="65" t="n"/>
      <c r="AK970" s="65" t="n"/>
      <c r="AL970" s="65" t="n"/>
      <c r="AM970" s="65" t="n"/>
      <c r="AN970" s="65" t="n"/>
      <c r="AO970" s="65" t="n"/>
      <c r="AP970" s="65" t="n"/>
      <c r="AQ970" s="65" t="n"/>
      <c r="AR970" s="65" t="n"/>
      <c r="AS970" s="65" t="n"/>
      <c r="AT970" s="65" t="n"/>
      <c r="AU970" s="65" t="n"/>
      <c r="AV970" s="65" t="n"/>
      <c r="AW970" s="65" t="n"/>
      <c r="AX970" s="65" t="n"/>
      <c r="AY970" s="65" t="n"/>
      <c r="AZ970" s="65" t="n"/>
      <c r="BA970" s="65" t="n"/>
      <c r="BB970" s="65" t="n"/>
      <c r="BC970" s="65" t="n"/>
      <c r="BD970" s="65" t="n"/>
      <c r="BE970" s="65" t="n"/>
      <c r="BF970" s="65" t="n"/>
      <c r="BG970" s="65" t="n"/>
    </row>
    <row r="971">
      <c r="F971" s="68" t="n"/>
      <c r="G971" s="68">
        <f>IF(B971="","",F971-I971 )</f>
        <v/>
      </c>
      <c r="H971" s="5">
        <f>IF(G971="","",G971/F971)</f>
        <v/>
      </c>
      <c r="I971" s="62">
        <f>SUM(テーブル9[[#This Row],[五大]:[工場材]])</f>
        <v/>
      </c>
      <c r="J971" s="65" t="n"/>
      <c r="K971" s="65" t="n"/>
      <c r="L971" s="65" t="n"/>
      <c r="M971" s="65" t="n"/>
      <c r="N971" s="65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6" t="n"/>
      <c r="Y971" s="65" t="n"/>
      <c r="Z971" s="65" t="n"/>
      <c r="AA971" s="65" t="n"/>
      <c r="AB971" s="65" t="n"/>
      <c r="AC971" s="65" t="n"/>
      <c r="AD971" s="65" t="n"/>
      <c r="AE971" s="65" t="n"/>
      <c r="AF971" s="65" t="n"/>
      <c r="AG971" s="65" t="n"/>
      <c r="AH971" s="65" t="n"/>
      <c r="AI971" s="65" t="n"/>
      <c r="AJ971" s="65" t="n"/>
      <c r="AK971" s="65" t="n"/>
      <c r="AL971" s="65" t="n"/>
      <c r="AM971" s="65" t="n"/>
      <c r="AN971" s="65" t="n"/>
      <c r="AO971" s="65" t="n"/>
      <c r="AP971" s="65" t="n"/>
      <c r="AQ971" s="65" t="n"/>
      <c r="AR971" s="65" t="n"/>
      <c r="AS971" s="65" t="n"/>
      <c r="AT971" s="65" t="n"/>
      <c r="AU971" s="65" t="n"/>
      <c r="AV971" s="65" t="n"/>
      <c r="AW971" s="65" t="n"/>
      <c r="AX971" s="65" t="n"/>
      <c r="AY971" s="65" t="n"/>
      <c r="AZ971" s="65" t="n"/>
      <c r="BA971" s="65" t="n"/>
      <c r="BB971" s="65" t="n"/>
      <c r="BC971" s="65" t="n"/>
      <c r="BD971" s="65" t="n"/>
      <c r="BE971" s="65" t="n"/>
      <c r="BF971" s="65" t="n"/>
      <c r="BG971" s="65" t="n"/>
    </row>
    <row r="972">
      <c r="F972" s="68" t="n"/>
      <c r="G972" s="68">
        <f>IF(B972="","",F972-I972 )</f>
        <v/>
      </c>
      <c r="H972" s="5">
        <f>IF(G972="","",G972/F972)</f>
        <v/>
      </c>
      <c r="I972" s="62">
        <f>SUM(テーブル9[[#This Row],[五大]:[工場材]])</f>
        <v/>
      </c>
      <c r="J972" s="65" t="n"/>
      <c r="K972" s="65" t="n"/>
      <c r="L972" s="65" t="n"/>
      <c r="M972" s="65" t="n"/>
      <c r="N972" s="65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6" t="n"/>
      <c r="Y972" s="65" t="n"/>
      <c r="Z972" s="65" t="n"/>
      <c r="AA972" s="65" t="n"/>
      <c r="AB972" s="65" t="n"/>
      <c r="AC972" s="65" t="n"/>
      <c r="AD972" s="65" t="n"/>
      <c r="AE972" s="65" t="n"/>
      <c r="AF972" s="65" t="n"/>
      <c r="AG972" s="65" t="n"/>
      <c r="AH972" s="65" t="n"/>
      <c r="AI972" s="65" t="n"/>
      <c r="AJ972" s="65" t="n"/>
      <c r="AK972" s="65" t="n"/>
      <c r="AL972" s="65" t="n"/>
      <c r="AM972" s="65" t="n"/>
      <c r="AN972" s="65" t="n"/>
      <c r="AO972" s="65" t="n"/>
      <c r="AP972" s="65" t="n"/>
      <c r="AQ972" s="65" t="n"/>
      <c r="AR972" s="65" t="n"/>
      <c r="AS972" s="65" t="n"/>
      <c r="AT972" s="65" t="n"/>
      <c r="AU972" s="65" t="n"/>
      <c r="AV972" s="65" t="n"/>
      <c r="AW972" s="65" t="n"/>
      <c r="AX972" s="65" t="n"/>
      <c r="AY972" s="65" t="n"/>
      <c r="AZ972" s="65" t="n"/>
      <c r="BA972" s="65" t="n"/>
      <c r="BB972" s="65" t="n"/>
      <c r="BC972" s="65" t="n"/>
      <c r="BD972" s="65" t="n"/>
      <c r="BE972" s="65" t="n"/>
      <c r="BF972" s="65" t="n"/>
      <c r="BG972" s="65" t="n"/>
    </row>
    <row r="973">
      <c r="F973" s="68" t="n"/>
      <c r="G973" s="68">
        <f>IF(B973="","",F973-I973 )</f>
        <v/>
      </c>
      <c r="H973" s="5">
        <f>IF(G973="","",G973/F973)</f>
        <v/>
      </c>
      <c r="I973" s="62">
        <f>SUM(テーブル9[[#This Row],[五大]:[工場材]])</f>
        <v/>
      </c>
      <c r="J973" s="65" t="n"/>
      <c r="K973" s="65" t="n"/>
      <c r="L973" s="65" t="n"/>
      <c r="M973" s="65" t="n"/>
      <c r="N973" s="65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6" t="n"/>
      <c r="Y973" s="65" t="n"/>
      <c r="Z973" s="65" t="n"/>
      <c r="AA973" s="65" t="n"/>
      <c r="AB973" s="65" t="n"/>
      <c r="AC973" s="65" t="n"/>
      <c r="AD973" s="65" t="n"/>
      <c r="AE973" s="65" t="n"/>
      <c r="AF973" s="65" t="n"/>
      <c r="AG973" s="65" t="n"/>
      <c r="AH973" s="65" t="n"/>
      <c r="AI973" s="65" t="n"/>
      <c r="AJ973" s="65" t="n"/>
      <c r="AK973" s="65" t="n"/>
      <c r="AL973" s="65" t="n"/>
      <c r="AM973" s="65" t="n"/>
      <c r="AN973" s="65" t="n"/>
      <c r="AO973" s="65" t="n"/>
      <c r="AP973" s="65" t="n"/>
      <c r="AQ973" s="65" t="n"/>
      <c r="AR973" s="65" t="n"/>
      <c r="AS973" s="65" t="n"/>
      <c r="AT973" s="65" t="n"/>
      <c r="AU973" s="65" t="n"/>
      <c r="AV973" s="65" t="n"/>
      <c r="AW973" s="65" t="n"/>
      <c r="AX973" s="65" t="n"/>
      <c r="AY973" s="65" t="n"/>
      <c r="AZ973" s="65" t="n"/>
      <c r="BA973" s="65" t="n"/>
      <c r="BB973" s="65" t="n"/>
      <c r="BC973" s="65" t="n"/>
      <c r="BD973" s="65" t="n"/>
      <c r="BE973" s="65" t="n"/>
      <c r="BF973" s="65" t="n"/>
      <c r="BG973" s="65" t="n"/>
    </row>
    <row r="974">
      <c r="F974" s="68" t="n"/>
      <c r="G974" s="68">
        <f>IF(B974="","",F974-I974 )</f>
        <v/>
      </c>
      <c r="H974" s="5">
        <f>IF(G974="","",G974/F974)</f>
        <v/>
      </c>
      <c r="I974" s="62">
        <f>SUM(テーブル9[[#This Row],[五大]:[工場材]])</f>
        <v/>
      </c>
      <c r="J974" s="65" t="n"/>
      <c r="K974" s="65" t="n"/>
      <c r="L974" s="65" t="n"/>
      <c r="M974" s="65" t="n"/>
      <c r="N974" s="65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6" t="n"/>
      <c r="Y974" s="65" t="n"/>
      <c r="Z974" s="65" t="n"/>
      <c r="AA974" s="65" t="n"/>
      <c r="AB974" s="65" t="n"/>
      <c r="AC974" s="65" t="n"/>
      <c r="AD974" s="65" t="n"/>
      <c r="AE974" s="65" t="n"/>
      <c r="AF974" s="65" t="n"/>
      <c r="AG974" s="65" t="n"/>
      <c r="AH974" s="65" t="n"/>
      <c r="AI974" s="65" t="n"/>
      <c r="AJ974" s="65" t="n"/>
      <c r="AK974" s="65" t="n"/>
      <c r="AL974" s="65" t="n"/>
      <c r="AM974" s="65" t="n"/>
      <c r="AN974" s="65" t="n"/>
      <c r="AO974" s="65" t="n"/>
      <c r="AP974" s="65" t="n"/>
      <c r="AQ974" s="65" t="n"/>
      <c r="AR974" s="65" t="n"/>
      <c r="AS974" s="65" t="n"/>
      <c r="AT974" s="65" t="n"/>
      <c r="AU974" s="65" t="n"/>
      <c r="AV974" s="65" t="n"/>
      <c r="AW974" s="65" t="n"/>
      <c r="AX974" s="65" t="n"/>
      <c r="AY974" s="65" t="n"/>
      <c r="AZ974" s="65" t="n"/>
      <c r="BA974" s="65" t="n"/>
      <c r="BB974" s="65" t="n"/>
      <c r="BC974" s="65" t="n"/>
      <c r="BD974" s="65" t="n"/>
      <c r="BE974" s="65" t="n"/>
      <c r="BF974" s="65" t="n"/>
      <c r="BG974" s="65" t="n"/>
    </row>
    <row r="975">
      <c r="F975" s="68" t="n"/>
      <c r="G975" s="68">
        <f>IF(B975="","",F975-I975 )</f>
        <v/>
      </c>
      <c r="H975" s="5">
        <f>IF(G975="","",G975/F975)</f>
        <v/>
      </c>
      <c r="I975" s="62">
        <f>SUM(テーブル9[[#This Row],[五大]:[工場材]])</f>
        <v/>
      </c>
      <c r="J975" s="65" t="n"/>
      <c r="K975" s="65" t="n"/>
      <c r="L975" s="65" t="n"/>
      <c r="M975" s="65" t="n"/>
      <c r="N975" s="65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6" t="n"/>
      <c r="Y975" s="65" t="n"/>
      <c r="Z975" s="65" t="n"/>
      <c r="AA975" s="65" t="n"/>
      <c r="AB975" s="65" t="n"/>
      <c r="AC975" s="65" t="n"/>
      <c r="AD975" s="65" t="n"/>
      <c r="AE975" s="65" t="n"/>
      <c r="AF975" s="65" t="n"/>
      <c r="AG975" s="65" t="n"/>
      <c r="AH975" s="65" t="n"/>
      <c r="AI975" s="65" t="n"/>
      <c r="AJ975" s="65" t="n"/>
      <c r="AK975" s="65" t="n"/>
      <c r="AL975" s="65" t="n"/>
      <c r="AM975" s="65" t="n"/>
      <c r="AN975" s="65" t="n"/>
      <c r="AO975" s="65" t="n"/>
      <c r="AP975" s="65" t="n"/>
      <c r="AQ975" s="65" t="n"/>
      <c r="AR975" s="65" t="n"/>
      <c r="AS975" s="65" t="n"/>
      <c r="AT975" s="65" t="n"/>
      <c r="AU975" s="65" t="n"/>
      <c r="AV975" s="65" t="n"/>
      <c r="AW975" s="65" t="n"/>
      <c r="AX975" s="65" t="n"/>
      <c r="AY975" s="65" t="n"/>
      <c r="AZ975" s="65" t="n"/>
      <c r="BA975" s="65" t="n"/>
      <c r="BB975" s="65" t="n"/>
      <c r="BC975" s="65" t="n"/>
      <c r="BD975" s="65" t="n"/>
      <c r="BE975" s="65" t="n"/>
      <c r="BF975" s="65" t="n"/>
      <c r="BG975" s="65" t="n"/>
    </row>
    <row r="976">
      <c r="F976" s="68" t="n"/>
      <c r="G976" s="68">
        <f>IF(B976="","",F976-I976 )</f>
        <v/>
      </c>
      <c r="H976" s="5">
        <f>IF(G976="","",G976/F976)</f>
        <v/>
      </c>
      <c r="I976" s="62">
        <f>SUM(テーブル9[[#This Row],[五大]:[工場材]])</f>
        <v/>
      </c>
      <c r="J976" s="65" t="n"/>
      <c r="K976" s="65" t="n"/>
      <c r="L976" s="65" t="n"/>
      <c r="M976" s="65" t="n"/>
      <c r="N976" s="65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6" t="n"/>
      <c r="Y976" s="65" t="n"/>
      <c r="Z976" s="65" t="n"/>
      <c r="AA976" s="65" t="n"/>
      <c r="AB976" s="65" t="n"/>
      <c r="AC976" s="65" t="n"/>
      <c r="AD976" s="65" t="n"/>
      <c r="AE976" s="65" t="n"/>
      <c r="AF976" s="65" t="n"/>
      <c r="AG976" s="65" t="n"/>
      <c r="AH976" s="65" t="n"/>
      <c r="AI976" s="65" t="n"/>
      <c r="AJ976" s="65" t="n"/>
      <c r="AK976" s="65" t="n"/>
      <c r="AL976" s="65" t="n"/>
      <c r="AM976" s="65" t="n"/>
      <c r="AN976" s="65" t="n"/>
      <c r="AO976" s="65" t="n"/>
      <c r="AP976" s="65" t="n"/>
      <c r="AQ976" s="65" t="n"/>
      <c r="AR976" s="65" t="n"/>
      <c r="AS976" s="65" t="n"/>
      <c r="AT976" s="65" t="n"/>
      <c r="AU976" s="65" t="n"/>
      <c r="AV976" s="65" t="n"/>
      <c r="AW976" s="65" t="n"/>
      <c r="AX976" s="65" t="n"/>
      <c r="AY976" s="65" t="n"/>
      <c r="AZ976" s="65" t="n"/>
      <c r="BA976" s="65" t="n"/>
      <c r="BB976" s="65" t="n"/>
      <c r="BC976" s="65" t="n"/>
      <c r="BD976" s="65" t="n"/>
      <c r="BE976" s="65" t="n"/>
      <c r="BF976" s="65" t="n"/>
      <c r="BG976" s="65" t="n"/>
    </row>
    <row r="977">
      <c r="F977" s="68" t="n"/>
      <c r="G977" s="68">
        <f>IF(B977="","",F977-I977 )</f>
        <v/>
      </c>
      <c r="H977" s="5">
        <f>IF(G977="","",G977/F977)</f>
        <v/>
      </c>
      <c r="I977" s="62">
        <f>SUM(テーブル9[[#This Row],[五大]:[工場材]])</f>
        <v/>
      </c>
      <c r="J977" s="65" t="n"/>
      <c r="K977" s="65" t="n"/>
      <c r="L977" s="65" t="n"/>
      <c r="M977" s="65" t="n"/>
      <c r="N977" s="65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6" t="n"/>
      <c r="Y977" s="65" t="n"/>
      <c r="Z977" s="65" t="n"/>
      <c r="AA977" s="65" t="n"/>
      <c r="AB977" s="65" t="n"/>
      <c r="AC977" s="65" t="n"/>
      <c r="AD977" s="65" t="n"/>
      <c r="AE977" s="65" t="n"/>
      <c r="AF977" s="65" t="n"/>
      <c r="AG977" s="65" t="n"/>
      <c r="AH977" s="65" t="n"/>
      <c r="AI977" s="65" t="n"/>
      <c r="AJ977" s="65" t="n"/>
      <c r="AK977" s="65" t="n"/>
      <c r="AL977" s="65" t="n"/>
      <c r="AM977" s="65" t="n"/>
      <c r="AN977" s="65" t="n"/>
      <c r="AO977" s="65" t="n"/>
      <c r="AP977" s="65" t="n"/>
      <c r="AQ977" s="65" t="n"/>
      <c r="AR977" s="65" t="n"/>
      <c r="AS977" s="65" t="n"/>
      <c r="AT977" s="65" t="n"/>
      <c r="AU977" s="65" t="n"/>
      <c r="AV977" s="65" t="n"/>
      <c r="AW977" s="65" t="n"/>
      <c r="AX977" s="65" t="n"/>
      <c r="AY977" s="65" t="n"/>
      <c r="AZ977" s="65" t="n"/>
      <c r="BA977" s="65" t="n"/>
      <c r="BB977" s="65" t="n"/>
      <c r="BC977" s="65" t="n"/>
      <c r="BD977" s="65" t="n"/>
      <c r="BE977" s="65" t="n"/>
      <c r="BF977" s="65" t="n"/>
      <c r="BG977" s="65" t="n"/>
    </row>
    <row r="978">
      <c r="F978" s="68" t="n"/>
      <c r="G978" s="68">
        <f>IF(B978="","",F978-I978 )</f>
        <v/>
      </c>
      <c r="H978" s="5">
        <f>IF(G978="","",G978/F978)</f>
        <v/>
      </c>
      <c r="I978" s="62">
        <f>SUM(テーブル9[[#This Row],[五大]:[工場材]])</f>
        <v/>
      </c>
      <c r="J978" s="65" t="n"/>
      <c r="K978" s="65" t="n"/>
      <c r="L978" s="65" t="n"/>
      <c r="M978" s="65" t="n"/>
      <c r="N978" s="65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6" t="n"/>
      <c r="Y978" s="65" t="n"/>
      <c r="Z978" s="65" t="n"/>
      <c r="AA978" s="65" t="n"/>
      <c r="AB978" s="65" t="n"/>
      <c r="AC978" s="65" t="n"/>
      <c r="AD978" s="65" t="n"/>
      <c r="AE978" s="65" t="n"/>
      <c r="AF978" s="65" t="n"/>
      <c r="AG978" s="65" t="n"/>
      <c r="AH978" s="65" t="n"/>
      <c r="AI978" s="65" t="n"/>
      <c r="AJ978" s="65" t="n"/>
      <c r="AK978" s="65" t="n"/>
      <c r="AL978" s="65" t="n"/>
      <c r="AM978" s="65" t="n"/>
      <c r="AN978" s="65" t="n"/>
      <c r="AO978" s="65" t="n"/>
      <c r="AP978" s="65" t="n"/>
      <c r="AQ978" s="65" t="n"/>
      <c r="AR978" s="65" t="n"/>
      <c r="AS978" s="65" t="n"/>
      <c r="AT978" s="65" t="n"/>
      <c r="AU978" s="65" t="n"/>
      <c r="AV978" s="65" t="n"/>
      <c r="AW978" s="65" t="n"/>
      <c r="AX978" s="65" t="n"/>
      <c r="AY978" s="65" t="n"/>
      <c r="AZ978" s="65" t="n"/>
      <c r="BA978" s="65" t="n"/>
      <c r="BB978" s="65" t="n"/>
      <c r="BC978" s="65" t="n"/>
      <c r="BD978" s="65" t="n"/>
      <c r="BE978" s="65" t="n"/>
      <c r="BF978" s="65" t="n"/>
      <c r="BG978" s="65" t="n"/>
    </row>
    <row r="979">
      <c r="F979" s="68" t="n"/>
      <c r="G979" s="68">
        <f>IF(B979="","",F979-I979 )</f>
        <v/>
      </c>
      <c r="H979" s="5">
        <f>IF(G979="","",G979/F979)</f>
        <v/>
      </c>
      <c r="I979" s="62">
        <f>SUM(テーブル9[[#This Row],[五大]:[工場材]])</f>
        <v/>
      </c>
      <c r="J979" s="65" t="n"/>
      <c r="K979" s="65" t="n"/>
      <c r="L979" s="65" t="n"/>
      <c r="M979" s="65" t="n"/>
      <c r="N979" s="65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6" t="n"/>
      <c r="Y979" s="65" t="n"/>
      <c r="Z979" s="65" t="n"/>
      <c r="AA979" s="65" t="n"/>
      <c r="AB979" s="65" t="n"/>
      <c r="AC979" s="65" t="n"/>
      <c r="AD979" s="65" t="n"/>
      <c r="AE979" s="65" t="n"/>
      <c r="AF979" s="65" t="n"/>
      <c r="AG979" s="65" t="n"/>
      <c r="AH979" s="65" t="n"/>
      <c r="AI979" s="65" t="n"/>
      <c r="AJ979" s="65" t="n"/>
      <c r="AK979" s="65" t="n"/>
      <c r="AL979" s="65" t="n"/>
      <c r="AM979" s="65" t="n"/>
      <c r="AN979" s="65" t="n"/>
      <c r="AO979" s="65" t="n"/>
      <c r="AP979" s="65" t="n"/>
      <c r="AQ979" s="65" t="n"/>
      <c r="AR979" s="65" t="n"/>
      <c r="AS979" s="65" t="n"/>
      <c r="AT979" s="65" t="n"/>
      <c r="AU979" s="65" t="n"/>
      <c r="AV979" s="65" t="n"/>
      <c r="AW979" s="65" t="n"/>
      <c r="AX979" s="65" t="n"/>
      <c r="AY979" s="65" t="n"/>
      <c r="AZ979" s="65" t="n"/>
      <c r="BA979" s="65" t="n"/>
      <c r="BB979" s="65" t="n"/>
      <c r="BC979" s="65" t="n"/>
      <c r="BD979" s="65" t="n"/>
      <c r="BE979" s="65" t="n"/>
      <c r="BF979" s="65" t="n"/>
      <c r="BG979" s="65" t="n"/>
    </row>
    <row r="980">
      <c r="F980" s="68" t="n"/>
      <c r="G980" s="68">
        <f>IF(B980="","",F980-I980 )</f>
        <v/>
      </c>
      <c r="H980" s="5">
        <f>IF(G980="","",G980/F980)</f>
        <v/>
      </c>
      <c r="I980" s="62">
        <f>SUM(テーブル9[[#This Row],[五大]:[工場材]])</f>
        <v/>
      </c>
      <c r="J980" s="65" t="n"/>
      <c r="K980" s="65" t="n"/>
      <c r="L980" s="65" t="n"/>
      <c r="M980" s="65" t="n"/>
      <c r="N980" s="65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6" t="n"/>
      <c r="Y980" s="65" t="n"/>
      <c r="Z980" s="65" t="n"/>
      <c r="AA980" s="65" t="n"/>
      <c r="AB980" s="65" t="n"/>
      <c r="AC980" s="65" t="n"/>
      <c r="AD980" s="65" t="n"/>
      <c r="AE980" s="65" t="n"/>
      <c r="AF980" s="65" t="n"/>
      <c r="AG980" s="65" t="n"/>
      <c r="AH980" s="65" t="n"/>
      <c r="AI980" s="65" t="n"/>
      <c r="AJ980" s="65" t="n"/>
      <c r="AK980" s="65" t="n"/>
      <c r="AL980" s="65" t="n"/>
      <c r="AM980" s="65" t="n"/>
      <c r="AN980" s="65" t="n"/>
      <c r="AO980" s="65" t="n"/>
      <c r="AP980" s="65" t="n"/>
      <c r="AQ980" s="65" t="n"/>
      <c r="AR980" s="65" t="n"/>
      <c r="AS980" s="65" t="n"/>
      <c r="AT980" s="65" t="n"/>
      <c r="AU980" s="65" t="n"/>
      <c r="AV980" s="65" t="n"/>
      <c r="AW980" s="65" t="n"/>
      <c r="AX980" s="65" t="n"/>
      <c r="AY980" s="65" t="n"/>
      <c r="AZ980" s="65" t="n"/>
      <c r="BA980" s="65" t="n"/>
      <c r="BB980" s="65" t="n"/>
      <c r="BC980" s="65" t="n"/>
      <c r="BD980" s="65" t="n"/>
      <c r="BE980" s="65" t="n"/>
      <c r="BF980" s="65" t="n"/>
      <c r="BG980" s="65" t="n"/>
    </row>
    <row r="981">
      <c r="F981" s="68" t="n"/>
      <c r="G981" s="68">
        <f>IF(B981="","",F981-I981 )</f>
        <v/>
      </c>
      <c r="H981" s="5">
        <f>IF(G981="","",G981/F981)</f>
        <v/>
      </c>
      <c r="I981" s="62">
        <f>SUM(テーブル9[[#This Row],[五大]:[工場材]])</f>
        <v/>
      </c>
      <c r="J981" s="65" t="n"/>
      <c r="K981" s="65" t="n"/>
      <c r="L981" s="65" t="n"/>
      <c r="M981" s="65" t="n"/>
      <c r="N981" s="65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6" t="n"/>
      <c r="Y981" s="65" t="n"/>
      <c r="Z981" s="65" t="n"/>
      <c r="AA981" s="65" t="n"/>
      <c r="AB981" s="65" t="n"/>
      <c r="AC981" s="65" t="n"/>
      <c r="AD981" s="65" t="n"/>
      <c r="AE981" s="65" t="n"/>
      <c r="AF981" s="65" t="n"/>
      <c r="AG981" s="65" t="n"/>
      <c r="AH981" s="65" t="n"/>
      <c r="AI981" s="65" t="n"/>
      <c r="AJ981" s="65" t="n"/>
      <c r="AK981" s="65" t="n"/>
      <c r="AL981" s="65" t="n"/>
      <c r="AM981" s="65" t="n"/>
      <c r="AN981" s="65" t="n"/>
      <c r="AO981" s="65" t="n"/>
      <c r="AP981" s="65" t="n"/>
      <c r="AQ981" s="65" t="n"/>
      <c r="AR981" s="65" t="n"/>
      <c r="AS981" s="65" t="n"/>
      <c r="AT981" s="65" t="n"/>
      <c r="AU981" s="65" t="n"/>
      <c r="AV981" s="65" t="n"/>
      <c r="AW981" s="65" t="n"/>
      <c r="AX981" s="65" t="n"/>
      <c r="AY981" s="65" t="n"/>
      <c r="AZ981" s="65" t="n"/>
      <c r="BA981" s="65" t="n"/>
      <c r="BB981" s="65" t="n"/>
      <c r="BC981" s="65" t="n"/>
      <c r="BD981" s="65" t="n"/>
      <c r="BE981" s="65" t="n"/>
      <c r="BF981" s="65" t="n"/>
      <c r="BG981" s="65" t="n"/>
    </row>
    <row r="982">
      <c r="F982" s="68" t="n"/>
      <c r="G982" s="68">
        <f>IF(B982="","",F982-I982 )</f>
        <v/>
      </c>
      <c r="H982" s="5">
        <f>IF(G982="","",G982/F982)</f>
        <v/>
      </c>
      <c r="I982" s="62">
        <f>SUM(テーブル9[[#This Row],[五大]:[工場材]])</f>
        <v/>
      </c>
      <c r="J982" s="65" t="n"/>
      <c r="K982" s="65" t="n"/>
      <c r="L982" s="65" t="n"/>
      <c r="M982" s="65" t="n"/>
      <c r="N982" s="65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6" t="n"/>
      <c r="Y982" s="65" t="n"/>
      <c r="Z982" s="65" t="n"/>
      <c r="AA982" s="65" t="n"/>
      <c r="AB982" s="65" t="n"/>
      <c r="AC982" s="65" t="n"/>
      <c r="AD982" s="65" t="n"/>
      <c r="AE982" s="65" t="n"/>
      <c r="AF982" s="65" t="n"/>
      <c r="AG982" s="65" t="n"/>
      <c r="AH982" s="65" t="n"/>
      <c r="AI982" s="65" t="n"/>
      <c r="AJ982" s="65" t="n"/>
      <c r="AK982" s="65" t="n"/>
      <c r="AL982" s="65" t="n"/>
      <c r="AM982" s="65" t="n"/>
      <c r="AN982" s="65" t="n"/>
      <c r="AO982" s="65" t="n"/>
      <c r="AP982" s="65" t="n"/>
      <c r="AQ982" s="65" t="n"/>
      <c r="AR982" s="65" t="n"/>
      <c r="AS982" s="65" t="n"/>
      <c r="AT982" s="65" t="n"/>
      <c r="AU982" s="65" t="n"/>
      <c r="AV982" s="65" t="n"/>
      <c r="AW982" s="65" t="n"/>
      <c r="AX982" s="65" t="n"/>
      <c r="AY982" s="65" t="n"/>
      <c r="AZ982" s="65" t="n"/>
      <c r="BA982" s="65" t="n"/>
      <c r="BB982" s="65" t="n"/>
      <c r="BC982" s="65" t="n"/>
      <c r="BD982" s="65" t="n"/>
      <c r="BE982" s="65" t="n"/>
      <c r="BF982" s="65" t="n"/>
      <c r="BG982" s="65" t="n"/>
    </row>
    <row r="983">
      <c r="F983" s="68" t="n"/>
      <c r="G983" s="68">
        <f>IF(B983="","",F983-I983 )</f>
        <v/>
      </c>
      <c r="H983" s="5">
        <f>IF(G983="","",G983/F983)</f>
        <v/>
      </c>
      <c r="I983" s="62">
        <f>SUM(テーブル9[[#This Row],[五大]:[工場材]])</f>
        <v/>
      </c>
      <c r="J983" s="65" t="n"/>
      <c r="K983" s="65" t="n"/>
      <c r="L983" s="65" t="n"/>
      <c r="M983" s="65" t="n"/>
      <c r="N983" s="65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6" t="n"/>
      <c r="Y983" s="65" t="n"/>
      <c r="Z983" s="65" t="n"/>
      <c r="AA983" s="65" t="n"/>
      <c r="AB983" s="65" t="n"/>
      <c r="AC983" s="65" t="n"/>
      <c r="AD983" s="65" t="n"/>
      <c r="AE983" s="65" t="n"/>
      <c r="AF983" s="65" t="n"/>
      <c r="AG983" s="65" t="n"/>
      <c r="AH983" s="65" t="n"/>
      <c r="AI983" s="65" t="n"/>
      <c r="AJ983" s="65" t="n"/>
      <c r="AK983" s="65" t="n"/>
      <c r="AL983" s="65" t="n"/>
      <c r="AM983" s="65" t="n"/>
      <c r="AN983" s="65" t="n"/>
      <c r="AO983" s="65" t="n"/>
      <c r="AP983" s="65" t="n"/>
      <c r="AQ983" s="65" t="n"/>
      <c r="AR983" s="65" t="n"/>
      <c r="AS983" s="65" t="n"/>
      <c r="AT983" s="65" t="n"/>
      <c r="AU983" s="65" t="n"/>
      <c r="AV983" s="65" t="n"/>
      <c r="AW983" s="65" t="n"/>
      <c r="AX983" s="65" t="n"/>
      <c r="AY983" s="65" t="n"/>
      <c r="AZ983" s="65" t="n"/>
      <c r="BA983" s="65" t="n"/>
      <c r="BB983" s="65" t="n"/>
      <c r="BC983" s="65" t="n"/>
      <c r="BD983" s="65" t="n"/>
      <c r="BE983" s="65" t="n"/>
      <c r="BF983" s="65" t="n"/>
      <c r="BG983" s="65" t="n"/>
    </row>
    <row r="984">
      <c r="F984" s="68" t="n"/>
      <c r="G984" s="68">
        <f>IF(B984="","",F984-I984 )</f>
        <v/>
      </c>
      <c r="H984" s="5">
        <f>IF(G984="","",G984/F984)</f>
        <v/>
      </c>
      <c r="I984" s="62">
        <f>SUM(テーブル9[[#This Row],[五大]:[工場材]])</f>
        <v/>
      </c>
      <c r="J984" s="65" t="n"/>
      <c r="K984" s="65" t="n"/>
      <c r="L984" s="65" t="n"/>
      <c r="M984" s="65" t="n"/>
      <c r="N984" s="65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6" t="n"/>
      <c r="Y984" s="65" t="n"/>
      <c r="Z984" s="65" t="n"/>
      <c r="AA984" s="65" t="n"/>
      <c r="AB984" s="65" t="n"/>
      <c r="AC984" s="65" t="n"/>
      <c r="AD984" s="65" t="n"/>
      <c r="AE984" s="65" t="n"/>
      <c r="AF984" s="65" t="n"/>
      <c r="AG984" s="65" t="n"/>
      <c r="AH984" s="65" t="n"/>
      <c r="AI984" s="65" t="n"/>
      <c r="AJ984" s="65" t="n"/>
      <c r="AK984" s="65" t="n"/>
      <c r="AL984" s="65" t="n"/>
      <c r="AM984" s="65" t="n"/>
      <c r="AN984" s="65" t="n"/>
      <c r="AO984" s="65" t="n"/>
      <c r="AP984" s="65" t="n"/>
      <c r="AQ984" s="65" t="n"/>
      <c r="AR984" s="65" t="n"/>
      <c r="AS984" s="65" t="n"/>
      <c r="AT984" s="65" t="n"/>
      <c r="AU984" s="65" t="n"/>
      <c r="AV984" s="65" t="n"/>
      <c r="AW984" s="65" t="n"/>
      <c r="AX984" s="65" t="n"/>
      <c r="AY984" s="65" t="n"/>
      <c r="AZ984" s="65" t="n"/>
      <c r="BA984" s="65" t="n"/>
      <c r="BB984" s="65" t="n"/>
      <c r="BC984" s="65" t="n"/>
      <c r="BD984" s="65" t="n"/>
      <c r="BE984" s="65" t="n"/>
      <c r="BF984" s="65" t="n"/>
      <c r="BG984" s="65" t="n"/>
    </row>
    <row r="985">
      <c r="F985" s="68" t="n"/>
      <c r="G985" s="68">
        <f>IF(B985="","",F985-I985 )</f>
        <v/>
      </c>
      <c r="H985" s="5">
        <f>IF(G985="","",G985/F985)</f>
        <v/>
      </c>
      <c r="I985" s="62">
        <f>SUM(テーブル9[[#This Row],[五大]:[工場材]])</f>
        <v/>
      </c>
      <c r="J985" s="65" t="n"/>
      <c r="K985" s="65" t="n"/>
      <c r="L985" s="65" t="n"/>
      <c r="M985" s="65" t="n"/>
      <c r="N985" s="65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6" t="n"/>
      <c r="Y985" s="65" t="n"/>
      <c r="Z985" s="65" t="n"/>
      <c r="AA985" s="65" t="n"/>
      <c r="AB985" s="65" t="n"/>
      <c r="AC985" s="65" t="n"/>
      <c r="AD985" s="65" t="n"/>
      <c r="AE985" s="65" t="n"/>
      <c r="AF985" s="65" t="n"/>
      <c r="AG985" s="65" t="n"/>
      <c r="AH985" s="65" t="n"/>
      <c r="AI985" s="65" t="n"/>
      <c r="AJ985" s="65" t="n"/>
      <c r="AK985" s="65" t="n"/>
      <c r="AL985" s="65" t="n"/>
      <c r="AM985" s="65" t="n"/>
      <c r="AN985" s="65" t="n"/>
      <c r="AO985" s="65" t="n"/>
      <c r="AP985" s="65" t="n"/>
      <c r="AQ985" s="65" t="n"/>
      <c r="AR985" s="65" t="n"/>
      <c r="AS985" s="65" t="n"/>
      <c r="AT985" s="65" t="n"/>
      <c r="AU985" s="65" t="n"/>
      <c r="AV985" s="65" t="n"/>
      <c r="AW985" s="65" t="n"/>
      <c r="AX985" s="65" t="n"/>
      <c r="AY985" s="65" t="n"/>
      <c r="AZ985" s="65" t="n"/>
      <c r="BA985" s="65" t="n"/>
      <c r="BB985" s="65" t="n"/>
      <c r="BC985" s="65" t="n"/>
      <c r="BD985" s="65" t="n"/>
      <c r="BE985" s="65" t="n"/>
      <c r="BF985" s="65" t="n"/>
      <c r="BG985" s="65" t="n"/>
    </row>
    <row r="986">
      <c r="F986" s="68" t="n"/>
      <c r="G986" s="68">
        <f>IF(B986="","",F986-I986 )</f>
        <v/>
      </c>
      <c r="H986" s="5">
        <f>IF(G986="","",G986/F986)</f>
        <v/>
      </c>
      <c r="I986" s="62">
        <f>SUM(テーブル9[[#This Row],[五大]:[工場材]])</f>
        <v/>
      </c>
      <c r="J986" s="65" t="n"/>
      <c r="K986" s="65" t="n"/>
      <c r="L986" s="65" t="n"/>
      <c r="M986" s="65" t="n"/>
      <c r="N986" s="65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6" t="n"/>
      <c r="Y986" s="65" t="n"/>
      <c r="Z986" s="65" t="n"/>
      <c r="AA986" s="65" t="n"/>
      <c r="AB986" s="65" t="n"/>
      <c r="AC986" s="65" t="n"/>
      <c r="AD986" s="65" t="n"/>
      <c r="AE986" s="65" t="n"/>
      <c r="AF986" s="65" t="n"/>
      <c r="AG986" s="65" t="n"/>
      <c r="AH986" s="65" t="n"/>
      <c r="AI986" s="65" t="n"/>
      <c r="AJ986" s="65" t="n"/>
      <c r="AK986" s="65" t="n"/>
      <c r="AL986" s="65" t="n"/>
      <c r="AM986" s="65" t="n"/>
      <c r="AN986" s="65" t="n"/>
      <c r="AO986" s="65" t="n"/>
      <c r="AP986" s="65" t="n"/>
      <c r="AQ986" s="65" t="n"/>
      <c r="AR986" s="65" t="n"/>
      <c r="AS986" s="65" t="n"/>
      <c r="AT986" s="65" t="n"/>
      <c r="AU986" s="65" t="n"/>
      <c r="AV986" s="65" t="n"/>
      <c r="AW986" s="65" t="n"/>
      <c r="AX986" s="65" t="n"/>
      <c r="AY986" s="65" t="n"/>
      <c r="AZ986" s="65" t="n"/>
      <c r="BA986" s="65" t="n"/>
      <c r="BB986" s="65" t="n"/>
      <c r="BC986" s="65" t="n"/>
      <c r="BD986" s="65" t="n"/>
      <c r="BE986" s="65" t="n"/>
      <c r="BF986" s="65" t="n"/>
      <c r="BG986" s="65" t="n"/>
    </row>
    <row r="987">
      <c r="F987" s="68" t="n"/>
      <c r="G987" s="68">
        <f>IF(B987="","",F987-I987 )</f>
        <v/>
      </c>
      <c r="H987" s="5">
        <f>IF(G987="","",G987/F987)</f>
        <v/>
      </c>
      <c r="I987" s="62">
        <f>SUM(テーブル9[[#This Row],[五大]:[工場材]])</f>
        <v/>
      </c>
      <c r="J987" s="65" t="n"/>
      <c r="K987" s="65" t="n"/>
      <c r="L987" s="65" t="n"/>
      <c r="M987" s="65" t="n"/>
      <c r="N987" s="65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6" t="n"/>
      <c r="Y987" s="65" t="n"/>
      <c r="Z987" s="65" t="n"/>
      <c r="AA987" s="65" t="n"/>
      <c r="AB987" s="65" t="n"/>
      <c r="AC987" s="65" t="n"/>
      <c r="AD987" s="65" t="n"/>
      <c r="AE987" s="65" t="n"/>
      <c r="AF987" s="65" t="n"/>
      <c r="AG987" s="65" t="n"/>
      <c r="AH987" s="65" t="n"/>
      <c r="AI987" s="65" t="n"/>
      <c r="AJ987" s="65" t="n"/>
      <c r="AK987" s="65" t="n"/>
      <c r="AL987" s="65" t="n"/>
      <c r="AM987" s="65" t="n"/>
      <c r="AN987" s="65" t="n"/>
      <c r="AO987" s="65" t="n"/>
      <c r="AP987" s="65" t="n"/>
      <c r="AQ987" s="65" t="n"/>
      <c r="AR987" s="65" t="n"/>
      <c r="AS987" s="65" t="n"/>
      <c r="AT987" s="65" t="n"/>
      <c r="AU987" s="65" t="n"/>
      <c r="AV987" s="65" t="n"/>
      <c r="AW987" s="65" t="n"/>
      <c r="AX987" s="65" t="n"/>
      <c r="AY987" s="65" t="n"/>
      <c r="AZ987" s="65" t="n"/>
      <c r="BA987" s="65" t="n"/>
      <c r="BB987" s="65" t="n"/>
      <c r="BC987" s="65" t="n"/>
      <c r="BD987" s="65" t="n"/>
      <c r="BE987" s="65" t="n"/>
      <c r="BF987" s="65" t="n"/>
      <c r="BG987" s="65" t="n"/>
    </row>
    <row r="988">
      <c r="F988" s="68" t="n"/>
      <c r="G988" s="68">
        <f>IF(B988="","",F988-I988 )</f>
        <v/>
      </c>
      <c r="H988" s="5">
        <f>IF(G988="","",G988/F988)</f>
        <v/>
      </c>
      <c r="I988" s="62">
        <f>SUM(テーブル9[[#This Row],[五大]:[工場材]])</f>
        <v/>
      </c>
      <c r="J988" s="65" t="n"/>
      <c r="K988" s="65" t="n"/>
      <c r="L988" s="65" t="n"/>
      <c r="M988" s="65" t="n"/>
      <c r="N988" s="65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6" t="n"/>
      <c r="Y988" s="65" t="n"/>
      <c r="Z988" s="65" t="n"/>
      <c r="AA988" s="65" t="n"/>
      <c r="AB988" s="65" t="n"/>
      <c r="AC988" s="65" t="n"/>
      <c r="AD988" s="65" t="n"/>
      <c r="AE988" s="65" t="n"/>
      <c r="AF988" s="65" t="n"/>
      <c r="AG988" s="65" t="n"/>
      <c r="AH988" s="65" t="n"/>
      <c r="AI988" s="65" t="n"/>
      <c r="AJ988" s="65" t="n"/>
      <c r="AK988" s="65" t="n"/>
      <c r="AL988" s="65" t="n"/>
      <c r="AM988" s="65" t="n"/>
      <c r="AN988" s="65" t="n"/>
      <c r="AO988" s="65" t="n"/>
      <c r="AP988" s="65" t="n"/>
      <c r="AQ988" s="65" t="n"/>
      <c r="AR988" s="65" t="n"/>
      <c r="AS988" s="65" t="n"/>
      <c r="AT988" s="65" t="n"/>
      <c r="AU988" s="65" t="n"/>
      <c r="AV988" s="65" t="n"/>
      <c r="AW988" s="65" t="n"/>
      <c r="AX988" s="65" t="n"/>
      <c r="AY988" s="65" t="n"/>
      <c r="AZ988" s="65" t="n"/>
      <c r="BA988" s="65" t="n"/>
      <c r="BB988" s="65" t="n"/>
      <c r="BC988" s="65" t="n"/>
      <c r="BD988" s="65" t="n"/>
      <c r="BE988" s="65" t="n"/>
      <c r="BF988" s="65" t="n"/>
      <c r="BG988" s="65" t="n"/>
    </row>
    <row r="989">
      <c r="F989" s="68" t="n"/>
      <c r="G989" s="68">
        <f>IF(B989="","",F989-I989 )</f>
        <v/>
      </c>
      <c r="H989" s="5">
        <f>IF(G989="","",G989/F989)</f>
        <v/>
      </c>
      <c r="I989" s="62">
        <f>SUM(テーブル9[[#This Row],[五大]:[工場材]])</f>
        <v/>
      </c>
      <c r="J989" s="65" t="n"/>
      <c r="K989" s="65" t="n"/>
      <c r="L989" s="65" t="n"/>
      <c r="M989" s="65" t="n"/>
      <c r="N989" s="65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6" t="n"/>
      <c r="Y989" s="65" t="n"/>
      <c r="Z989" s="65" t="n"/>
      <c r="AA989" s="65" t="n"/>
      <c r="AB989" s="65" t="n"/>
      <c r="AC989" s="65" t="n"/>
      <c r="AD989" s="65" t="n"/>
      <c r="AE989" s="65" t="n"/>
      <c r="AF989" s="65" t="n"/>
      <c r="AG989" s="65" t="n"/>
      <c r="AH989" s="65" t="n"/>
      <c r="AI989" s="65" t="n"/>
      <c r="AJ989" s="65" t="n"/>
      <c r="AK989" s="65" t="n"/>
      <c r="AL989" s="65" t="n"/>
      <c r="AM989" s="65" t="n"/>
      <c r="AN989" s="65" t="n"/>
      <c r="AO989" s="65" t="n"/>
      <c r="AP989" s="65" t="n"/>
      <c r="AQ989" s="65" t="n"/>
      <c r="AR989" s="65" t="n"/>
      <c r="AS989" s="65" t="n"/>
      <c r="AT989" s="65" t="n"/>
      <c r="AU989" s="65" t="n"/>
      <c r="AV989" s="65" t="n"/>
      <c r="AW989" s="65" t="n"/>
      <c r="AX989" s="65" t="n"/>
      <c r="AY989" s="65" t="n"/>
      <c r="AZ989" s="65" t="n"/>
      <c r="BA989" s="65" t="n"/>
      <c r="BB989" s="65" t="n"/>
      <c r="BC989" s="65" t="n"/>
      <c r="BD989" s="65" t="n"/>
      <c r="BE989" s="65" t="n"/>
      <c r="BF989" s="65" t="n"/>
      <c r="BG989" s="65" t="n"/>
    </row>
    <row r="990">
      <c r="F990" s="68" t="n"/>
      <c r="G990" s="68">
        <f>IF(B990="","",F990-I990 )</f>
        <v/>
      </c>
      <c r="H990" s="5">
        <f>IF(G990="","",G990/F990)</f>
        <v/>
      </c>
      <c r="I990" s="62">
        <f>SUM(テーブル9[[#This Row],[五大]:[工場材]])</f>
        <v/>
      </c>
      <c r="J990" s="65" t="n"/>
      <c r="K990" s="65" t="n"/>
      <c r="L990" s="65" t="n"/>
      <c r="M990" s="65" t="n"/>
      <c r="N990" s="65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6" t="n"/>
      <c r="Y990" s="65" t="n"/>
      <c r="Z990" s="65" t="n"/>
      <c r="AA990" s="65" t="n"/>
      <c r="AB990" s="65" t="n"/>
      <c r="AC990" s="65" t="n"/>
      <c r="AD990" s="65" t="n"/>
      <c r="AE990" s="65" t="n"/>
      <c r="AF990" s="65" t="n"/>
      <c r="AG990" s="65" t="n"/>
      <c r="AH990" s="65" t="n"/>
      <c r="AI990" s="65" t="n"/>
      <c r="AJ990" s="65" t="n"/>
      <c r="AK990" s="65" t="n"/>
      <c r="AL990" s="65" t="n"/>
      <c r="AM990" s="65" t="n"/>
      <c r="AN990" s="65" t="n"/>
      <c r="AO990" s="65" t="n"/>
      <c r="AP990" s="65" t="n"/>
      <c r="AQ990" s="65" t="n"/>
      <c r="AR990" s="65" t="n"/>
      <c r="AS990" s="65" t="n"/>
      <c r="AT990" s="65" t="n"/>
      <c r="AU990" s="65" t="n"/>
      <c r="AV990" s="65" t="n"/>
      <c r="AW990" s="65" t="n"/>
      <c r="AX990" s="65" t="n"/>
      <c r="AY990" s="65" t="n"/>
      <c r="AZ990" s="65" t="n"/>
      <c r="BA990" s="65" t="n"/>
      <c r="BB990" s="65" t="n"/>
      <c r="BC990" s="65" t="n"/>
      <c r="BD990" s="65" t="n"/>
      <c r="BE990" s="65" t="n"/>
      <c r="BF990" s="65" t="n"/>
      <c r="BG990" s="65" t="n"/>
    </row>
    <row r="991">
      <c r="F991" s="68" t="n"/>
      <c r="G991" s="68">
        <f>IF(B991="","",F991-I991 )</f>
        <v/>
      </c>
      <c r="H991" s="5">
        <f>IF(G991="","",G991/F991)</f>
        <v/>
      </c>
      <c r="I991" s="62">
        <f>SUM(テーブル9[[#This Row],[五大]:[工場材]])</f>
        <v/>
      </c>
      <c r="J991" s="65" t="n"/>
      <c r="K991" s="65" t="n"/>
      <c r="L991" s="65" t="n"/>
      <c r="M991" s="65" t="n"/>
      <c r="N991" s="65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6" t="n"/>
      <c r="Y991" s="65" t="n"/>
      <c r="Z991" s="65" t="n"/>
      <c r="AA991" s="65" t="n"/>
      <c r="AB991" s="65" t="n"/>
      <c r="AC991" s="65" t="n"/>
      <c r="AD991" s="65" t="n"/>
      <c r="AE991" s="65" t="n"/>
      <c r="AF991" s="65" t="n"/>
      <c r="AG991" s="65" t="n"/>
      <c r="AH991" s="65" t="n"/>
      <c r="AI991" s="65" t="n"/>
      <c r="AJ991" s="65" t="n"/>
      <c r="AK991" s="65" t="n"/>
      <c r="AL991" s="65" t="n"/>
      <c r="AM991" s="65" t="n"/>
      <c r="AN991" s="65" t="n"/>
      <c r="AO991" s="65" t="n"/>
      <c r="AP991" s="65" t="n"/>
      <c r="AQ991" s="65" t="n"/>
      <c r="AR991" s="65" t="n"/>
      <c r="AS991" s="65" t="n"/>
      <c r="AT991" s="65" t="n"/>
      <c r="AU991" s="65" t="n"/>
      <c r="AV991" s="65" t="n"/>
      <c r="AW991" s="65" t="n"/>
      <c r="AX991" s="65" t="n"/>
      <c r="AY991" s="65" t="n"/>
      <c r="AZ991" s="65" t="n"/>
      <c r="BA991" s="65" t="n"/>
      <c r="BB991" s="65" t="n"/>
      <c r="BC991" s="65" t="n"/>
      <c r="BD991" s="65" t="n"/>
      <c r="BE991" s="65" t="n"/>
      <c r="BF991" s="65" t="n"/>
      <c r="BG991" s="65" t="n"/>
    </row>
    <row r="992">
      <c r="F992" s="68" t="n"/>
      <c r="G992" s="68">
        <f>IF(B992="","",F992-I992 )</f>
        <v/>
      </c>
      <c r="H992" s="5">
        <f>IF(G992="","",G992/F992)</f>
        <v/>
      </c>
      <c r="I992" s="62">
        <f>SUM(テーブル9[[#This Row],[五大]:[工場材]])</f>
        <v/>
      </c>
      <c r="J992" s="65" t="n"/>
      <c r="K992" s="65" t="n"/>
      <c r="L992" s="65" t="n"/>
      <c r="M992" s="65" t="n"/>
      <c r="N992" s="65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6" t="n"/>
      <c r="Y992" s="65" t="n"/>
      <c r="Z992" s="65" t="n"/>
      <c r="AA992" s="65" t="n"/>
      <c r="AB992" s="65" t="n"/>
      <c r="AC992" s="65" t="n"/>
      <c r="AD992" s="65" t="n"/>
      <c r="AE992" s="65" t="n"/>
      <c r="AF992" s="65" t="n"/>
      <c r="AG992" s="65" t="n"/>
      <c r="AH992" s="65" t="n"/>
      <c r="AI992" s="65" t="n"/>
      <c r="AJ992" s="65" t="n"/>
      <c r="AK992" s="65" t="n"/>
      <c r="AL992" s="65" t="n"/>
      <c r="AM992" s="65" t="n"/>
      <c r="AN992" s="65" t="n"/>
      <c r="AO992" s="65" t="n"/>
      <c r="AP992" s="65" t="n"/>
      <c r="AQ992" s="65" t="n"/>
      <c r="AR992" s="65" t="n"/>
      <c r="AS992" s="65" t="n"/>
      <c r="AT992" s="65" t="n"/>
      <c r="AU992" s="65" t="n"/>
      <c r="AV992" s="65" t="n"/>
      <c r="AW992" s="65" t="n"/>
      <c r="AX992" s="65" t="n"/>
      <c r="AY992" s="65" t="n"/>
      <c r="AZ992" s="65" t="n"/>
      <c r="BA992" s="65" t="n"/>
      <c r="BB992" s="65" t="n"/>
      <c r="BC992" s="65" t="n"/>
      <c r="BD992" s="65" t="n"/>
      <c r="BE992" s="65" t="n"/>
      <c r="BF992" s="65" t="n"/>
      <c r="BG992" s="65" t="n"/>
    </row>
    <row r="993">
      <c r="F993" s="68" t="n"/>
      <c r="G993" s="68">
        <f>IF(B993="","",F993-I993 )</f>
        <v/>
      </c>
      <c r="H993" s="5">
        <f>IF(G993="","",G993/F993)</f>
        <v/>
      </c>
      <c r="I993" s="62">
        <f>SUM(テーブル9[[#This Row],[五大]:[工場材]])</f>
        <v/>
      </c>
      <c r="J993" s="65" t="n"/>
      <c r="K993" s="65" t="n"/>
      <c r="L993" s="65" t="n"/>
      <c r="M993" s="65" t="n"/>
      <c r="N993" s="65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6" t="n"/>
      <c r="Y993" s="65" t="n"/>
      <c r="Z993" s="65" t="n"/>
      <c r="AA993" s="65" t="n"/>
      <c r="AB993" s="65" t="n"/>
      <c r="AC993" s="65" t="n"/>
      <c r="AD993" s="65" t="n"/>
      <c r="AE993" s="65" t="n"/>
      <c r="AF993" s="65" t="n"/>
      <c r="AG993" s="65" t="n"/>
      <c r="AH993" s="65" t="n"/>
      <c r="AI993" s="65" t="n"/>
      <c r="AJ993" s="65" t="n"/>
      <c r="AK993" s="65" t="n"/>
      <c r="AL993" s="65" t="n"/>
      <c r="AM993" s="65" t="n"/>
      <c r="AN993" s="65" t="n"/>
      <c r="AO993" s="65" t="n"/>
      <c r="AP993" s="65" t="n"/>
      <c r="AQ993" s="65" t="n"/>
      <c r="AR993" s="65" t="n"/>
      <c r="AS993" s="65" t="n"/>
      <c r="AT993" s="65" t="n"/>
      <c r="AU993" s="65" t="n"/>
      <c r="AV993" s="65" t="n"/>
      <c r="AW993" s="65" t="n"/>
      <c r="AX993" s="65" t="n"/>
      <c r="AY993" s="65" t="n"/>
      <c r="AZ993" s="65" t="n"/>
      <c r="BA993" s="65" t="n"/>
      <c r="BB993" s="65" t="n"/>
      <c r="BC993" s="65" t="n"/>
      <c r="BD993" s="65" t="n"/>
      <c r="BE993" s="65" t="n"/>
      <c r="BF993" s="65" t="n"/>
      <c r="BG993" s="65" t="n"/>
    </row>
    <row r="994">
      <c r="F994" s="68" t="n"/>
      <c r="G994" s="68">
        <f>IF(B994="","",F994-I994 )</f>
        <v/>
      </c>
      <c r="H994" s="5">
        <f>IF(G994="","",G994/F994)</f>
        <v/>
      </c>
      <c r="I994" s="62">
        <f>SUM(テーブル9[[#This Row],[五大]:[工場材]])</f>
        <v/>
      </c>
      <c r="J994" s="65" t="n"/>
      <c r="K994" s="65" t="n"/>
      <c r="L994" s="65" t="n"/>
      <c r="M994" s="65" t="n"/>
      <c r="N994" s="65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6" t="n"/>
      <c r="Y994" s="65" t="n"/>
      <c r="Z994" s="65" t="n"/>
      <c r="AA994" s="65" t="n"/>
      <c r="AB994" s="65" t="n"/>
      <c r="AC994" s="65" t="n"/>
      <c r="AD994" s="65" t="n"/>
      <c r="AE994" s="65" t="n"/>
      <c r="AF994" s="65" t="n"/>
      <c r="AG994" s="65" t="n"/>
      <c r="AH994" s="65" t="n"/>
      <c r="AI994" s="65" t="n"/>
      <c r="AJ994" s="65" t="n"/>
      <c r="AK994" s="65" t="n"/>
      <c r="AL994" s="65" t="n"/>
      <c r="AM994" s="65" t="n"/>
      <c r="AN994" s="65" t="n"/>
      <c r="AO994" s="65" t="n"/>
      <c r="AP994" s="65" t="n"/>
      <c r="AQ994" s="65" t="n"/>
      <c r="AR994" s="65" t="n"/>
      <c r="AS994" s="65" t="n"/>
      <c r="AT994" s="65" t="n"/>
      <c r="AU994" s="65" t="n"/>
      <c r="AV994" s="65" t="n"/>
      <c r="AW994" s="65" t="n"/>
      <c r="AX994" s="65" t="n"/>
      <c r="AY994" s="65" t="n"/>
      <c r="AZ994" s="65" t="n"/>
      <c r="BA994" s="65" t="n"/>
      <c r="BB994" s="65" t="n"/>
      <c r="BC994" s="65" t="n"/>
      <c r="BD994" s="65" t="n"/>
      <c r="BE994" s="65" t="n"/>
      <c r="BF994" s="65" t="n"/>
      <c r="BG994" s="65" t="n"/>
    </row>
    <row r="995">
      <c r="F995" s="68" t="n"/>
      <c r="G995" s="68">
        <f>IF(B995="","",F995-I995 )</f>
        <v/>
      </c>
      <c r="H995" s="5">
        <f>IF(G995="","",G995/F995)</f>
        <v/>
      </c>
      <c r="I995" s="62">
        <f>SUM(テーブル9[[#This Row],[五大]:[工場材]])</f>
        <v/>
      </c>
      <c r="J995" s="65" t="n"/>
      <c r="K995" s="65" t="n"/>
      <c r="L995" s="65" t="n"/>
      <c r="M995" s="65" t="n"/>
      <c r="N995" s="65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6" t="n"/>
      <c r="Y995" s="65" t="n"/>
      <c r="Z995" s="65" t="n"/>
      <c r="AA995" s="65" t="n"/>
      <c r="AB995" s="65" t="n"/>
      <c r="AC995" s="65" t="n"/>
      <c r="AD995" s="65" t="n"/>
      <c r="AE995" s="65" t="n"/>
      <c r="AF995" s="65" t="n"/>
      <c r="AG995" s="65" t="n"/>
      <c r="AH995" s="65" t="n"/>
      <c r="AI995" s="65" t="n"/>
      <c r="AJ995" s="65" t="n"/>
      <c r="AK995" s="65" t="n"/>
      <c r="AL995" s="65" t="n"/>
      <c r="AM995" s="65" t="n"/>
      <c r="AN995" s="65" t="n"/>
      <c r="AO995" s="65" t="n"/>
      <c r="AP995" s="65" t="n"/>
      <c r="AQ995" s="65" t="n"/>
      <c r="AR995" s="65" t="n"/>
      <c r="AS995" s="65" t="n"/>
      <c r="AT995" s="65" t="n"/>
      <c r="AU995" s="65" t="n"/>
      <c r="AV995" s="65" t="n"/>
      <c r="AW995" s="65" t="n"/>
      <c r="AX995" s="65" t="n"/>
      <c r="AY995" s="65" t="n"/>
      <c r="AZ995" s="65" t="n"/>
      <c r="BA995" s="65" t="n"/>
      <c r="BB995" s="65" t="n"/>
      <c r="BC995" s="65" t="n"/>
      <c r="BD995" s="65" t="n"/>
      <c r="BE995" s="65" t="n"/>
      <c r="BF995" s="65" t="n"/>
      <c r="BG995" s="65" t="n"/>
    </row>
    <row r="996">
      <c r="F996" s="68" t="n"/>
      <c r="G996" s="68">
        <f>IF(B996="","",F996-I996 )</f>
        <v/>
      </c>
      <c r="H996" s="5">
        <f>IF(G996="","",G996/F996)</f>
        <v/>
      </c>
      <c r="I996" s="62">
        <f>SUM(テーブル9[[#This Row],[五大]:[工場材]])</f>
        <v/>
      </c>
      <c r="J996" s="65" t="n"/>
      <c r="K996" s="65" t="n"/>
      <c r="L996" s="65" t="n"/>
      <c r="M996" s="65" t="n"/>
      <c r="N996" s="65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6" t="n"/>
      <c r="Y996" s="65" t="n"/>
      <c r="Z996" s="65" t="n"/>
      <c r="AA996" s="65" t="n"/>
      <c r="AB996" s="65" t="n"/>
      <c r="AC996" s="65" t="n"/>
      <c r="AD996" s="65" t="n"/>
      <c r="AE996" s="65" t="n"/>
      <c r="AF996" s="65" t="n"/>
      <c r="AG996" s="65" t="n"/>
      <c r="AH996" s="65" t="n"/>
      <c r="AI996" s="65" t="n"/>
      <c r="AJ996" s="65" t="n"/>
      <c r="AK996" s="65" t="n"/>
      <c r="AL996" s="65" t="n"/>
      <c r="AM996" s="65" t="n"/>
      <c r="AN996" s="65" t="n"/>
      <c r="AO996" s="65" t="n"/>
      <c r="AP996" s="65" t="n"/>
      <c r="AQ996" s="65" t="n"/>
      <c r="AR996" s="65" t="n"/>
      <c r="AS996" s="65" t="n"/>
      <c r="AT996" s="65" t="n"/>
      <c r="AU996" s="65" t="n"/>
      <c r="AV996" s="65" t="n"/>
      <c r="AW996" s="65" t="n"/>
      <c r="AX996" s="65" t="n"/>
      <c r="AY996" s="65" t="n"/>
      <c r="AZ996" s="65" t="n"/>
      <c r="BA996" s="65" t="n"/>
      <c r="BB996" s="65" t="n"/>
      <c r="BC996" s="65" t="n"/>
      <c r="BD996" s="65" t="n"/>
      <c r="BE996" s="65" t="n"/>
      <c r="BF996" s="65" t="n"/>
      <c r="BG996" s="65" t="n"/>
    </row>
    <row r="997">
      <c r="F997" s="68" t="n"/>
      <c r="G997" s="68">
        <f>IF(B997="","",F997-I997 )</f>
        <v/>
      </c>
      <c r="H997" s="5">
        <f>IF(G997="","",G997/F997)</f>
        <v/>
      </c>
      <c r="I997" s="62">
        <f>SUM(テーブル9[[#This Row],[五大]:[工場材]])</f>
        <v/>
      </c>
      <c r="J997" s="65" t="n"/>
      <c r="K997" s="65" t="n"/>
      <c r="L997" s="65" t="n"/>
      <c r="M997" s="65" t="n"/>
      <c r="N997" s="65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6" t="n"/>
      <c r="Y997" s="65" t="n"/>
      <c r="Z997" s="65" t="n"/>
      <c r="AA997" s="65" t="n"/>
      <c r="AB997" s="65" t="n"/>
      <c r="AC997" s="65" t="n"/>
      <c r="AD997" s="65" t="n"/>
      <c r="AE997" s="65" t="n"/>
      <c r="AF997" s="65" t="n"/>
      <c r="AG997" s="65" t="n"/>
      <c r="AH997" s="65" t="n"/>
      <c r="AI997" s="65" t="n"/>
      <c r="AJ997" s="65" t="n"/>
      <c r="AK997" s="65" t="n"/>
      <c r="AL997" s="65" t="n"/>
      <c r="AM997" s="65" t="n"/>
      <c r="AN997" s="65" t="n"/>
      <c r="AO997" s="65" t="n"/>
      <c r="AP997" s="65" t="n"/>
      <c r="AQ997" s="65" t="n"/>
      <c r="AR997" s="65" t="n"/>
      <c r="AS997" s="65" t="n"/>
      <c r="AT997" s="65" t="n"/>
      <c r="AU997" s="65" t="n"/>
      <c r="AV997" s="65" t="n"/>
      <c r="AW997" s="65" t="n"/>
      <c r="AX997" s="65" t="n"/>
      <c r="AY997" s="65" t="n"/>
      <c r="AZ997" s="65" t="n"/>
      <c r="BA997" s="65" t="n"/>
      <c r="BB997" s="65" t="n"/>
      <c r="BC997" s="65" t="n"/>
      <c r="BD997" s="65" t="n"/>
      <c r="BE997" s="65" t="n"/>
      <c r="BF997" s="65" t="n"/>
      <c r="BG997" s="65" t="n"/>
    </row>
    <row r="998">
      <c r="F998" s="68" t="n"/>
      <c r="G998" s="68">
        <f>IF(B998="","",F998-I998 )</f>
        <v/>
      </c>
      <c r="H998" s="5">
        <f>IF(G998="","",G998/F998)</f>
        <v/>
      </c>
      <c r="I998" s="62">
        <f>SUM(テーブル9[[#This Row],[五大]:[工場材]])</f>
        <v/>
      </c>
      <c r="J998" s="65" t="n"/>
      <c r="K998" s="65" t="n"/>
      <c r="L998" s="65" t="n"/>
      <c r="M998" s="65" t="n"/>
      <c r="N998" s="65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6" t="n"/>
      <c r="Y998" s="65" t="n"/>
      <c r="Z998" s="65" t="n"/>
      <c r="AA998" s="65" t="n"/>
      <c r="AB998" s="65" t="n"/>
      <c r="AC998" s="65" t="n"/>
      <c r="AD998" s="65" t="n"/>
      <c r="AE998" s="65" t="n"/>
      <c r="AF998" s="65" t="n"/>
      <c r="AG998" s="65" t="n"/>
      <c r="AH998" s="65" t="n"/>
      <c r="AI998" s="65" t="n"/>
      <c r="AJ998" s="65" t="n"/>
      <c r="AK998" s="65" t="n"/>
      <c r="AL998" s="65" t="n"/>
      <c r="AM998" s="65" t="n"/>
      <c r="AN998" s="65" t="n"/>
      <c r="AO998" s="65" t="n"/>
      <c r="AP998" s="65" t="n"/>
      <c r="AQ998" s="65" t="n"/>
      <c r="AR998" s="65" t="n"/>
      <c r="AS998" s="65" t="n"/>
      <c r="AT998" s="65" t="n"/>
      <c r="AU998" s="65" t="n"/>
      <c r="AV998" s="65" t="n"/>
      <c r="AW998" s="65" t="n"/>
      <c r="AX998" s="65" t="n"/>
      <c r="AY998" s="65" t="n"/>
      <c r="AZ998" s="65" t="n"/>
      <c r="BA998" s="65" t="n"/>
      <c r="BB998" s="65" t="n"/>
      <c r="BC998" s="65" t="n"/>
      <c r="BD998" s="65" t="n"/>
      <c r="BE998" s="65" t="n"/>
      <c r="BF998" s="65" t="n"/>
      <c r="BG998" s="65" t="n"/>
    </row>
    <row r="999">
      <c r="F999" s="68" t="n"/>
      <c r="G999" s="68">
        <f>IF(B999="","",F999-I999 )</f>
        <v/>
      </c>
      <c r="H999" s="5">
        <f>IF(G999="","",G999/F999)</f>
        <v/>
      </c>
      <c r="I999" s="62">
        <f>SUM(テーブル9[[#This Row],[五大]:[工場材]])</f>
        <v/>
      </c>
      <c r="J999" s="65" t="n"/>
      <c r="K999" s="65" t="n"/>
      <c r="L999" s="65" t="n"/>
      <c r="M999" s="65" t="n"/>
      <c r="N999" s="65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6" t="n"/>
      <c r="Y999" s="65" t="n"/>
      <c r="Z999" s="65" t="n"/>
      <c r="AA999" s="65" t="n"/>
      <c r="AB999" s="65" t="n"/>
      <c r="AC999" s="65" t="n"/>
      <c r="AD999" s="65" t="n"/>
      <c r="AE999" s="65" t="n"/>
      <c r="AF999" s="65" t="n"/>
      <c r="AG999" s="65" t="n"/>
      <c r="AH999" s="65" t="n"/>
      <c r="AI999" s="65" t="n"/>
      <c r="AJ999" s="65" t="n"/>
      <c r="AK999" s="65" t="n"/>
      <c r="AL999" s="65" t="n"/>
      <c r="AM999" s="65" t="n"/>
      <c r="AN999" s="65" t="n"/>
      <c r="AO999" s="65" t="n"/>
      <c r="AP999" s="65" t="n"/>
      <c r="AQ999" s="65" t="n"/>
      <c r="AR999" s="65" t="n"/>
      <c r="AS999" s="65" t="n"/>
      <c r="AT999" s="65" t="n"/>
      <c r="AU999" s="65" t="n"/>
      <c r="AV999" s="65" t="n"/>
      <c r="AW999" s="65" t="n"/>
      <c r="AX999" s="65" t="n"/>
      <c r="AY999" s="65" t="n"/>
      <c r="AZ999" s="65" t="n"/>
      <c r="BA999" s="65" t="n"/>
      <c r="BB999" s="65" t="n"/>
      <c r="BC999" s="65" t="n"/>
      <c r="BD999" s="65" t="n"/>
      <c r="BE999" s="65" t="n"/>
      <c r="BF999" s="65" t="n"/>
      <c r="BG999" s="65" t="n"/>
    </row>
    <row r="1000">
      <c r="F1000" s="68" t="n"/>
      <c r="G1000" s="68">
        <f>IF(B1000="","",F1000-I1000 )</f>
        <v/>
      </c>
      <c r="H1000" s="5">
        <f>IF(G1000="","",G1000/F1000)</f>
        <v/>
      </c>
      <c r="I1000" s="62">
        <f>SUM(テーブル9[[#This Row],[五大]:[工場材]])</f>
        <v/>
      </c>
      <c r="J1000" s="65" t="n"/>
      <c r="K1000" s="65" t="n"/>
      <c r="L1000" s="65" t="n"/>
      <c r="M1000" s="65" t="n"/>
      <c r="N1000" s="65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6" t="n"/>
      <c r="Y1000" s="65" t="n"/>
      <c r="Z1000" s="65" t="n"/>
      <c r="AA1000" s="65" t="n"/>
      <c r="AB1000" s="65" t="n"/>
      <c r="AC1000" s="65" t="n"/>
      <c r="AD1000" s="65" t="n"/>
      <c r="AE1000" s="65" t="n"/>
      <c r="AF1000" s="65" t="n"/>
      <c r="AG1000" s="65" t="n"/>
      <c r="AH1000" s="65" t="n"/>
      <c r="AI1000" s="65" t="n"/>
      <c r="AJ1000" s="65" t="n"/>
      <c r="AK1000" s="65" t="n"/>
      <c r="AL1000" s="65" t="n"/>
      <c r="AM1000" s="65" t="n"/>
      <c r="AN1000" s="65" t="n"/>
      <c r="AO1000" s="65" t="n"/>
      <c r="AP1000" s="65" t="n"/>
      <c r="AQ1000" s="65" t="n"/>
      <c r="AR1000" s="65" t="n"/>
      <c r="AS1000" s="65" t="n"/>
      <c r="AT1000" s="65" t="n"/>
      <c r="AU1000" s="65" t="n"/>
      <c r="AV1000" s="65" t="n"/>
      <c r="AW1000" s="65" t="n"/>
      <c r="AX1000" s="65" t="n"/>
      <c r="AY1000" s="65" t="n"/>
      <c r="AZ1000" s="65" t="n"/>
      <c r="BA1000" s="65" t="n"/>
      <c r="BB1000" s="65" t="n"/>
      <c r="BC1000" s="65" t="n"/>
      <c r="BD1000" s="65" t="n"/>
      <c r="BE1000" s="65" t="n"/>
      <c r="BF1000" s="65" t="n"/>
      <c r="BG1000" s="65" t="n"/>
    </row>
    <row r="1001">
      <c r="F1001" s="68" t="n"/>
      <c r="G1001" s="68">
        <f>IF(B1001="","",F1001-I1001 )</f>
        <v/>
      </c>
      <c r="H1001" s="5">
        <f>IF(G1001="","",G1001/F1001)</f>
        <v/>
      </c>
      <c r="I1001" s="62">
        <f>SUM(テーブル9[[#This Row],[五大]:[工場材]])</f>
        <v/>
      </c>
      <c r="J1001" s="65" t="n"/>
      <c r="K1001" s="65" t="n"/>
      <c r="L1001" s="65" t="n"/>
      <c r="M1001" s="65" t="n"/>
      <c r="N1001" s="65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6" t="n"/>
      <c r="Y1001" s="65" t="n"/>
      <c r="Z1001" s="65" t="n"/>
      <c r="AA1001" s="65" t="n"/>
      <c r="AB1001" s="65" t="n"/>
      <c r="AC1001" s="65" t="n"/>
      <c r="AD1001" s="65" t="n"/>
      <c r="AE1001" s="65" t="n"/>
      <c r="AF1001" s="65" t="n"/>
      <c r="AG1001" s="65" t="n"/>
      <c r="AH1001" s="65" t="n"/>
      <c r="AI1001" s="65" t="n"/>
      <c r="AJ1001" s="65" t="n"/>
      <c r="AK1001" s="65" t="n"/>
      <c r="AL1001" s="65" t="n"/>
      <c r="AM1001" s="65" t="n"/>
      <c r="AN1001" s="65" t="n"/>
      <c r="AO1001" s="65" t="n"/>
      <c r="AP1001" s="65" t="n"/>
      <c r="AQ1001" s="65" t="n"/>
      <c r="AR1001" s="65" t="n"/>
      <c r="AS1001" s="65" t="n"/>
      <c r="AT1001" s="65" t="n"/>
      <c r="AU1001" s="65" t="n"/>
      <c r="AV1001" s="65" t="n"/>
      <c r="AW1001" s="65" t="n"/>
      <c r="AX1001" s="65" t="n"/>
      <c r="AY1001" s="65" t="n"/>
      <c r="AZ1001" s="65" t="n"/>
      <c r="BA1001" s="65" t="n"/>
      <c r="BB1001" s="65" t="n"/>
      <c r="BC1001" s="65" t="n"/>
      <c r="BD1001" s="65" t="n"/>
      <c r="BE1001" s="65" t="n"/>
      <c r="BF1001" s="65" t="n"/>
      <c r="BG1001" s="65" t="n"/>
    </row>
    <row r="1002">
      <c r="F1002" s="68" t="n"/>
      <c r="G1002" s="68">
        <f>IF(B1002="","",F1002-I1002 )</f>
        <v/>
      </c>
      <c r="H1002" s="5">
        <f>IF(G1002="","",G1002/F1002)</f>
        <v/>
      </c>
      <c r="I1002" s="62">
        <f>SUM(テーブル9[[#This Row],[五大]:[工場材]])</f>
        <v/>
      </c>
      <c r="J1002" s="65" t="n"/>
      <c r="K1002" s="65" t="n"/>
      <c r="L1002" s="65" t="n"/>
      <c r="M1002" s="65" t="n"/>
      <c r="N1002" s="65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6" t="n"/>
      <c r="Y1002" s="65" t="n"/>
      <c r="Z1002" s="65" t="n"/>
      <c r="AA1002" s="65" t="n"/>
      <c r="AB1002" s="65" t="n"/>
      <c r="AC1002" s="65" t="n"/>
      <c r="AD1002" s="65" t="n"/>
      <c r="AE1002" s="65" t="n"/>
      <c r="AF1002" s="65" t="n"/>
      <c r="AG1002" s="65" t="n"/>
      <c r="AH1002" s="65" t="n"/>
      <c r="AI1002" s="65" t="n"/>
      <c r="AJ1002" s="65" t="n"/>
      <c r="AK1002" s="65" t="n"/>
      <c r="AL1002" s="65" t="n"/>
      <c r="AM1002" s="65" t="n"/>
      <c r="AN1002" s="65" t="n"/>
      <c r="AO1002" s="65" t="n"/>
      <c r="AP1002" s="65" t="n"/>
      <c r="AQ1002" s="65" t="n"/>
      <c r="AR1002" s="65" t="n"/>
      <c r="AS1002" s="65" t="n"/>
      <c r="AT1002" s="65" t="n"/>
      <c r="AU1002" s="65" t="n"/>
      <c r="AV1002" s="65" t="n"/>
      <c r="AW1002" s="65" t="n"/>
      <c r="AX1002" s="65" t="n"/>
      <c r="AY1002" s="65" t="n"/>
      <c r="AZ1002" s="65" t="n"/>
      <c r="BA1002" s="65" t="n"/>
      <c r="BB1002" s="65" t="n"/>
      <c r="BC1002" s="65" t="n"/>
      <c r="BD1002" s="65" t="n"/>
      <c r="BE1002" s="65" t="n"/>
      <c r="BF1002" s="65" t="n"/>
      <c r="BG1002" s="65" t="n"/>
    </row>
    <row r="1003">
      <c r="F1003" s="68" t="n"/>
      <c r="G1003" s="68">
        <f>IF(B1003="","",F1003-I1003 )</f>
        <v/>
      </c>
      <c r="H1003" s="5">
        <f>IF(G1003="","",G1003/F1003)</f>
        <v/>
      </c>
      <c r="I1003" s="62">
        <f>SUM(テーブル9[[#This Row],[五大]:[工場材]])</f>
        <v/>
      </c>
      <c r="J1003" s="65" t="n"/>
      <c r="K1003" s="65" t="n"/>
      <c r="L1003" s="65" t="n"/>
      <c r="M1003" s="65" t="n"/>
      <c r="N1003" s="65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6" t="n"/>
      <c r="Y1003" s="65" t="n"/>
      <c r="Z1003" s="65" t="n"/>
      <c r="AA1003" s="65" t="n"/>
      <c r="AB1003" s="65" t="n"/>
      <c r="AC1003" s="65" t="n"/>
      <c r="AD1003" s="65" t="n"/>
      <c r="AE1003" s="65" t="n"/>
      <c r="AF1003" s="65" t="n"/>
      <c r="AG1003" s="65" t="n"/>
      <c r="AH1003" s="65" t="n"/>
      <c r="AI1003" s="65" t="n"/>
      <c r="AJ1003" s="65" t="n"/>
      <c r="AK1003" s="65" t="n"/>
      <c r="AL1003" s="65" t="n"/>
      <c r="AM1003" s="65" t="n"/>
      <c r="AN1003" s="65" t="n"/>
      <c r="AO1003" s="65" t="n"/>
      <c r="AP1003" s="65" t="n"/>
      <c r="AQ1003" s="65" t="n"/>
      <c r="AR1003" s="65" t="n"/>
      <c r="AS1003" s="65" t="n"/>
      <c r="AT1003" s="65" t="n"/>
      <c r="AU1003" s="65" t="n"/>
      <c r="AV1003" s="65" t="n"/>
      <c r="AW1003" s="65" t="n"/>
      <c r="AX1003" s="65" t="n"/>
      <c r="AY1003" s="65" t="n"/>
      <c r="AZ1003" s="65" t="n"/>
      <c r="BA1003" s="65" t="n"/>
      <c r="BB1003" s="65" t="n"/>
      <c r="BC1003" s="65" t="n"/>
      <c r="BD1003" s="65" t="n"/>
      <c r="BE1003" s="65" t="n"/>
      <c r="BF1003" s="65" t="n"/>
      <c r="BG1003" s="65" t="n"/>
    </row>
    <row r="1004">
      <c r="F1004" s="68" t="n"/>
      <c r="G1004" s="68">
        <f>IF(B1004="","",F1004-I1004 )</f>
        <v/>
      </c>
      <c r="H1004" s="5">
        <f>IF(G1004="","",G1004/F1004)</f>
        <v/>
      </c>
      <c r="I1004" s="62">
        <f>SUM(テーブル9[[#This Row],[五大]:[工場材]])</f>
        <v/>
      </c>
      <c r="J1004" s="65" t="n"/>
      <c r="K1004" s="65" t="n"/>
      <c r="L1004" s="65" t="n"/>
      <c r="M1004" s="65" t="n"/>
      <c r="N1004" s="65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6" t="n"/>
      <c r="Y1004" s="65" t="n"/>
      <c r="Z1004" s="65" t="n"/>
      <c r="AA1004" s="65" t="n"/>
      <c r="AB1004" s="65" t="n"/>
      <c r="AC1004" s="65" t="n"/>
      <c r="AD1004" s="65" t="n"/>
      <c r="AE1004" s="65" t="n"/>
      <c r="AF1004" s="65" t="n"/>
      <c r="AG1004" s="65" t="n"/>
      <c r="AH1004" s="65" t="n"/>
      <c r="AI1004" s="65" t="n"/>
      <c r="AJ1004" s="65" t="n"/>
      <c r="AK1004" s="65" t="n"/>
      <c r="AL1004" s="65" t="n"/>
      <c r="AM1004" s="65" t="n"/>
      <c r="AN1004" s="65" t="n"/>
      <c r="AO1004" s="65" t="n"/>
      <c r="AP1004" s="65" t="n"/>
      <c r="AQ1004" s="65" t="n"/>
      <c r="AR1004" s="65" t="n"/>
      <c r="AS1004" s="65" t="n"/>
      <c r="AT1004" s="65" t="n"/>
      <c r="AU1004" s="65" t="n"/>
      <c r="AV1004" s="65" t="n"/>
      <c r="AW1004" s="65" t="n"/>
      <c r="AX1004" s="65" t="n"/>
      <c r="AY1004" s="65" t="n"/>
      <c r="AZ1004" s="65" t="n"/>
      <c r="BA1004" s="65" t="n"/>
      <c r="BB1004" s="65" t="n"/>
      <c r="BC1004" s="65" t="n"/>
      <c r="BD1004" s="65" t="n"/>
      <c r="BE1004" s="65" t="n"/>
      <c r="BF1004" s="65" t="n"/>
      <c r="BG1004" s="65" t="n"/>
    </row>
    <row r="1005">
      <c r="F1005" s="68" t="n"/>
      <c r="G1005" s="68">
        <f>IF(B1005="","",F1005-I1005 )</f>
        <v/>
      </c>
      <c r="H1005" s="5">
        <f>IF(G1005="","",G1005/F1005)</f>
        <v/>
      </c>
      <c r="I1005" s="62">
        <f>SUM(テーブル9[[#This Row],[五大]:[工場材]])</f>
        <v/>
      </c>
      <c r="J1005" s="65" t="n"/>
      <c r="K1005" s="65" t="n"/>
      <c r="L1005" s="65" t="n"/>
      <c r="M1005" s="65" t="n"/>
      <c r="N1005" s="65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6" t="n"/>
      <c r="Y1005" s="65" t="n"/>
      <c r="Z1005" s="65" t="n"/>
      <c r="AA1005" s="65" t="n"/>
      <c r="AB1005" s="65" t="n"/>
      <c r="AC1005" s="65" t="n"/>
      <c r="AD1005" s="65" t="n"/>
      <c r="AE1005" s="65" t="n"/>
      <c r="AF1005" s="65" t="n"/>
      <c r="AG1005" s="65" t="n"/>
      <c r="AH1005" s="65" t="n"/>
      <c r="AI1005" s="65" t="n"/>
      <c r="AJ1005" s="65" t="n"/>
      <c r="AK1005" s="65" t="n"/>
      <c r="AL1005" s="65" t="n"/>
      <c r="AM1005" s="65" t="n"/>
      <c r="AN1005" s="65" t="n"/>
      <c r="AO1005" s="65" t="n"/>
      <c r="AP1005" s="65" t="n"/>
      <c r="AQ1005" s="65" t="n"/>
      <c r="AR1005" s="65" t="n"/>
      <c r="AS1005" s="65" t="n"/>
      <c r="AT1005" s="65" t="n"/>
      <c r="AU1005" s="65" t="n"/>
      <c r="AV1005" s="65" t="n"/>
      <c r="AW1005" s="65" t="n"/>
      <c r="AX1005" s="65" t="n"/>
      <c r="AY1005" s="65" t="n"/>
      <c r="AZ1005" s="65" t="n"/>
      <c r="BA1005" s="65" t="n"/>
      <c r="BB1005" s="65" t="n"/>
      <c r="BC1005" s="65" t="n"/>
      <c r="BD1005" s="65" t="n"/>
      <c r="BE1005" s="65" t="n"/>
      <c r="BF1005" s="65" t="n"/>
      <c r="BG1005" s="65" t="n"/>
    </row>
    <row r="1006">
      <c r="F1006" s="68" t="n"/>
      <c r="G1006" s="68">
        <f>IF(B1006="","",F1006-I1006 )</f>
        <v/>
      </c>
      <c r="H1006" s="5">
        <f>IF(G1006="","",G1006/F1006)</f>
        <v/>
      </c>
      <c r="I1006" s="62">
        <f>SUM(テーブル9[[#This Row],[五大]:[工場材]])</f>
        <v/>
      </c>
      <c r="J1006" s="65" t="n"/>
      <c r="K1006" s="65" t="n"/>
      <c r="L1006" s="65" t="n"/>
      <c r="M1006" s="65" t="n"/>
      <c r="N1006" s="65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6" t="n"/>
      <c r="Y1006" s="65" t="n"/>
      <c r="Z1006" s="65" t="n"/>
      <c r="AA1006" s="65" t="n"/>
      <c r="AB1006" s="65" t="n"/>
      <c r="AC1006" s="65" t="n"/>
      <c r="AD1006" s="65" t="n"/>
      <c r="AE1006" s="65" t="n"/>
      <c r="AF1006" s="65" t="n"/>
      <c r="AG1006" s="65" t="n"/>
      <c r="AH1006" s="65" t="n"/>
      <c r="AI1006" s="65" t="n"/>
      <c r="AJ1006" s="65" t="n"/>
      <c r="AK1006" s="65" t="n"/>
      <c r="AL1006" s="65" t="n"/>
      <c r="AM1006" s="65" t="n"/>
      <c r="AN1006" s="65" t="n"/>
      <c r="AO1006" s="65" t="n"/>
      <c r="AP1006" s="65" t="n"/>
      <c r="AQ1006" s="65" t="n"/>
      <c r="AR1006" s="65" t="n"/>
      <c r="AS1006" s="65" t="n"/>
      <c r="AT1006" s="65" t="n"/>
      <c r="AU1006" s="65" t="n"/>
      <c r="AV1006" s="65" t="n"/>
      <c r="AW1006" s="65" t="n"/>
      <c r="AX1006" s="65" t="n"/>
      <c r="AY1006" s="65" t="n"/>
      <c r="AZ1006" s="65" t="n"/>
      <c r="BA1006" s="65" t="n"/>
      <c r="BB1006" s="65" t="n"/>
      <c r="BC1006" s="65" t="n"/>
      <c r="BD1006" s="65" t="n"/>
      <c r="BE1006" s="65" t="n"/>
      <c r="BF1006" s="65" t="n"/>
      <c r="BG1006" s="65" t="n"/>
    </row>
    <row r="1007">
      <c r="F1007" s="68" t="n"/>
      <c r="G1007" s="68">
        <f>IF(B1007="","",F1007-I1007 )</f>
        <v/>
      </c>
      <c r="H1007" s="5">
        <f>IF(G1007="","",G1007/F1007)</f>
        <v/>
      </c>
      <c r="I1007" s="62">
        <f>SUM(テーブル9[[#This Row],[五大]:[工場材]])</f>
        <v/>
      </c>
      <c r="J1007" s="65" t="n"/>
      <c r="K1007" s="65" t="n"/>
      <c r="L1007" s="65" t="n"/>
      <c r="M1007" s="65" t="n"/>
      <c r="N1007" s="65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6" t="n"/>
      <c r="Y1007" s="65" t="n"/>
      <c r="Z1007" s="65" t="n"/>
      <c r="AA1007" s="65" t="n"/>
      <c r="AB1007" s="65" t="n"/>
      <c r="AC1007" s="65" t="n"/>
      <c r="AD1007" s="65" t="n"/>
      <c r="AE1007" s="65" t="n"/>
      <c r="AF1007" s="65" t="n"/>
      <c r="AG1007" s="65" t="n"/>
      <c r="AH1007" s="65" t="n"/>
      <c r="AI1007" s="65" t="n"/>
      <c r="AJ1007" s="65" t="n"/>
      <c r="AK1007" s="65" t="n"/>
      <c r="AL1007" s="65" t="n"/>
      <c r="AM1007" s="65" t="n"/>
      <c r="AN1007" s="65" t="n"/>
      <c r="AO1007" s="65" t="n"/>
      <c r="AP1007" s="65" t="n"/>
      <c r="AQ1007" s="65" t="n"/>
      <c r="AR1007" s="65" t="n"/>
      <c r="AS1007" s="65" t="n"/>
      <c r="AT1007" s="65" t="n"/>
      <c r="AU1007" s="65" t="n"/>
      <c r="AV1007" s="65" t="n"/>
      <c r="AW1007" s="65" t="n"/>
      <c r="AX1007" s="65" t="n"/>
      <c r="AY1007" s="65" t="n"/>
      <c r="AZ1007" s="65" t="n"/>
      <c r="BA1007" s="65" t="n"/>
      <c r="BB1007" s="65" t="n"/>
      <c r="BC1007" s="65" t="n"/>
      <c r="BD1007" s="65" t="n"/>
      <c r="BE1007" s="65" t="n"/>
      <c r="BF1007" s="65" t="n"/>
      <c r="BG1007" s="65" t="n"/>
    </row>
    <row r="1008">
      <c r="F1008" s="68" t="n"/>
      <c r="G1008" s="68">
        <f>IF(B1008="","",F1008-I1008 )</f>
        <v/>
      </c>
      <c r="H1008" s="5">
        <f>IF(G1008="","",G1008/F1008)</f>
        <v/>
      </c>
      <c r="I1008" s="62">
        <f>SUM(テーブル9[[#This Row],[五大]:[工場材]])</f>
        <v/>
      </c>
      <c r="J1008" s="65" t="n"/>
      <c r="K1008" s="65" t="n"/>
      <c r="L1008" s="65" t="n"/>
      <c r="M1008" s="65" t="n"/>
      <c r="N1008" s="65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6" t="n"/>
      <c r="Y1008" s="65" t="n"/>
      <c r="Z1008" s="65" t="n"/>
      <c r="AA1008" s="65" t="n"/>
      <c r="AB1008" s="65" t="n"/>
      <c r="AC1008" s="65" t="n"/>
      <c r="AD1008" s="65" t="n"/>
      <c r="AE1008" s="65" t="n"/>
      <c r="AF1008" s="65" t="n"/>
      <c r="AG1008" s="65" t="n"/>
      <c r="AH1008" s="65" t="n"/>
      <c r="AI1008" s="65" t="n"/>
      <c r="AJ1008" s="65" t="n"/>
      <c r="AK1008" s="65" t="n"/>
      <c r="AL1008" s="65" t="n"/>
      <c r="AM1008" s="65" t="n"/>
      <c r="AN1008" s="65" t="n"/>
      <c r="AO1008" s="65" t="n"/>
      <c r="AP1008" s="65" t="n"/>
      <c r="AQ1008" s="65" t="n"/>
      <c r="AR1008" s="65" t="n"/>
      <c r="AS1008" s="65" t="n"/>
      <c r="AT1008" s="65" t="n"/>
      <c r="AU1008" s="65" t="n"/>
      <c r="AV1008" s="65" t="n"/>
      <c r="AW1008" s="65" t="n"/>
      <c r="AX1008" s="65" t="n"/>
      <c r="AY1008" s="65" t="n"/>
      <c r="AZ1008" s="65" t="n"/>
      <c r="BA1008" s="65" t="n"/>
      <c r="BB1008" s="65" t="n"/>
      <c r="BC1008" s="65" t="n"/>
      <c r="BD1008" s="65" t="n"/>
      <c r="BE1008" s="65" t="n"/>
      <c r="BF1008" s="65" t="n"/>
      <c r="BG1008" s="65" t="n"/>
    </row>
    <row r="1009">
      <c r="F1009" s="68" t="n"/>
      <c r="G1009" s="68">
        <f>IF(B1009="","",F1009-I1009 )</f>
        <v/>
      </c>
      <c r="H1009" s="5">
        <f>IF(G1009="","",G1009/F1009)</f>
        <v/>
      </c>
      <c r="I1009" s="62">
        <f>SUM(テーブル9[[#This Row],[五大]:[工場材]])</f>
        <v/>
      </c>
      <c r="J1009" s="65" t="n"/>
      <c r="K1009" s="65" t="n"/>
      <c r="L1009" s="65" t="n"/>
      <c r="M1009" s="65" t="n"/>
      <c r="N1009" s="65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6" t="n"/>
      <c r="Y1009" s="65" t="n"/>
      <c r="Z1009" s="65" t="n"/>
      <c r="AA1009" s="65" t="n"/>
      <c r="AB1009" s="65" t="n"/>
      <c r="AC1009" s="65" t="n"/>
      <c r="AD1009" s="65" t="n"/>
      <c r="AE1009" s="65" t="n"/>
      <c r="AF1009" s="65" t="n"/>
      <c r="AG1009" s="65" t="n"/>
      <c r="AH1009" s="65" t="n"/>
      <c r="AI1009" s="65" t="n"/>
      <c r="AJ1009" s="65" t="n"/>
      <c r="AK1009" s="65" t="n"/>
      <c r="AL1009" s="65" t="n"/>
      <c r="AM1009" s="65" t="n"/>
      <c r="AN1009" s="65" t="n"/>
      <c r="AO1009" s="65" t="n"/>
      <c r="AP1009" s="65" t="n"/>
      <c r="AQ1009" s="65" t="n"/>
      <c r="AR1009" s="65" t="n"/>
      <c r="AS1009" s="65" t="n"/>
      <c r="AT1009" s="65" t="n"/>
      <c r="AU1009" s="65" t="n"/>
      <c r="AV1009" s="65" t="n"/>
      <c r="AW1009" s="65" t="n"/>
      <c r="AX1009" s="65" t="n"/>
      <c r="AY1009" s="65" t="n"/>
      <c r="AZ1009" s="65" t="n"/>
      <c r="BA1009" s="65" t="n"/>
      <c r="BB1009" s="65" t="n"/>
      <c r="BC1009" s="65" t="n"/>
      <c r="BD1009" s="65" t="n"/>
      <c r="BE1009" s="65" t="n"/>
      <c r="BF1009" s="65" t="n"/>
      <c r="BG1009" s="65" t="n"/>
    </row>
    <row r="1010">
      <c r="F1010" s="68" t="n"/>
      <c r="G1010" s="68">
        <f>IF(B1010="","",F1010-I1010 )</f>
        <v/>
      </c>
      <c r="H1010" s="5">
        <f>IF(G1010="","",G1010/F1010)</f>
        <v/>
      </c>
      <c r="I1010" s="62">
        <f>SUM(テーブル9[[#This Row],[五大]:[工場材]])</f>
        <v/>
      </c>
      <c r="J1010" s="65" t="n"/>
      <c r="K1010" s="65" t="n"/>
      <c r="L1010" s="65" t="n"/>
      <c r="M1010" s="65" t="n"/>
      <c r="N1010" s="65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6" t="n"/>
      <c r="Y1010" s="65" t="n"/>
      <c r="Z1010" s="65" t="n"/>
      <c r="AA1010" s="65" t="n"/>
      <c r="AB1010" s="65" t="n"/>
      <c r="AC1010" s="65" t="n"/>
      <c r="AD1010" s="65" t="n"/>
      <c r="AE1010" s="65" t="n"/>
      <c r="AF1010" s="65" t="n"/>
      <c r="AG1010" s="65" t="n"/>
      <c r="AH1010" s="65" t="n"/>
      <c r="AI1010" s="65" t="n"/>
      <c r="AJ1010" s="65" t="n"/>
      <c r="AK1010" s="65" t="n"/>
      <c r="AL1010" s="65" t="n"/>
      <c r="AM1010" s="65" t="n"/>
      <c r="AN1010" s="65" t="n"/>
      <c r="AO1010" s="65" t="n"/>
      <c r="AP1010" s="65" t="n"/>
      <c r="AQ1010" s="65" t="n"/>
      <c r="AR1010" s="65" t="n"/>
      <c r="AS1010" s="65" t="n"/>
      <c r="AT1010" s="65" t="n"/>
      <c r="AU1010" s="65" t="n"/>
      <c r="AV1010" s="65" t="n"/>
      <c r="AW1010" s="65" t="n"/>
      <c r="AX1010" s="65" t="n"/>
      <c r="AY1010" s="65" t="n"/>
      <c r="AZ1010" s="65" t="n"/>
      <c r="BA1010" s="65" t="n"/>
      <c r="BB1010" s="65" t="n"/>
      <c r="BC1010" s="65" t="n"/>
      <c r="BD1010" s="65" t="n"/>
      <c r="BE1010" s="65" t="n"/>
      <c r="BF1010" s="65" t="n"/>
      <c r="BG1010" s="65" t="n"/>
    </row>
    <row r="1011">
      <c r="F1011" s="68" t="n"/>
      <c r="G1011" s="68">
        <f>IF(B1011="","",F1011-I1011 )</f>
        <v/>
      </c>
      <c r="H1011" s="5">
        <f>IF(G1011="","",G1011/F1011)</f>
        <v/>
      </c>
      <c r="I1011" s="62">
        <f>SUM(テーブル9[[#This Row],[五大]:[工場材]])</f>
        <v/>
      </c>
      <c r="J1011" s="65" t="n"/>
      <c r="K1011" s="65" t="n"/>
      <c r="L1011" s="65" t="n"/>
      <c r="M1011" s="65" t="n"/>
      <c r="N1011" s="65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6" t="n"/>
      <c r="Y1011" s="65" t="n"/>
      <c r="Z1011" s="65" t="n"/>
      <c r="AA1011" s="65" t="n"/>
      <c r="AB1011" s="65" t="n"/>
      <c r="AC1011" s="65" t="n"/>
      <c r="AD1011" s="65" t="n"/>
      <c r="AE1011" s="65" t="n"/>
      <c r="AF1011" s="65" t="n"/>
      <c r="AG1011" s="65" t="n"/>
      <c r="AH1011" s="65" t="n"/>
      <c r="AI1011" s="65" t="n"/>
      <c r="AJ1011" s="65" t="n"/>
      <c r="AK1011" s="65" t="n"/>
      <c r="AL1011" s="65" t="n"/>
      <c r="AM1011" s="65" t="n"/>
      <c r="AN1011" s="65" t="n"/>
      <c r="AO1011" s="65" t="n"/>
      <c r="AP1011" s="65" t="n"/>
      <c r="AQ1011" s="65" t="n"/>
      <c r="AR1011" s="65" t="n"/>
      <c r="AS1011" s="65" t="n"/>
      <c r="AT1011" s="65" t="n"/>
      <c r="AU1011" s="65" t="n"/>
      <c r="AV1011" s="65" t="n"/>
      <c r="AW1011" s="65" t="n"/>
      <c r="AX1011" s="65" t="n"/>
      <c r="AY1011" s="65" t="n"/>
      <c r="AZ1011" s="65" t="n"/>
      <c r="BA1011" s="65" t="n"/>
      <c r="BB1011" s="65" t="n"/>
      <c r="BC1011" s="65" t="n"/>
      <c r="BD1011" s="65" t="n"/>
      <c r="BE1011" s="65" t="n"/>
      <c r="BF1011" s="65" t="n"/>
      <c r="BG1011" s="65" t="n"/>
    </row>
    <row r="1012">
      <c r="F1012" s="68" t="n"/>
      <c r="G1012" s="68">
        <f>IF(B1012="","",F1012-I1012 )</f>
        <v/>
      </c>
      <c r="H1012" s="5">
        <f>IF(G1012="","",G1012/F1012)</f>
        <v/>
      </c>
      <c r="I1012" s="62">
        <f>SUM(テーブル9[[#This Row],[五大]:[工場材]])</f>
        <v/>
      </c>
      <c r="J1012" s="65" t="n"/>
      <c r="K1012" s="65" t="n"/>
      <c r="L1012" s="65" t="n"/>
      <c r="M1012" s="65" t="n"/>
      <c r="N1012" s="65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6" t="n"/>
      <c r="Y1012" s="65" t="n"/>
      <c r="Z1012" s="65" t="n"/>
      <c r="AA1012" s="65" t="n"/>
      <c r="AB1012" s="65" t="n"/>
      <c r="AC1012" s="65" t="n"/>
      <c r="AD1012" s="65" t="n"/>
      <c r="AE1012" s="65" t="n"/>
      <c r="AF1012" s="65" t="n"/>
      <c r="AG1012" s="65" t="n"/>
      <c r="AH1012" s="65" t="n"/>
      <c r="AI1012" s="65" t="n"/>
      <c r="AJ1012" s="65" t="n"/>
      <c r="AK1012" s="65" t="n"/>
      <c r="AL1012" s="65" t="n"/>
      <c r="AM1012" s="65" t="n"/>
      <c r="AN1012" s="65" t="n"/>
      <c r="AO1012" s="65" t="n"/>
      <c r="AP1012" s="65" t="n"/>
      <c r="AQ1012" s="65" t="n"/>
      <c r="AR1012" s="65" t="n"/>
      <c r="AS1012" s="65" t="n"/>
      <c r="AT1012" s="65" t="n"/>
      <c r="AU1012" s="65" t="n"/>
      <c r="AV1012" s="65" t="n"/>
      <c r="AW1012" s="65" t="n"/>
      <c r="AX1012" s="65" t="n"/>
      <c r="AY1012" s="65" t="n"/>
      <c r="AZ1012" s="65" t="n"/>
      <c r="BA1012" s="65" t="n"/>
      <c r="BB1012" s="65" t="n"/>
      <c r="BC1012" s="65" t="n"/>
      <c r="BD1012" s="65" t="n"/>
      <c r="BE1012" s="65" t="n"/>
      <c r="BF1012" s="65" t="n"/>
      <c r="BG1012" s="65" t="n"/>
    </row>
    <row r="1013">
      <c r="F1013" s="68" t="n"/>
      <c r="G1013" s="68">
        <f>IF(B1013="","",F1013-I1013 )</f>
        <v/>
      </c>
      <c r="H1013" s="5">
        <f>IF(G1013="","",G1013/F1013)</f>
        <v/>
      </c>
      <c r="I1013" s="62">
        <f>SUM(テーブル9[[#This Row],[五大]:[工場材]])</f>
        <v/>
      </c>
      <c r="J1013" s="65" t="n"/>
      <c r="K1013" s="65" t="n"/>
      <c r="L1013" s="65" t="n"/>
      <c r="M1013" s="65" t="n"/>
      <c r="N1013" s="65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6" t="n"/>
      <c r="Y1013" s="65" t="n"/>
      <c r="Z1013" s="65" t="n"/>
      <c r="AA1013" s="65" t="n"/>
      <c r="AB1013" s="65" t="n"/>
      <c r="AC1013" s="65" t="n"/>
      <c r="AD1013" s="65" t="n"/>
      <c r="AE1013" s="65" t="n"/>
      <c r="AF1013" s="65" t="n"/>
      <c r="AG1013" s="65" t="n"/>
      <c r="AH1013" s="65" t="n"/>
      <c r="AI1013" s="65" t="n"/>
      <c r="AJ1013" s="65" t="n"/>
      <c r="AK1013" s="65" t="n"/>
      <c r="AL1013" s="65" t="n"/>
      <c r="AM1013" s="65" t="n"/>
      <c r="AN1013" s="65" t="n"/>
      <c r="AO1013" s="65" t="n"/>
      <c r="AP1013" s="65" t="n"/>
      <c r="AQ1013" s="65" t="n"/>
      <c r="AR1013" s="65" t="n"/>
      <c r="AS1013" s="65" t="n"/>
      <c r="AT1013" s="65" t="n"/>
      <c r="AU1013" s="65" t="n"/>
      <c r="AV1013" s="65" t="n"/>
      <c r="AW1013" s="65" t="n"/>
      <c r="AX1013" s="65" t="n"/>
      <c r="AY1013" s="65" t="n"/>
      <c r="AZ1013" s="65" t="n"/>
      <c r="BA1013" s="65" t="n"/>
      <c r="BB1013" s="65" t="n"/>
      <c r="BC1013" s="65" t="n"/>
      <c r="BD1013" s="65" t="n"/>
      <c r="BE1013" s="65" t="n"/>
      <c r="BF1013" s="65" t="n"/>
      <c r="BG1013" s="65" t="n"/>
    </row>
    <row r="1014">
      <c r="F1014" s="68" t="n"/>
      <c r="G1014" s="68">
        <f>IF(B1014="","",F1014-I1014 )</f>
        <v/>
      </c>
      <c r="H1014" s="5">
        <f>IF(G1014="","",G1014/F1014)</f>
        <v/>
      </c>
      <c r="I1014" s="62">
        <f>SUM(テーブル9[[#This Row],[五大]:[工場材]])</f>
        <v/>
      </c>
      <c r="J1014" s="65" t="n"/>
      <c r="K1014" s="65" t="n"/>
      <c r="L1014" s="65" t="n"/>
      <c r="M1014" s="65" t="n"/>
      <c r="N1014" s="65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6" t="n"/>
      <c r="Y1014" s="65" t="n"/>
      <c r="Z1014" s="65" t="n"/>
      <c r="AA1014" s="65" t="n"/>
      <c r="AB1014" s="65" t="n"/>
      <c r="AC1014" s="65" t="n"/>
      <c r="AD1014" s="65" t="n"/>
      <c r="AE1014" s="65" t="n"/>
      <c r="AF1014" s="65" t="n"/>
      <c r="AG1014" s="65" t="n"/>
      <c r="AH1014" s="65" t="n"/>
      <c r="AI1014" s="65" t="n"/>
      <c r="AJ1014" s="65" t="n"/>
      <c r="AK1014" s="65" t="n"/>
      <c r="AL1014" s="65" t="n"/>
      <c r="AM1014" s="65" t="n"/>
      <c r="AN1014" s="65" t="n"/>
      <c r="AO1014" s="65" t="n"/>
      <c r="AP1014" s="65" t="n"/>
      <c r="AQ1014" s="65" t="n"/>
      <c r="AR1014" s="65" t="n"/>
      <c r="AS1014" s="65" t="n"/>
      <c r="AT1014" s="65" t="n"/>
      <c r="AU1014" s="65" t="n"/>
      <c r="AV1014" s="65" t="n"/>
      <c r="AW1014" s="65" t="n"/>
      <c r="AX1014" s="65" t="n"/>
      <c r="AY1014" s="65" t="n"/>
      <c r="AZ1014" s="65" t="n"/>
      <c r="BA1014" s="65" t="n"/>
      <c r="BB1014" s="65" t="n"/>
      <c r="BC1014" s="65" t="n"/>
      <c r="BD1014" s="65" t="n"/>
      <c r="BE1014" s="65" t="n"/>
      <c r="BF1014" s="65" t="n"/>
      <c r="BG1014" s="65" t="n"/>
    </row>
    <row r="1015">
      <c r="F1015" s="68" t="n"/>
      <c r="G1015" s="68">
        <f>IF(B1015="","",F1015-I1015 )</f>
        <v/>
      </c>
      <c r="H1015" s="5">
        <f>IF(G1015="","",G1015/F1015)</f>
        <v/>
      </c>
      <c r="I1015" s="62">
        <f>SUM(テーブル9[[#This Row],[五大]:[工場材]])</f>
        <v/>
      </c>
      <c r="J1015" s="65" t="n"/>
      <c r="K1015" s="65" t="n"/>
      <c r="L1015" s="65" t="n"/>
      <c r="M1015" s="65" t="n"/>
      <c r="N1015" s="65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6" t="n"/>
      <c r="Y1015" s="65" t="n"/>
      <c r="Z1015" s="65" t="n"/>
      <c r="AA1015" s="65" t="n"/>
      <c r="AB1015" s="65" t="n"/>
      <c r="AC1015" s="65" t="n"/>
      <c r="AD1015" s="65" t="n"/>
      <c r="AE1015" s="65" t="n"/>
      <c r="AF1015" s="65" t="n"/>
      <c r="AG1015" s="65" t="n"/>
      <c r="AH1015" s="65" t="n"/>
      <c r="AI1015" s="65" t="n"/>
      <c r="AJ1015" s="65" t="n"/>
      <c r="AK1015" s="65" t="n"/>
      <c r="AL1015" s="65" t="n"/>
      <c r="AM1015" s="65" t="n"/>
      <c r="AN1015" s="65" t="n"/>
      <c r="AO1015" s="65" t="n"/>
      <c r="AP1015" s="65" t="n"/>
      <c r="AQ1015" s="65" t="n"/>
      <c r="AR1015" s="65" t="n"/>
      <c r="AS1015" s="65" t="n"/>
      <c r="AT1015" s="65" t="n"/>
      <c r="AU1015" s="65" t="n"/>
      <c r="AV1015" s="65" t="n"/>
      <c r="AW1015" s="65" t="n"/>
      <c r="AX1015" s="65" t="n"/>
      <c r="AY1015" s="65" t="n"/>
      <c r="AZ1015" s="65" t="n"/>
      <c r="BA1015" s="65" t="n"/>
      <c r="BB1015" s="65" t="n"/>
      <c r="BC1015" s="65" t="n"/>
      <c r="BD1015" s="65" t="n"/>
      <c r="BE1015" s="65" t="n"/>
      <c r="BF1015" s="65" t="n"/>
      <c r="BG1015" s="65" t="n"/>
    </row>
    <row r="1016">
      <c r="F1016" s="68" t="n"/>
      <c r="G1016" s="68">
        <f>IF(B1016="","",F1016-I1016 )</f>
        <v/>
      </c>
      <c r="H1016" s="5">
        <f>IF(G1016="","",G1016/F1016)</f>
        <v/>
      </c>
      <c r="I1016" s="62">
        <f>SUM(テーブル9[[#This Row],[五大]:[工場材]])</f>
        <v/>
      </c>
      <c r="J1016" s="65" t="n"/>
      <c r="K1016" s="65" t="n"/>
      <c r="L1016" s="65" t="n"/>
      <c r="M1016" s="65" t="n"/>
      <c r="N1016" s="65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6" t="n"/>
      <c r="Y1016" s="65" t="n"/>
      <c r="Z1016" s="65" t="n"/>
      <c r="AA1016" s="65" t="n"/>
      <c r="AB1016" s="65" t="n"/>
      <c r="AC1016" s="65" t="n"/>
      <c r="AD1016" s="65" t="n"/>
      <c r="AE1016" s="65" t="n"/>
      <c r="AF1016" s="65" t="n"/>
      <c r="AG1016" s="65" t="n"/>
      <c r="AH1016" s="65" t="n"/>
      <c r="AI1016" s="65" t="n"/>
      <c r="AJ1016" s="65" t="n"/>
      <c r="AK1016" s="65" t="n"/>
      <c r="AL1016" s="65" t="n"/>
      <c r="AM1016" s="65" t="n"/>
      <c r="AN1016" s="65" t="n"/>
      <c r="AO1016" s="65" t="n"/>
      <c r="AP1016" s="65" t="n"/>
      <c r="AQ1016" s="65" t="n"/>
      <c r="AR1016" s="65" t="n"/>
      <c r="AS1016" s="65" t="n"/>
      <c r="AT1016" s="65" t="n"/>
      <c r="AU1016" s="65" t="n"/>
      <c r="AV1016" s="65" t="n"/>
      <c r="AW1016" s="65" t="n"/>
      <c r="AX1016" s="65" t="n"/>
      <c r="AY1016" s="65" t="n"/>
      <c r="AZ1016" s="65" t="n"/>
      <c r="BA1016" s="65" t="n"/>
      <c r="BB1016" s="65" t="n"/>
      <c r="BC1016" s="65" t="n"/>
      <c r="BD1016" s="65" t="n"/>
      <c r="BE1016" s="65" t="n"/>
      <c r="BF1016" s="65" t="n"/>
      <c r="BG1016" s="65" t="n"/>
    </row>
    <row r="1017">
      <c r="F1017" s="68" t="n"/>
      <c r="G1017" s="68">
        <f>IF(B1017="","",F1017-I1017 )</f>
        <v/>
      </c>
      <c r="H1017" s="5">
        <f>IF(G1017="","",G1017/F1017)</f>
        <v/>
      </c>
      <c r="I1017" s="62">
        <f>SUM(テーブル9[[#This Row],[五大]:[工場材]])</f>
        <v/>
      </c>
      <c r="J1017" s="65" t="n"/>
      <c r="K1017" s="65" t="n"/>
      <c r="L1017" s="65" t="n"/>
      <c r="M1017" s="65" t="n"/>
      <c r="N1017" s="65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6" t="n"/>
      <c r="Y1017" s="65" t="n"/>
      <c r="Z1017" s="65" t="n"/>
      <c r="AA1017" s="65" t="n"/>
      <c r="AB1017" s="65" t="n"/>
      <c r="AC1017" s="65" t="n"/>
      <c r="AD1017" s="65" t="n"/>
      <c r="AE1017" s="65" t="n"/>
      <c r="AF1017" s="65" t="n"/>
      <c r="AG1017" s="65" t="n"/>
      <c r="AH1017" s="65" t="n"/>
      <c r="AI1017" s="65" t="n"/>
      <c r="AJ1017" s="65" t="n"/>
      <c r="AK1017" s="65" t="n"/>
      <c r="AL1017" s="65" t="n"/>
      <c r="AM1017" s="65" t="n"/>
      <c r="AN1017" s="65" t="n"/>
      <c r="AO1017" s="65" t="n"/>
      <c r="AP1017" s="65" t="n"/>
      <c r="AQ1017" s="65" t="n"/>
      <c r="AR1017" s="65" t="n"/>
      <c r="AS1017" s="65" t="n"/>
      <c r="AT1017" s="65" t="n"/>
      <c r="AU1017" s="65" t="n"/>
      <c r="AV1017" s="65" t="n"/>
      <c r="AW1017" s="65" t="n"/>
      <c r="AX1017" s="65" t="n"/>
      <c r="AY1017" s="65" t="n"/>
      <c r="AZ1017" s="65" t="n"/>
      <c r="BA1017" s="65" t="n"/>
      <c r="BB1017" s="65" t="n"/>
      <c r="BC1017" s="65" t="n"/>
      <c r="BD1017" s="65" t="n"/>
      <c r="BE1017" s="65" t="n"/>
      <c r="BF1017" s="65" t="n"/>
      <c r="BG1017" s="65" t="n"/>
    </row>
    <row r="1018">
      <c r="F1018" s="68" t="n"/>
      <c r="G1018" s="68">
        <f>IF(B1018="","",F1018-I1018 )</f>
        <v/>
      </c>
      <c r="H1018" s="5">
        <f>IF(G1018="","",G1018/F1018)</f>
        <v/>
      </c>
      <c r="I1018" s="62">
        <f>SUM(テーブル9[[#This Row],[五大]:[工場材]])</f>
        <v/>
      </c>
      <c r="J1018" s="65" t="n"/>
      <c r="K1018" s="65" t="n"/>
      <c r="L1018" s="65" t="n"/>
      <c r="M1018" s="65" t="n"/>
      <c r="N1018" s="65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6" t="n"/>
      <c r="Y1018" s="65" t="n"/>
      <c r="Z1018" s="65" t="n"/>
      <c r="AA1018" s="65" t="n"/>
      <c r="AB1018" s="65" t="n"/>
      <c r="AC1018" s="65" t="n"/>
      <c r="AD1018" s="65" t="n"/>
      <c r="AE1018" s="65" t="n"/>
      <c r="AF1018" s="65" t="n"/>
      <c r="AG1018" s="65" t="n"/>
      <c r="AH1018" s="65" t="n"/>
      <c r="AI1018" s="65" t="n"/>
      <c r="AJ1018" s="65" t="n"/>
      <c r="AK1018" s="65" t="n"/>
      <c r="AL1018" s="65" t="n"/>
      <c r="AM1018" s="65" t="n"/>
      <c r="AN1018" s="65" t="n"/>
      <c r="AO1018" s="65" t="n"/>
      <c r="AP1018" s="65" t="n"/>
      <c r="AQ1018" s="65" t="n"/>
      <c r="AR1018" s="65" t="n"/>
      <c r="AS1018" s="65" t="n"/>
      <c r="AT1018" s="65" t="n"/>
      <c r="AU1018" s="65" t="n"/>
      <c r="AV1018" s="65" t="n"/>
      <c r="AW1018" s="65" t="n"/>
      <c r="AX1018" s="65" t="n"/>
      <c r="AY1018" s="65" t="n"/>
      <c r="AZ1018" s="65" t="n"/>
      <c r="BA1018" s="65" t="n"/>
      <c r="BB1018" s="65" t="n"/>
      <c r="BC1018" s="65" t="n"/>
      <c r="BD1018" s="65" t="n"/>
      <c r="BE1018" s="65" t="n"/>
      <c r="BF1018" s="65" t="n"/>
      <c r="BG1018" s="65" t="n"/>
    </row>
    <row r="1019">
      <c r="F1019" s="68" t="n"/>
      <c r="G1019" s="68">
        <f>IF(B1019="","",F1019-I1019 )</f>
        <v/>
      </c>
      <c r="H1019" s="5">
        <f>IF(G1019="","",G1019/F1019)</f>
        <v/>
      </c>
      <c r="I1019" s="62">
        <f>SUM(テーブル9[[#This Row],[五大]:[工場材]])</f>
        <v/>
      </c>
      <c r="J1019" s="65" t="n"/>
      <c r="K1019" s="65" t="n"/>
      <c r="L1019" s="65" t="n"/>
      <c r="M1019" s="65" t="n"/>
      <c r="N1019" s="65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6" t="n"/>
      <c r="Y1019" s="65" t="n"/>
      <c r="Z1019" s="65" t="n"/>
      <c r="AA1019" s="65" t="n"/>
      <c r="AB1019" s="65" t="n"/>
      <c r="AC1019" s="65" t="n"/>
      <c r="AD1019" s="65" t="n"/>
      <c r="AE1019" s="65" t="n"/>
      <c r="AF1019" s="65" t="n"/>
      <c r="AG1019" s="65" t="n"/>
      <c r="AH1019" s="65" t="n"/>
      <c r="AI1019" s="65" t="n"/>
      <c r="AJ1019" s="65" t="n"/>
      <c r="AK1019" s="65" t="n"/>
      <c r="AL1019" s="65" t="n"/>
      <c r="AM1019" s="65" t="n"/>
      <c r="AN1019" s="65" t="n"/>
      <c r="AO1019" s="65" t="n"/>
      <c r="AP1019" s="65" t="n"/>
      <c r="AQ1019" s="65" t="n"/>
      <c r="AR1019" s="65" t="n"/>
      <c r="AS1019" s="65" t="n"/>
      <c r="AT1019" s="65" t="n"/>
      <c r="AU1019" s="65" t="n"/>
      <c r="AV1019" s="65" t="n"/>
      <c r="AW1019" s="65" t="n"/>
      <c r="AX1019" s="65" t="n"/>
      <c r="AY1019" s="65" t="n"/>
      <c r="AZ1019" s="65" t="n"/>
      <c r="BA1019" s="65" t="n"/>
      <c r="BB1019" s="65" t="n"/>
      <c r="BC1019" s="65" t="n"/>
      <c r="BD1019" s="65" t="n"/>
      <c r="BE1019" s="65" t="n"/>
      <c r="BF1019" s="65" t="n"/>
      <c r="BG1019" s="65" t="n"/>
    </row>
    <row r="1020">
      <c r="F1020" s="68" t="n"/>
      <c r="G1020" s="68">
        <f>IF(B1020="","",F1020-I1020 )</f>
        <v/>
      </c>
      <c r="H1020" s="5">
        <f>IF(G1020="","",G1020/F1020)</f>
        <v/>
      </c>
      <c r="I1020" s="62">
        <f>SUM(テーブル9[[#This Row],[五大]:[工場材]])</f>
        <v/>
      </c>
      <c r="J1020" s="65" t="n"/>
      <c r="K1020" s="65" t="n"/>
      <c r="L1020" s="65" t="n"/>
      <c r="M1020" s="65" t="n"/>
      <c r="N1020" s="65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6" t="n"/>
      <c r="Y1020" s="65" t="n"/>
      <c r="Z1020" s="65" t="n"/>
      <c r="AA1020" s="65" t="n"/>
      <c r="AB1020" s="65" t="n"/>
      <c r="AC1020" s="65" t="n"/>
      <c r="AD1020" s="65" t="n"/>
      <c r="AE1020" s="65" t="n"/>
      <c r="AF1020" s="65" t="n"/>
      <c r="AG1020" s="65" t="n"/>
      <c r="AH1020" s="65" t="n"/>
      <c r="AI1020" s="65" t="n"/>
      <c r="AJ1020" s="65" t="n"/>
      <c r="AK1020" s="65" t="n"/>
      <c r="AL1020" s="65" t="n"/>
      <c r="AM1020" s="65" t="n"/>
      <c r="AN1020" s="65" t="n"/>
      <c r="AO1020" s="65" t="n"/>
      <c r="AP1020" s="65" t="n"/>
      <c r="AQ1020" s="65" t="n"/>
      <c r="AR1020" s="65" t="n"/>
      <c r="AS1020" s="65" t="n"/>
      <c r="AT1020" s="65" t="n"/>
      <c r="AU1020" s="65" t="n"/>
      <c r="AV1020" s="65" t="n"/>
      <c r="AW1020" s="65" t="n"/>
      <c r="AX1020" s="65" t="n"/>
      <c r="AY1020" s="65" t="n"/>
      <c r="AZ1020" s="65" t="n"/>
      <c r="BA1020" s="65" t="n"/>
      <c r="BB1020" s="65" t="n"/>
      <c r="BC1020" s="65" t="n"/>
      <c r="BD1020" s="65" t="n"/>
      <c r="BE1020" s="65" t="n"/>
      <c r="BF1020" s="65" t="n"/>
      <c r="BG1020" s="65" t="n"/>
    </row>
    <row r="1021">
      <c r="F1021" s="68" t="n"/>
      <c r="G1021" s="68">
        <f>IF(B1021="","",F1021-I1021 )</f>
        <v/>
      </c>
      <c r="H1021" s="5">
        <f>IF(G1021="","",G1021/F1021)</f>
        <v/>
      </c>
      <c r="I1021" s="62">
        <f>SUM(テーブル9[[#This Row],[五大]:[工場材]])</f>
        <v/>
      </c>
      <c r="J1021" s="65" t="n"/>
      <c r="K1021" s="65" t="n"/>
      <c r="L1021" s="65" t="n"/>
      <c r="M1021" s="65" t="n"/>
      <c r="N1021" s="65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6" t="n"/>
      <c r="Y1021" s="65" t="n"/>
      <c r="Z1021" s="65" t="n"/>
      <c r="AA1021" s="65" t="n"/>
      <c r="AB1021" s="65" t="n"/>
      <c r="AC1021" s="65" t="n"/>
      <c r="AD1021" s="65" t="n"/>
      <c r="AE1021" s="65" t="n"/>
      <c r="AF1021" s="65" t="n"/>
      <c r="AG1021" s="65" t="n"/>
      <c r="AH1021" s="65" t="n"/>
      <c r="AI1021" s="65" t="n"/>
      <c r="AJ1021" s="65" t="n"/>
      <c r="AK1021" s="65" t="n"/>
      <c r="AL1021" s="65" t="n"/>
      <c r="AM1021" s="65" t="n"/>
      <c r="AN1021" s="65" t="n"/>
      <c r="AO1021" s="65" t="n"/>
      <c r="AP1021" s="65" t="n"/>
      <c r="AQ1021" s="65" t="n"/>
      <c r="AR1021" s="65" t="n"/>
      <c r="AS1021" s="65" t="n"/>
      <c r="AT1021" s="65" t="n"/>
      <c r="AU1021" s="65" t="n"/>
      <c r="AV1021" s="65" t="n"/>
      <c r="AW1021" s="65" t="n"/>
      <c r="AX1021" s="65" t="n"/>
      <c r="AY1021" s="65" t="n"/>
      <c r="AZ1021" s="65" t="n"/>
      <c r="BA1021" s="65" t="n"/>
      <c r="BB1021" s="65" t="n"/>
      <c r="BC1021" s="65" t="n"/>
      <c r="BD1021" s="65" t="n"/>
      <c r="BE1021" s="65" t="n"/>
      <c r="BF1021" s="65" t="n"/>
      <c r="BG1021" s="65" t="n"/>
    </row>
    <row r="1022">
      <c r="F1022" s="68" t="n"/>
      <c r="G1022" s="68">
        <f>IF(B1022="","",F1022-I1022 )</f>
        <v/>
      </c>
      <c r="H1022" s="5">
        <f>IF(G1022="","",G1022/F1022)</f>
        <v/>
      </c>
      <c r="I1022" s="62">
        <f>SUM(テーブル9[[#This Row],[五大]:[工場材]])</f>
        <v/>
      </c>
      <c r="J1022" s="65" t="n"/>
      <c r="K1022" s="65" t="n"/>
      <c r="L1022" s="65" t="n"/>
      <c r="M1022" s="65" t="n"/>
      <c r="N1022" s="65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6" t="n"/>
      <c r="Y1022" s="65" t="n"/>
      <c r="Z1022" s="65" t="n"/>
      <c r="AA1022" s="65" t="n"/>
      <c r="AB1022" s="65" t="n"/>
      <c r="AC1022" s="65" t="n"/>
      <c r="AD1022" s="65" t="n"/>
      <c r="AE1022" s="65" t="n"/>
      <c r="AF1022" s="65" t="n"/>
      <c r="AG1022" s="65" t="n"/>
      <c r="AH1022" s="65" t="n"/>
      <c r="AI1022" s="65" t="n"/>
      <c r="AJ1022" s="65" t="n"/>
      <c r="AK1022" s="65" t="n"/>
      <c r="AL1022" s="65" t="n"/>
      <c r="AM1022" s="65" t="n"/>
      <c r="AN1022" s="65" t="n"/>
      <c r="AO1022" s="65" t="n"/>
      <c r="AP1022" s="65" t="n"/>
      <c r="AQ1022" s="65" t="n"/>
      <c r="AR1022" s="65" t="n"/>
      <c r="AS1022" s="65" t="n"/>
      <c r="AT1022" s="65" t="n"/>
      <c r="AU1022" s="65" t="n"/>
      <c r="AV1022" s="65" t="n"/>
      <c r="AW1022" s="65" t="n"/>
      <c r="AX1022" s="65" t="n"/>
      <c r="AY1022" s="65" t="n"/>
      <c r="AZ1022" s="65" t="n"/>
      <c r="BA1022" s="65" t="n"/>
      <c r="BB1022" s="65" t="n"/>
      <c r="BC1022" s="65" t="n"/>
      <c r="BD1022" s="65" t="n"/>
      <c r="BE1022" s="65" t="n"/>
      <c r="BF1022" s="65" t="n"/>
      <c r="BG1022" s="65" t="n"/>
    </row>
    <row r="1023">
      <c r="F1023" s="68" t="n"/>
      <c r="G1023" s="68">
        <f>IF(B1023="","",F1023-I1023 )</f>
        <v/>
      </c>
      <c r="H1023" s="5">
        <f>IF(G1023="","",G1023/F1023)</f>
        <v/>
      </c>
      <c r="I1023" s="62">
        <f>SUM(テーブル9[[#This Row],[五大]:[工場材]])</f>
        <v/>
      </c>
      <c r="J1023" s="65" t="n"/>
      <c r="K1023" s="65" t="n"/>
      <c r="L1023" s="65" t="n"/>
      <c r="M1023" s="65" t="n"/>
      <c r="N1023" s="65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6" t="n"/>
      <c r="Y1023" s="65" t="n"/>
      <c r="Z1023" s="65" t="n"/>
      <c r="AA1023" s="65" t="n"/>
      <c r="AB1023" s="65" t="n"/>
      <c r="AC1023" s="65" t="n"/>
      <c r="AD1023" s="65" t="n"/>
      <c r="AE1023" s="65" t="n"/>
      <c r="AF1023" s="65" t="n"/>
      <c r="AG1023" s="65" t="n"/>
      <c r="AH1023" s="65" t="n"/>
      <c r="AI1023" s="65" t="n"/>
      <c r="AJ1023" s="65" t="n"/>
      <c r="AK1023" s="65" t="n"/>
      <c r="AL1023" s="65" t="n"/>
      <c r="AM1023" s="65" t="n"/>
      <c r="AN1023" s="65" t="n"/>
      <c r="AO1023" s="65" t="n"/>
      <c r="AP1023" s="65" t="n"/>
      <c r="AQ1023" s="65" t="n"/>
      <c r="AR1023" s="65" t="n"/>
      <c r="AS1023" s="65" t="n"/>
      <c r="AT1023" s="65" t="n"/>
      <c r="AU1023" s="65" t="n"/>
      <c r="AV1023" s="65" t="n"/>
      <c r="AW1023" s="65" t="n"/>
      <c r="AX1023" s="65" t="n"/>
      <c r="AY1023" s="65" t="n"/>
      <c r="AZ1023" s="65" t="n"/>
      <c r="BA1023" s="65" t="n"/>
      <c r="BB1023" s="65" t="n"/>
      <c r="BC1023" s="65" t="n"/>
      <c r="BD1023" s="65" t="n"/>
      <c r="BE1023" s="65" t="n"/>
      <c r="BF1023" s="65" t="n"/>
      <c r="BG1023" s="65" t="n"/>
    </row>
    <row r="1024">
      <c r="F1024" s="68" t="n"/>
      <c r="G1024" s="68">
        <f>IF(B1024="","",F1024-I1024 )</f>
        <v/>
      </c>
      <c r="H1024" s="5">
        <f>IF(G1024="","",G1024/F1024)</f>
        <v/>
      </c>
      <c r="I1024" s="62">
        <f>SUM(テーブル9[[#This Row],[五大]:[工場材]])</f>
        <v/>
      </c>
      <c r="J1024" s="65" t="n"/>
      <c r="K1024" s="65" t="n"/>
      <c r="L1024" s="65" t="n"/>
      <c r="M1024" s="65" t="n"/>
      <c r="N1024" s="65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6" t="n"/>
      <c r="Y1024" s="65" t="n"/>
      <c r="Z1024" s="65" t="n"/>
      <c r="AA1024" s="65" t="n"/>
      <c r="AB1024" s="65" t="n"/>
      <c r="AC1024" s="65" t="n"/>
      <c r="AD1024" s="65" t="n"/>
      <c r="AE1024" s="65" t="n"/>
      <c r="AF1024" s="65" t="n"/>
      <c r="AG1024" s="65" t="n"/>
      <c r="AH1024" s="65" t="n"/>
      <c r="AI1024" s="65" t="n"/>
      <c r="AJ1024" s="65" t="n"/>
      <c r="AK1024" s="65" t="n"/>
      <c r="AL1024" s="65" t="n"/>
      <c r="AM1024" s="65" t="n"/>
      <c r="AN1024" s="65" t="n"/>
      <c r="AO1024" s="65" t="n"/>
      <c r="AP1024" s="65" t="n"/>
      <c r="AQ1024" s="65" t="n"/>
      <c r="AR1024" s="65" t="n"/>
      <c r="AS1024" s="65" t="n"/>
      <c r="AT1024" s="65" t="n"/>
      <c r="AU1024" s="65" t="n"/>
      <c r="AV1024" s="65" t="n"/>
      <c r="AW1024" s="65" t="n"/>
      <c r="AX1024" s="65" t="n"/>
      <c r="AY1024" s="65" t="n"/>
      <c r="AZ1024" s="65" t="n"/>
      <c r="BA1024" s="65" t="n"/>
      <c r="BB1024" s="65" t="n"/>
      <c r="BC1024" s="65" t="n"/>
      <c r="BD1024" s="65" t="n"/>
      <c r="BE1024" s="65" t="n"/>
      <c r="BF1024" s="65" t="n"/>
      <c r="BG1024" s="65" t="n"/>
    </row>
    <row r="1025">
      <c r="F1025" s="68" t="n"/>
      <c r="G1025" s="68">
        <f>IF(B1025="","",F1025-I1025 )</f>
        <v/>
      </c>
      <c r="H1025" s="5">
        <f>IF(G1025="","",G1025/F1025)</f>
        <v/>
      </c>
      <c r="I1025" s="62">
        <f>SUM(テーブル9[[#This Row],[五大]:[工場材]])</f>
        <v/>
      </c>
      <c r="J1025" s="65" t="n"/>
      <c r="K1025" s="65" t="n"/>
      <c r="L1025" s="65" t="n"/>
      <c r="M1025" s="65" t="n"/>
      <c r="N1025" s="65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6" t="n"/>
      <c r="Y1025" s="65" t="n"/>
      <c r="Z1025" s="65" t="n"/>
      <c r="AA1025" s="65" t="n"/>
      <c r="AB1025" s="65" t="n"/>
      <c r="AC1025" s="65" t="n"/>
      <c r="AD1025" s="65" t="n"/>
      <c r="AE1025" s="65" t="n"/>
      <c r="AF1025" s="65" t="n"/>
      <c r="AG1025" s="65" t="n"/>
      <c r="AH1025" s="65" t="n"/>
      <c r="AI1025" s="65" t="n"/>
      <c r="AJ1025" s="65" t="n"/>
      <c r="AK1025" s="65" t="n"/>
      <c r="AL1025" s="65" t="n"/>
      <c r="AM1025" s="65" t="n"/>
      <c r="AN1025" s="65" t="n"/>
      <c r="AO1025" s="65" t="n"/>
      <c r="AP1025" s="65" t="n"/>
      <c r="AQ1025" s="65" t="n"/>
      <c r="AR1025" s="65" t="n"/>
      <c r="AS1025" s="65" t="n"/>
      <c r="AT1025" s="65" t="n"/>
      <c r="AU1025" s="65" t="n"/>
      <c r="AV1025" s="65" t="n"/>
      <c r="AW1025" s="65" t="n"/>
      <c r="AX1025" s="65" t="n"/>
      <c r="AY1025" s="65" t="n"/>
      <c r="AZ1025" s="65" t="n"/>
      <c r="BA1025" s="65" t="n"/>
      <c r="BB1025" s="65" t="n"/>
      <c r="BC1025" s="65" t="n"/>
      <c r="BD1025" s="65" t="n"/>
      <c r="BE1025" s="65" t="n"/>
      <c r="BF1025" s="65" t="n"/>
      <c r="BG1025" s="65" t="n"/>
    </row>
    <row r="1026">
      <c r="F1026" s="68" t="n"/>
      <c r="G1026" s="68">
        <f>IF(B1026="","",F1026-I1026 )</f>
        <v/>
      </c>
      <c r="H1026" s="5">
        <f>IF(G1026="","",G1026/F1026)</f>
        <v/>
      </c>
      <c r="I1026" s="62">
        <f>SUM(テーブル9[[#This Row],[五大]:[工場材]])</f>
        <v/>
      </c>
      <c r="J1026" s="65" t="n"/>
      <c r="K1026" s="65" t="n"/>
      <c r="L1026" s="65" t="n"/>
      <c r="M1026" s="65" t="n"/>
      <c r="N1026" s="65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6" t="n"/>
      <c r="Y1026" s="65" t="n"/>
      <c r="Z1026" s="65" t="n"/>
      <c r="AA1026" s="65" t="n"/>
      <c r="AB1026" s="65" t="n"/>
      <c r="AC1026" s="65" t="n"/>
      <c r="AD1026" s="65" t="n"/>
      <c r="AE1026" s="65" t="n"/>
      <c r="AF1026" s="65" t="n"/>
      <c r="AG1026" s="65" t="n"/>
      <c r="AH1026" s="65" t="n"/>
      <c r="AI1026" s="65" t="n"/>
      <c r="AJ1026" s="65" t="n"/>
      <c r="AK1026" s="65" t="n"/>
      <c r="AL1026" s="65" t="n"/>
      <c r="AM1026" s="65" t="n"/>
      <c r="AN1026" s="65" t="n"/>
      <c r="AO1026" s="65" t="n"/>
      <c r="AP1026" s="65" t="n"/>
      <c r="AQ1026" s="65" t="n"/>
      <c r="AR1026" s="65" t="n"/>
      <c r="AS1026" s="65" t="n"/>
      <c r="AT1026" s="65" t="n"/>
      <c r="AU1026" s="65" t="n"/>
      <c r="AV1026" s="65" t="n"/>
      <c r="AW1026" s="65" t="n"/>
      <c r="AX1026" s="65" t="n"/>
      <c r="AY1026" s="65" t="n"/>
      <c r="AZ1026" s="65" t="n"/>
      <c r="BA1026" s="65" t="n"/>
      <c r="BB1026" s="65" t="n"/>
      <c r="BC1026" s="65" t="n"/>
      <c r="BD1026" s="65" t="n"/>
      <c r="BE1026" s="65" t="n"/>
      <c r="BF1026" s="65" t="n"/>
      <c r="BG1026" s="65" t="n"/>
    </row>
    <row r="1027">
      <c r="F1027" s="68" t="n"/>
      <c r="G1027" s="68">
        <f>IF(B1027="","",F1027-I1027 )</f>
        <v/>
      </c>
      <c r="H1027" s="5">
        <f>IF(G1027="","",G1027/F1027)</f>
        <v/>
      </c>
      <c r="I1027" s="62">
        <f>SUM(テーブル9[[#This Row],[五大]:[工場材]])</f>
        <v/>
      </c>
      <c r="J1027" s="65" t="n"/>
      <c r="K1027" s="65" t="n"/>
      <c r="L1027" s="65" t="n"/>
      <c r="M1027" s="65" t="n"/>
      <c r="N1027" s="65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6" t="n"/>
      <c r="Y1027" s="65" t="n"/>
      <c r="Z1027" s="65" t="n"/>
      <c r="AA1027" s="65" t="n"/>
      <c r="AB1027" s="65" t="n"/>
      <c r="AC1027" s="65" t="n"/>
      <c r="AD1027" s="65" t="n"/>
      <c r="AE1027" s="65" t="n"/>
      <c r="AF1027" s="65" t="n"/>
      <c r="AG1027" s="65" t="n"/>
      <c r="AH1027" s="65" t="n"/>
      <c r="AI1027" s="65" t="n"/>
      <c r="AJ1027" s="65" t="n"/>
      <c r="AK1027" s="65" t="n"/>
      <c r="AL1027" s="65" t="n"/>
      <c r="AM1027" s="65" t="n"/>
      <c r="AN1027" s="65" t="n"/>
      <c r="AO1027" s="65" t="n"/>
      <c r="AP1027" s="65" t="n"/>
      <c r="AQ1027" s="65" t="n"/>
      <c r="AR1027" s="65" t="n"/>
      <c r="AS1027" s="65" t="n"/>
      <c r="AT1027" s="65" t="n"/>
      <c r="AU1027" s="65" t="n"/>
      <c r="AV1027" s="65" t="n"/>
      <c r="AW1027" s="65" t="n"/>
      <c r="AX1027" s="65" t="n"/>
      <c r="AY1027" s="65" t="n"/>
      <c r="AZ1027" s="65" t="n"/>
      <c r="BA1027" s="65" t="n"/>
      <c r="BB1027" s="65" t="n"/>
      <c r="BC1027" s="65" t="n"/>
      <c r="BD1027" s="65" t="n"/>
      <c r="BE1027" s="65" t="n"/>
      <c r="BF1027" s="65" t="n"/>
      <c r="BG1027" s="65" t="n"/>
    </row>
    <row r="1028">
      <c r="F1028" s="68" t="n"/>
      <c r="G1028" s="68">
        <f>IF(B1028="","",F1028-I1028 )</f>
        <v/>
      </c>
      <c r="H1028" s="5">
        <f>IF(G1028="","",G1028/F1028)</f>
        <v/>
      </c>
      <c r="I1028" s="62">
        <f>SUM(テーブル9[[#This Row],[五大]:[工場材]])</f>
        <v/>
      </c>
      <c r="J1028" s="65" t="n"/>
      <c r="K1028" s="65" t="n"/>
      <c r="L1028" s="65" t="n"/>
      <c r="M1028" s="65" t="n"/>
      <c r="N1028" s="65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6" t="n"/>
      <c r="Y1028" s="65" t="n"/>
      <c r="Z1028" s="65" t="n"/>
      <c r="AA1028" s="65" t="n"/>
      <c r="AB1028" s="65" t="n"/>
      <c r="AC1028" s="65" t="n"/>
      <c r="AD1028" s="65" t="n"/>
      <c r="AE1028" s="65" t="n"/>
      <c r="AF1028" s="65" t="n"/>
      <c r="AG1028" s="65" t="n"/>
      <c r="AH1028" s="65" t="n"/>
      <c r="AI1028" s="65" t="n"/>
      <c r="AJ1028" s="65" t="n"/>
      <c r="AK1028" s="65" t="n"/>
      <c r="AL1028" s="65" t="n"/>
      <c r="AM1028" s="65" t="n"/>
      <c r="AN1028" s="65" t="n"/>
      <c r="AO1028" s="65" t="n"/>
      <c r="AP1028" s="65" t="n"/>
      <c r="AQ1028" s="65" t="n"/>
      <c r="AR1028" s="65" t="n"/>
      <c r="AS1028" s="65" t="n"/>
      <c r="AT1028" s="65" t="n"/>
      <c r="AU1028" s="65" t="n"/>
      <c r="AV1028" s="65" t="n"/>
      <c r="AW1028" s="65" t="n"/>
      <c r="AX1028" s="65" t="n"/>
      <c r="AY1028" s="65" t="n"/>
      <c r="AZ1028" s="65" t="n"/>
      <c r="BA1028" s="65" t="n"/>
      <c r="BB1028" s="65" t="n"/>
      <c r="BC1028" s="65" t="n"/>
      <c r="BD1028" s="65" t="n"/>
      <c r="BE1028" s="65" t="n"/>
      <c r="BF1028" s="65" t="n"/>
      <c r="BG1028" s="65" t="n"/>
    </row>
    <row r="1029">
      <c r="F1029" s="68" t="n"/>
      <c r="G1029" s="68">
        <f>IF(B1029="","",F1029-I1029 )</f>
        <v/>
      </c>
      <c r="H1029" s="5">
        <f>IF(G1029="","",G1029/F1029)</f>
        <v/>
      </c>
      <c r="I1029" s="62">
        <f>SUM(テーブル9[[#This Row],[五大]:[工場材]])</f>
        <v/>
      </c>
      <c r="J1029" s="65" t="n"/>
      <c r="K1029" s="65" t="n"/>
      <c r="L1029" s="65" t="n"/>
      <c r="M1029" s="65" t="n"/>
      <c r="N1029" s="65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6" t="n"/>
      <c r="Y1029" s="65" t="n"/>
      <c r="Z1029" s="65" t="n"/>
      <c r="AA1029" s="65" t="n"/>
      <c r="AB1029" s="65" t="n"/>
      <c r="AC1029" s="65" t="n"/>
      <c r="AD1029" s="65" t="n"/>
      <c r="AE1029" s="65" t="n"/>
      <c r="AF1029" s="65" t="n"/>
      <c r="AG1029" s="65" t="n"/>
      <c r="AH1029" s="65" t="n"/>
      <c r="AI1029" s="65" t="n"/>
      <c r="AJ1029" s="65" t="n"/>
      <c r="AK1029" s="65" t="n"/>
      <c r="AL1029" s="65" t="n"/>
      <c r="AM1029" s="65" t="n"/>
      <c r="AN1029" s="65" t="n"/>
      <c r="AO1029" s="65" t="n"/>
      <c r="AP1029" s="65" t="n"/>
      <c r="AQ1029" s="65" t="n"/>
      <c r="AR1029" s="65" t="n"/>
      <c r="AS1029" s="65" t="n"/>
      <c r="AT1029" s="65" t="n"/>
      <c r="AU1029" s="65" t="n"/>
      <c r="AV1029" s="65" t="n"/>
      <c r="AW1029" s="65" t="n"/>
      <c r="AX1029" s="65" t="n"/>
      <c r="AY1029" s="65" t="n"/>
      <c r="AZ1029" s="65" t="n"/>
      <c r="BA1029" s="65" t="n"/>
      <c r="BB1029" s="65" t="n"/>
      <c r="BC1029" s="65" t="n"/>
      <c r="BD1029" s="65" t="n"/>
      <c r="BE1029" s="65" t="n"/>
      <c r="BF1029" s="65" t="n"/>
      <c r="BG1029" s="65" t="n"/>
    </row>
    <row r="1030">
      <c r="F1030" s="68" t="n"/>
      <c r="G1030" s="68">
        <f>IF(B1030="","",F1030-I1030 )</f>
        <v/>
      </c>
      <c r="H1030" s="5">
        <f>IF(G1030="","",G1030/F1030)</f>
        <v/>
      </c>
      <c r="I1030" s="62">
        <f>SUM(テーブル9[[#This Row],[五大]:[工場材]])</f>
        <v/>
      </c>
      <c r="J1030" s="65" t="n"/>
      <c r="K1030" s="65" t="n"/>
      <c r="L1030" s="65" t="n"/>
      <c r="M1030" s="65" t="n"/>
      <c r="N1030" s="65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6" t="n"/>
      <c r="Y1030" s="65" t="n"/>
      <c r="Z1030" s="65" t="n"/>
      <c r="AA1030" s="65" t="n"/>
      <c r="AB1030" s="65" t="n"/>
      <c r="AC1030" s="65" t="n"/>
      <c r="AD1030" s="65" t="n"/>
      <c r="AE1030" s="65" t="n"/>
      <c r="AF1030" s="65" t="n"/>
      <c r="AG1030" s="65" t="n"/>
      <c r="AH1030" s="65" t="n"/>
      <c r="AI1030" s="65" t="n"/>
      <c r="AJ1030" s="65" t="n"/>
      <c r="AK1030" s="65" t="n"/>
      <c r="AL1030" s="65" t="n"/>
      <c r="AM1030" s="65" t="n"/>
      <c r="AN1030" s="65" t="n"/>
      <c r="AO1030" s="65" t="n"/>
      <c r="AP1030" s="65" t="n"/>
      <c r="AQ1030" s="65" t="n"/>
      <c r="AR1030" s="65" t="n"/>
      <c r="AS1030" s="65" t="n"/>
      <c r="AT1030" s="65" t="n"/>
      <c r="AU1030" s="65" t="n"/>
      <c r="AV1030" s="65" t="n"/>
      <c r="AW1030" s="65" t="n"/>
      <c r="AX1030" s="65" t="n"/>
      <c r="AY1030" s="65" t="n"/>
      <c r="AZ1030" s="65" t="n"/>
      <c r="BA1030" s="65" t="n"/>
      <c r="BB1030" s="65" t="n"/>
      <c r="BC1030" s="65" t="n"/>
      <c r="BD1030" s="65" t="n"/>
      <c r="BE1030" s="65" t="n"/>
      <c r="BF1030" s="65" t="n"/>
      <c r="BG1030" s="65" t="n"/>
    </row>
    <row r="1031">
      <c r="F1031" s="68" t="n"/>
      <c r="G1031" s="68">
        <f>IF(B1031="","",F1031-I1031 )</f>
        <v/>
      </c>
      <c r="H1031" s="5">
        <f>IF(G1031="","",G1031/F1031)</f>
        <v/>
      </c>
      <c r="I1031" s="62">
        <f>SUM(テーブル9[[#This Row],[五大]:[工場材]])</f>
        <v/>
      </c>
      <c r="J1031" s="65" t="n"/>
      <c r="K1031" s="65" t="n"/>
      <c r="L1031" s="65" t="n"/>
      <c r="M1031" s="65" t="n"/>
      <c r="N1031" s="65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6" t="n"/>
      <c r="Y1031" s="65" t="n"/>
      <c r="Z1031" s="65" t="n"/>
      <c r="AA1031" s="65" t="n"/>
      <c r="AB1031" s="65" t="n"/>
      <c r="AC1031" s="65" t="n"/>
      <c r="AD1031" s="65" t="n"/>
      <c r="AE1031" s="65" t="n"/>
      <c r="AF1031" s="65" t="n"/>
      <c r="AG1031" s="65" t="n"/>
      <c r="AH1031" s="65" t="n"/>
      <c r="AI1031" s="65" t="n"/>
      <c r="AJ1031" s="65" t="n"/>
      <c r="AK1031" s="65" t="n"/>
      <c r="AL1031" s="65" t="n"/>
      <c r="AM1031" s="65" t="n"/>
      <c r="AN1031" s="65" t="n"/>
      <c r="AO1031" s="65" t="n"/>
      <c r="AP1031" s="65" t="n"/>
      <c r="AQ1031" s="65" t="n"/>
      <c r="AR1031" s="65" t="n"/>
      <c r="AS1031" s="65" t="n"/>
      <c r="AT1031" s="65" t="n"/>
      <c r="AU1031" s="65" t="n"/>
      <c r="AV1031" s="65" t="n"/>
      <c r="AW1031" s="65" t="n"/>
      <c r="AX1031" s="65" t="n"/>
      <c r="AY1031" s="65" t="n"/>
      <c r="AZ1031" s="65" t="n"/>
      <c r="BA1031" s="65" t="n"/>
      <c r="BB1031" s="65" t="n"/>
      <c r="BC1031" s="65" t="n"/>
      <c r="BD1031" s="65" t="n"/>
      <c r="BE1031" s="65" t="n"/>
      <c r="BF1031" s="65" t="n"/>
      <c r="BG1031" s="65" t="n"/>
    </row>
    <row r="1032">
      <c r="F1032" s="68" t="n"/>
      <c r="G1032" s="68">
        <f>IF(B1032="","",F1032-I1032 )</f>
        <v/>
      </c>
      <c r="H1032" s="5">
        <f>IF(G1032="","",G1032/F1032)</f>
        <v/>
      </c>
      <c r="I1032" s="62">
        <f>SUM(テーブル9[[#This Row],[五大]:[工場材]])</f>
        <v/>
      </c>
      <c r="J1032" s="65" t="n"/>
      <c r="K1032" s="65" t="n"/>
      <c r="L1032" s="65" t="n"/>
      <c r="M1032" s="65" t="n"/>
      <c r="N1032" s="65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6" t="n"/>
      <c r="Y1032" s="65" t="n"/>
      <c r="Z1032" s="65" t="n"/>
      <c r="AA1032" s="65" t="n"/>
      <c r="AB1032" s="65" t="n"/>
      <c r="AC1032" s="65" t="n"/>
      <c r="AD1032" s="65" t="n"/>
      <c r="AE1032" s="65" t="n"/>
      <c r="AF1032" s="65" t="n"/>
      <c r="AG1032" s="65" t="n"/>
      <c r="AH1032" s="65" t="n"/>
      <c r="AI1032" s="65" t="n"/>
      <c r="AJ1032" s="65" t="n"/>
      <c r="AK1032" s="65" t="n"/>
      <c r="AL1032" s="65" t="n"/>
      <c r="AM1032" s="65" t="n"/>
      <c r="AN1032" s="65" t="n"/>
      <c r="AO1032" s="65" t="n"/>
      <c r="AP1032" s="65" t="n"/>
      <c r="AQ1032" s="65" t="n"/>
      <c r="AR1032" s="65" t="n"/>
      <c r="AS1032" s="65" t="n"/>
      <c r="AT1032" s="65" t="n"/>
      <c r="AU1032" s="65" t="n"/>
      <c r="AV1032" s="65" t="n"/>
      <c r="AW1032" s="65" t="n"/>
      <c r="AX1032" s="65" t="n"/>
      <c r="AY1032" s="65" t="n"/>
      <c r="AZ1032" s="65" t="n"/>
      <c r="BA1032" s="65" t="n"/>
      <c r="BB1032" s="65" t="n"/>
      <c r="BC1032" s="65" t="n"/>
      <c r="BD1032" s="65" t="n"/>
      <c r="BE1032" s="65" t="n"/>
      <c r="BF1032" s="65" t="n"/>
      <c r="BG1032" s="65" t="n"/>
    </row>
    <row r="1033">
      <c r="F1033" s="68" t="n"/>
      <c r="G1033" s="68">
        <f>IF(B1033="","",F1033-I1033 )</f>
        <v/>
      </c>
      <c r="H1033" s="5">
        <f>IF(G1033="","",G1033/F1033)</f>
        <v/>
      </c>
      <c r="I1033" s="62">
        <f>SUM(テーブル9[[#This Row],[五大]:[工場材]])</f>
        <v/>
      </c>
      <c r="J1033" s="65" t="n"/>
      <c r="K1033" s="65" t="n"/>
      <c r="L1033" s="65" t="n"/>
      <c r="M1033" s="65" t="n"/>
      <c r="N1033" s="65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6" t="n"/>
      <c r="Y1033" s="65" t="n"/>
      <c r="Z1033" s="65" t="n"/>
      <c r="AA1033" s="65" t="n"/>
      <c r="AB1033" s="65" t="n"/>
      <c r="AC1033" s="65" t="n"/>
      <c r="AD1033" s="65" t="n"/>
      <c r="AE1033" s="65" t="n"/>
      <c r="AF1033" s="65" t="n"/>
      <c r="AG1033" s="65" t="n"/>
      <c r="AH1033" s="65" t="n"/>
      <c r="AI1033" s="65" t="n"/>
      <c r="AJ1033" s="65" t="n"/>
      <c r="AK1033" s="65" t="n"/>
      <c r="AL1033" s="65" t="n"/>
      <c r="AM1033" s="65" t="n"/>
      <c r="AN1033" s="65" t="n"/>
      <c r="AO1033" s="65" t="n"/>
      <c r="AP1033" s="65" t="n"/>
      <c r="AQ1033" s="65" t="n"/>
      <c r="AR1033" s="65" t="n"/>
      <c r="AS1033" s="65" t="n"/>
      <c r="AT1033" s="65" t="n"/>
      <c r="AU1033" s="65" t="n"/>
      <c r="AV1033" s="65" t="n"/>
      <c r="AW1033" s="65" t="n"/>
      <c r="AX1033" s="65" t="n"/>
      <c r="AY1033" s="65" t="n"/>
      <c r="AZ1033" s="65" t="n"/>
      <c r="BA1033" s="65" t="n"/>
      <c r="BB1033" s="65" t="n"/>
      <c r="BC1033" s="65" t="n"/>
      <c r="BD1033" s="65" t="n"/>
      <c r="BE1033" s="65" t="n"/>
      <c r="BF1033" s="65" t="n"/>
      <c r="BG1033" s="65" t="n"/>
    </row>
    <row r="1034">
      <c r="F1034" s="68" t="n"/>
      <c r="G1034" s="68">
        <f>IF(B1034="","",F1034-I1034 )</f>
        <v/>
      </c>
      <c r="H1034" s="5">
        <f>IF(G1034="","",G1034/F1034)</f>
        <v/>
      </c>
      <c r="I1034" s="62">
        <f>SUM(テーブル9[[#This Row],[五大]:[工場材]])</f>
        <v/>
      </c>
      <c r="J1034" s="65" t="n"/>
      <c r="K1034" s="65" t="n"/>
      <c r="L1034" s="65" t="n"/>
      <c r="M1034" s="65" t="n"/>
      <c r="N1034" s="65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6" t="n"/>
      <c r="Y1034" s="65" t="n"/>
      <c r="Z1034" s="65" t="n"/>
      <c r="AA1034" s="65" t="n"/>
      <c r="AB1034" s="65" t="n"/>
      <c r="AC1034" s="65" t="n"/>
      <c r="AD1034" s="65" t="n"/>
      <c r="AE1034" s="65" t="n"/>
      <c r="AF1034" s="65" t="n"/>
      <c r="AG1034" s="65" t="n"/>
      <c r="AH1034" s="65" t="n"/>
      <c r="AI1034" s="65" t="n"/>
      <c r="AJ1034" s="65" t="n"/>
      <c r="AK1034" s="65" t="n"/>
      <c r="AL1034" s="65" t="n"/>
      <c r="AM1034" s="65" t="n"/>
      <c r="AN1034" s="65" t="n"/>
      <c r="AO1034" s="65" t="n"/>
      <c r="AP1034" s="65" t="n"/>
      <c r="AQ1034" s="65" t="n"/>
      <c r="AR1034" s="65" t="n"/>
      <c r="AS1034" s="65" t="n"/>
      <c r="AT1034" s="65" t="n"/>
      <c r="AU1034" s="65" t="n"/>
      <c r="AV1034" s="65" t="n"/>
      <c r="AW1034" s="65" t="n"/>
      <c r="AX1034" s="65" t="n"/>
      <c r="AY1034" s="65" t="n"/>
      <c r="AZ1034" s="65" t="n"/>
      <c r="BA1034" s="65" t="n"/>
      <c r="BB1034" s="65" t="n"/>
      <c r="BC1034" s="65" t="n"/>
      <c r="BD1034" s="65" t="n"/>
      <c r="BE1034" s="65" t="n"/>
      <c r="BF1034" s="65" t="n"/>
      <c r="BG1034" s="65" t="n"/>
    </row>
    <row r="1035">
      <c r="F1035" s="68" t="n"/>
      <c r="G1035" s="68">
        <f>IF(B1035="","",F1035-I1035 )</f>
        <v/>
      </c>
      <c r="H1035" s="5">
        <f>IF(G1035="","",G1035/F1035)</f>
        <v/>
      </c>
      <c r="I1035" s="62">
        <f>SUM(テーブル9[[#This Row],[五大]:[工場材]])</f>
        <v/>
      </c>
      <c r="J1035" s="65" t="n"/>
      <c r="K1035" s="65" t="n"/>
      <c r="L1035" s="65" t="n"/>
      <c r="M1035" s="65" t="n"/>
      <c r="N1035" s="65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6" t="n"/>
      <c r="Y1035" s="65" t="n"/>
      <c r="Z1035" s="65" t="n"/>
      <c r="AA1035" s="65" t="n"/>
      <c r="AB1035" s="65" t="n"/>
      <c r="AC1035" s="65" t="n"/>
      <c r="AD1035" s="65" t="n"/>
      <c r="AE1035" s="65" t="n"/>
      <c r="AF1035" s="65" t="n"/>
      <c r="AG1035" s="65" t="n"/>
      <c r="AH1035" s="65" t="n"/>
      <c r="AI1035" s="65" t="n"/>
      <c r="AJ1035" s="65" t="n"/>
      <c r="AK1035" s="65" t="n"/>
      <c r="AL1035" s="65" t="n"/>
      <c r="AM1035" s="65" t="n"/>
      <c r="AN1035" s="65" t="n"/>
      <c r="AO1035" s="65" t="n"/>
      <c r="AP1035" s="65" t="n"/>
      <c r="AQ1035" s="65" t="n"/>
      <c r="AR1035" s="65" t="n"/>
      <c r="AS1035" s="65" t="n"/>
      <c r="AT1035" s="65" t="n"/>
      <c r="AU1035" s="65" t="n"/>
      <c r="AV1035" s="65" t="n"/>
      <c r="AW1035" s="65" t="n"/>
      <c r="AX1035" s="65" t="n"/>
      <c r="AY1035" s="65" t="n"/>
      <c r="AZ1035" s="65" t="n"/>
      <c r="BA1035" s="65" t="n"/>
      <c r="BB1035" s="65" t="n"/>
      <c r="BC1035" s="65" t="n"/>
      <c r="BD1035" s="65" t="n"/>
      <c r="BE1035" s="65" t="n"/>
      <c r="BF1035" s="65" t="n"/>
      <c r="BG1035" s="65" t="n"/>
    </row>
    <row r="1036">
      <c r="F1036" s="68" t="n"/>
      <c r="G1036" s="68">
        <f>IF(B1036="","",F1036-I1036 )</f>
        <v/>
      </c>
      <c r="H1036" s="5">
        <f>IF(G1036="","",G1036/F1036)</f>
        <v/>
      </c>
      <c r="I1036" s="62">
        <f>SUM(テーブル9[[#This Row],[五大]:[工場材]])</f>
        <v/>
      </c>
      <c r="J1036" s="65" t="n"/>
      <c r="K1036" s="65" t="n"/>
      <c r="L1036" s="65" t="n"/>
      <c r="M1036" s="65" t="n"/>
      <c r="N1036" s="65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6" t="n"/>
      <c r="Y1036" s="65" t="n"/>
      <c r="Z1036" s="65" t="n"/>
      <c r="AA1036" s="65" t="n"/>
      <c r="AB1036" s="65" t="n"/>
      <c r="AC1036" s="65" t="n"/>
      <c r="AD1036" s="65" t="n"/>
      <c r="AE1036" s="65" t="n"/>
      <c r="AF1036" s="65" t="n"/>
      <c r="AG1036" s="65" t="n"/>
      <c r="AH1036" s="65" t="n"/>
      <c r="AI1036" s="65" t="n"/>
      <c r="AJ1036" s="65" t="n"/>
      <c r="AK1036" s="65" t="n"/>
      <c r="AL1036" s="65" t="n"/>
      <c r="AM1036" s="65" t="n"/>
      <c r="AN1036" s="65" t="n"/>
      <c r="AO1036" s="65" t="n"/>
      <c r="AP1036" s="65" t="n"/>
      <c r="AQ1036" s="65" t="n"/>
      <c r="AR1036" s="65" t="n"/>
      <c r="AS1036" s="65" t="n"/>
      <c r="AT1036" s="65" t="n"/>
      <c r="AU1036" s="65" t="n"/>
      <c r="AV1036" s="65" t="n"/>
      <c r="AW1036" s="65" t="n"/>
      <c r="AX1036" s="65" t="n"/>
      <c r="AY1036" s="65" t="n"/>
      <c r="AZ1036" s="65" t="n"/>
      <c r="BA1036" s="65" t="n"/>
      <c r="BB1036" s="65" t="n"/>
      <c r="BC1036" s="65" t="n"/>
      <c r="BD1036" s="65" t="n"/>
      <c r="BE1036" s="65" t="n"/>
      <c r="BF1036" s="65" t="n"/>
      <c r="BG1036" s="65" t="n"/>
    </row>
    <row r="1037">
      <c r="F1037" s="68" t="n"/>
      <c r="G1037" s="68">
        <f>IF(B1037="","",F1037-I1037 )</f>
        <v/>
      </c>
      <c r="H1037" s="5">
        <f>IF(G1037="","",G1037/F1037)</f>
        <v/>
      </c>
      <c r="I1037" s="62">
        <f>SUM(テーブル9[[#This Row],[五大]:[工場材]])</f>
        <v/>
      </c>
      <c r="J1037" s="65" t="n"/>
      <c r="K1037" s="65" t="n"/>
      <c r="L1037" s="65" t="n"/>
      <c r="M1037" s="65" t="n"/>
      <c r="N1037" s="65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6" t="n"/>
      <c r="Y1037" s="65" t="n"/>
      <c r="Z1037" s="65" t="n"/>
      <c r="AA1037" s="65" t="n"/>
      <c r="AB1037" s="65" t="n"/>
      <c r="AC1037" s="65" t="n"/>
      <c r="AD1037" s="65" t="n"/>
      <c r="AE1037" s="65" t="n"/>
      <c r="AF1037" s="65" t="n"/>
      <c r="AG1037" s="65" t="n"/>
      <c r="AH1037" s="65" t="n"/>
      <c r="AI1037" s="65" t="n"/>
      <c r="AJ1037" s="65" t="n"/>
      <c r="AK1037" s="65" t="n"/>
      <c r="AL1037" s="65" t="n"/>
      <c r="AM1037" s="65" t="n"/>
      <c r="AN1037" s="65" t="n"/>
      <c r="AO1037" s="65" t="n"/>
      <c r="AP1037" s="65" t="n"/>
      <c r="AQ1037" s="65" t="n"/>
      <c r="AR1037" s="65" t="n"/>
      <c r="AS1037" s="65" t="n"/>
      <c r="AT1037" s="65" t="n"/>
      <c r="AU1037" s="65" t="n"/>
      <c r="AV1037" s="65" t="n"/>
      <c r="AW1037" s="65" t="n"/>
      <c r="AX1037" s="65" t="n"/>
      <c r="AY1037" s="65" t="n"/>
      <c r="AZ1037" s="65" t="n"/>
      <c r="BA1037" s="65" t="n"/>
      <c r="BB1037" s="65" t="n"/>
      <c r="BC1037" s="65" t="n"/>
      <c r="BD1037" s="65" t="n"/>
      <c r="BE1037" s="65" t="n"/>
      <c r="BF1037" s="65" t="n"/>
      <c r="BG1037" s="65" t="n"/>
    </row>
    <row r="1038">
      <c r="F1038" s="68" t="n"/>
      <c r="G1038" s="68">
        <f>IF(B1038="","",F1038-I1038 )</f>
        <v/>
      </c>
      <c r="H1038" s="5">
        <f>IF(G1038="","",G1038/F1038)</f>
        <v/>
      </c>
      <c r="I1038" s="62">
        <f>SUM(テーブル9[[#This Row],[五大]:[工場材]])</f>
        <v/>
      </c>
      <c r="J1038" s="65" t="n"/>
      <c r="K1038" s="65" t="n"/>
      <c r="L1038" s="65" t="n"/>
      <c r="M1038" s="65" t="n"/>
      <c r="N1038" s="65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6" t="n"/>
      <c r="Y1038" s="65" t="n"/>
      <c r="Z1038" s="65" t="n"/>
      <c r="AA1038" s="65" t="n"/>
      <c r="AB1038" s="65" t="n"/>
      <c r="AC1038" s="65" t="n"/>
      <c r="AD1038" s="65" t="n"/>
      <c r="AE1038" s="65" t="n"/>
      <c r="AF1038" s="65" t="n"/>
      <c r="AG1038" s="65" t="n"/>
      <c r="AH1038" s="65" t="n"/>
      <c r="AI1038" s="65" t="n"/>
      <c r="AJ1038" s="65" t="n"/>
      <c r="AK1038" s="65" t="n"/>
      <c r="AL1038" s="65" t="n"/>
      <c r="AM1038" s="65" t="n"/>
      <c r="AN1038" s="65" t="n"/>
      <c r="AO1038" s="65" t="n"/>
      <c r="AP1038" s="65" t="n"/>
      <c r="AQ1038" s="65" t="n"/>
      <c r="AR1038" s="65" t="n"/>
      <c r="AS1038" s="65" t="n"/>
      <c r="AT1038" s="65" t="n"/>
      <c r="AU1038" s="65" t="n"/>
      <c r="AV1038" s="65" t="n"/>
      <c r="AW1038" s="65" t="n"/>
      <c r="AX1038" s="65" t="n"/>
      <c r="AY1038" s="65" t="n"/>
      <c r="AZ1038" s="65" t="n"/>
      <c r="BA1038" s="65" t="n"/>
      <c r="BB1038" s="65" t="n"/>
      <c r="BC1038" s="65" t="n"/>
      <c r="BD1038" s="65" t="n"/>
      <c r="BE1038" s="65" t="n"/>
      <c r="BF1038" s="65" t="n"/>
      <c r="BG1038" s="65" t="n"/>
    </row>
    <row r="1039">
      <c r="F1039" s="68" t="n"/>
      <c r="G1039" s="68">
        <f>IF(B1039="","",F1039-I1039 )</f>
        <v/>
      </c>
      <c r="H1039" s="5">
        <f>IF(G1039="","",G1039/F1039)</f>
        <v/>
      </c>
      <c r="I1039" s="62">
        <f>SUM(テーブル9[[#This Row],[五大]:[工場材]])</f>
        <v/>
      </c>
      <c r="J1039" s="65" t="n"/>
      <c r="K1039" s="65" t="n"/>
      <c r="L1039" s="65" t="n"/>
      <c r="M1039" s="65" t="n"/>
      <c r="N1039" s="65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6" t="n"/>
      <c r="Y1039" s="65" t="n"/>
      <c r="Z1039" s="65" t="n"/>
      <c r="AA1039" s="65" t="n"/>
      <c r="AB1039" s="65" t="n"/>
      <c r="AC1039" s="65" t="n"/>
      <c r="AD1039" s="65" t="n"/>
      <c r="AE1039" s="65" t="n"/>
      <c r="AF1039" s="65" t="n"/>
      <c r="AG1039" s="65" t="n"/>
      <c r="AH1039" s="65" t="n"/>
      <c r="AI1039" s="65" t="n"/>
      <c r="AJ1039" s="65" t="n"/>
      <c r="AK1039" s="65" t="n"/>
      <c r="AL1039" s="65" t="n"/>
      <c r="AM1039" s="65" t="n"/>
      <c r="AN1039" s="65" t="n"/>
      <c r="AO1039" s="65" t="n"/>
      <c r="AP1039" s="65" t="n"/>
      <c r="AQ1039" s="65" t="n"/>
      <c r="AR1039" s="65" t="n"/>
      <c r="AS1039" s="65" t="n"/>
      <c r="AT1039" s="65" t="n"/>
      <c r="AU1039" s="65" t="n"/>
      <c r="AV1039" s="65" t="n"/>
      <c r="AW1039" s="65" t="n"/>
      <c r="AX1039" s="65" t="n"/>
      <c r="AY1039" s="65" t="n"/>
      <c r="AZ1039" s="65" t="n"/>
      <c r="BA1039" s="65" t="n"/>
      <c r="BB1039" s="65" t="n"/>
      <c r="BC1039" s="65" t="n"/>
      <c r="BD1039" s="65" t="n"/>
      <c r="BE1039" s="65" t="n"/>
      <c r="BF1039" s="65" t="n"/>
      <c r="BG1039" s="65" t="n"/>
    </row>
    <row r="1040">
      <c r="F1040" s="68" t="n"/>
      <c r="G1040" s="68">
        <f>IF(B1040="","",F1040-I1040 )</f>
        <v/>
      </c>
      <c r="H1040" s="5">
        <f>IF(G1040="","",G1040/F1040)</f>
        <v/>
      </c>
      <c r="I1040" s="62">
        <f>SUM(テーブル9[[#This Row],[五大]:[工場材]])</f>
        <v/>
      </c>
      <c r="J1040" s="65" t="n"/>
      <c r="K1040" s="65" t="n"/>
      <c r="L1040" s="65" t="n"/>
      <c r="M1040" s="65" t="n"/>
      <c r="N1040" s="65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6" t="n"/>
      <c r="Y1040" s="65" t="n"/>
      <c r="Z1040" s="65" t="n"/>
      <c r="AA1040" s="65" t="n"/>
      <c r="AB1040" s="65" t="n"/>
      <c r="AC1040" s="65" t="n"/>
      <c r="AD1040" s="65" t="n"/>
      <c r="AE1040" s="65" t="n"/>
      <c r="AF1040" s="65" t="n"/>
      <c r="AG1040" s="65" t="n"/>
      <c r="AH1040" s="65" t="n"/>
      <c r="AI1040" s="65" t="n"/>
      <c r="AJ1040" s="65" t="n"/>
      <c r="AK1040" s="65" t="n"/>
      <c r="AL1040" s="65" t="n"/>
      <c r="AM1040" s="65" t="n"/>
      <c r="AN1040" s="65" t="n"/>
      <c r="AO1040" s="65" t="n"/>
      <c r="AP1040" s="65" t="n"/>
      <c r="AQ1040" s="65" t="n"/>
      <c r="AR1040" s="65" t="n"/>
      <c r="AS1040" s="65" t="n"/>
      <c r="AT1040" s="65" t="n"/>
      <c r="AU1040" s="65" t="n"/>
      <c r="AV1040" s="65" t="n"/>
      <c r="AW1040" s="65" t="n"/>
      <c r="AX1040" s="65" t="n"/>
      <c r="AY1040" s="65" t="n"/>
      <c r="AZ1040" s="65" t="n"/>
      <c r="BA1040" s="65" t="n"/>
      <c r="BB1040" s="65" t="n"/>
      <c r="BC1040" s="65" t="n"/>
      <c r="BD1040" s="65" t="n"/>
      <c r="BE1040" s="65" t="n"/>
      <c r="BF1040" s="65" t="n"/>
      <c r="BG1040" s="65" t="n"/>
    </row>
    <row r="1041">
      <c r="F1041" s="68" t="n"/>
      <c r="G1041" s="68">
        <f>IF(B1041="","",F1041-I1041 )</f>
        <v/>
      </c>
      <c r="H1041" s="5">
        <f>IF(G1041="","",G1041/F1041)</f>
        <v/>
      </c>
      <c r="I1041" s="62">
        <f>SUM(テーブル9[[#This Row],[五大]:[工場材]])</f>
        <v/>
      </c>
      <c r="J1041" s="65" t="n"/>
      <c r="K1041" s="65" t="n"/>
      <c r="L1041" s="65" t="n"/>
      <c r="M1041" s="65" t="n"/>
      <c r="N1041" s="65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6" t="n"/>
      <c r="Y1041" s="65" t="n"/>
      <c r="Z1041" s="65" t="n"/>
      <c r="AA1041" s="65" t="n"/>
      <c r="AB1041" s="65" t="n"/>
      <c r="AC1041" s="65" t="n"/>
      <c r="AD1041" s="65" t="n"/>
      <c r="AE1041" s="65" t="n"/>
      <c r="AF1041" s="65" t="n"/>
      <c r="AG1041" s="65" t="n"/>
      <c r="AH1041" s="65" t="n"/>
      <c r="AI1041" s="65" t="n"/>
      <c r="AJ1041" s="65" t="n"/>
      <c r="AK1041" s="65" t="n"/>
      <c r="AL1041" s="65" t="n"/>
      <c r="AM1041" s="65" t="n"/>
      <c r="AN1041" s="65" t="n"/>
      <c r="AO1041" s="65" t="n"/>
      <c r="AP1041" s="65" t="n"/>
      <c r="AQ1041" s="65" t="n"/>
      <c r="AR1041" s="65" t="n"/>
      <c r="AS1041" s="65" t="n"/>
      <c r="AT1041" s="65" t="n"/>
      <c r="AU1041" s="65" t="n"/>
      <c r="AV1041" s="65" t="n"/>
      <c r="AW1041" s="65" t="n"/>
      <c r="AX1041" s="65" t="n"/>
      <c r="AY1041" s="65" t="n"/>
      <c r="AZ1041" s="65" t="n"/>
      <c r="BA1041" s="65" t="n"/>
      <c r="BB1041" s="65" t="n"/>
      <c r="BC1041" s="65" t="n"/>
      <c r="BD1041" s="65" t="n"/>
      <c r="BE1041" s="65" t="n"/>
      <c r="BF1041" s="65" t="n"/>
      <c r="BG1041" s="65" t="n"/>
    </row>
    <row r="1042">
      <c r="F1042" s="68" t="n"/>
      <c r="G1042" s="68">
        <f>IF(B1042="","",F1042-I1042 )</f>
        <v/>
      </c>
      <c r="H1042" s="5">
        <f>IF(G1042="","",G1042/F1042)</f>
        <v/>
      </c>
      <c r="I1042" s="62">
        <f>SUM(テーブル9[[#This Row],[五大]:[工場材]])</f>
        <v/>
      </c>
      <c r="J1042" s="65" t="n"/>
      <c r="K1042" s="65" t="n"/>
      <c r="L1042" s="65" t="n"/>
      <c r="M1042" s="65" t="n"/>
      <c r="N1042" s="65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6" t="n"/>
      <c r="Y1042" s="65" t="n"/>
      <c r="Z1042" s="65" t="n"/>
      <c r="AA1042" s="65" t="n"/>
      <c r="AB1042" s="65" t="n"/>
      <c r="AC1042" s="65" t="n"/>
      <c r="AD1042" s="65" t="n"/>
      <c r="AE1042" s="65" t="n"/>
      <c r="AF1042" s="65" t="n"/>
      <c r="AG1042" s="65" t="n"/>
      <c r="AH1042" s="65" t="n"/>
      <c r="AI1042" s="65" t="n"/>
      <c r="AJ1042" s="65" t="n"/>
      <c r="AK1042" s="65" t="n"/>
      <c r="AL1042" s="65" t="n"/>
      <c r="AM1042" s="65" t="n"/>
      <c r="AN1042" s="65" t="n"/>
      <c r="AO1042" s="65" t="n"/>
      <c r="AP1042" s="65" t="n"/>
      <c r="AQ1042" s="65" t="n"/>
      <c r="AR1042" s="65" t="n"/>
      <c r="AS1042" s="65" t="n"/>
      <c r="AT1042" s="65" t="n"/>
      <c r="AU1042" s="65" t="n"/>
      <c r="AV1042" s="65" t="n"/>
      <c r="AW1042" s="65" t="n"/>
      <c r="AX1042" s="65" t="n"/>
      <c r="AY1042" s="65" t="n"/>
      <c r="AZ1042" s="65" t="n"/>
      <c r="BA1042" s="65" t="n"/>
      <c r="BB1042" s="65" t="n"/>
      <c r="BC1042" s="65" t="n"/>
      <c r="BD1042" s="65" t="n"/>
      <c r="BE1042" s="65" t="n"/>
      <c r="BF1042" s="65" t="n"/>
      <c r="BG1042" s="65" t="n"/>
    </row>
    <row r="1043">
      <c r="F1043" s="68" t="n"/>
      <c r="G1043" s="68">
        <f>IF(B1043="","",F1043-I1043 )</f>
        <v/>
      </c>
      <c r="H1043" s="5">
        <f>IF(G1043="","",G1043/F1043)</f>
        <v/>
      </c>
      <c r="I1043" s="62">
        <f>SUM(テーブル9[[#This Row],[五大]:[工場材]])</f>
        <v/>
      </c>
      <c r="J1043" s="65" t="n"/>
      <c r="K1043" s="65" t="n"/>
      <c r="L1043" s="65" t="n"/>
      <c r="M1043" s="65" t="n"/>
      <c r="N1043" s="65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6" t="n"/>
      <c r="Y1043" s="65" t="n"/>
      <c r="Z1043" s="65" t="n"/>
      <c r="AA1043" s="65" t="n"/>
      <c r="AB1043" s="65" t="n"/>
      <c r="AC1043" s="65" t="n"/>
      <c r="AD1043" s="65" t="n"/>
      <c r="AE1043" s="65" t="n"/>
      <c r="AF1043" s="65" t="n"/>
      <c r="AG1043" s="65" t="n"/>
      <c r="AH1043" s="65" t="n"/>
      <c r="AI1043" s="65" t="n"/>
      <c r="AJ1043" s="65" t="n"/>
      <c r="AK1043" s="65" t="n"/>
      <c r="AL1043" s="65" t="n"/>
      <c r="AM1043" s="65" t="n"/>
      <c r="AN1043" s="65" t="n"/>
      <c r="AO1043" s="65" t="n"/>
      <c r="AP1043" s="65" t="n"/>
      <c r="AQ1043" s="65" t="n"/>
      <c r="AR1043" s="65" t="n"/>
      <c r="AS1043" s="65" t="n"/>
      <c r="AT1043" s="65" t="n"/>
      <c r="AU1043" s="65" t="n"/>
      <c r="AV1043" s="65" t="n"/>
      <c r="AW1043" s="65" t="n"/>
      <c r="AX1043" s="65" t="n"/>
      <c r="AY1043" s="65" t="n"/>
      <c r="AZ1043" s="65" t="n"/>
      <c r="BA1043" s="65" t="n"/>
      <c r="BB1043" s="65" t="n"/>
      <c r="BC1043" s="65" t="n"/>
      <c r="BD1043" s="65" t="n"/>
      <c r="BE1043" s="65" t="n"/>
      <c r="BF1043" s="65" t="n"/>
      <c r="BG1043" s="65" t="n"/>
    </row>
    <row r="1044">
      <c r="F1044" s="68" t="n"/>
      <c r="G1044" s="68">
        <f>IF(B1044="","",F1044-I1044 )</f>
        <v/>
      </c>
      <c r="H1044" s="5">
        <f>IF(G1044="","",G1044/F1044)</f>
        <v/>
      </c>
      <c r="I1044" s="62">
        <f>SUM(テーブル9[[#This Row],[五大]:[工場材]])</f>
        <v/>
      </c>
      <c r="J1044" s="65" t="n"/>
      <c r="K1044" s="65" t="n"/>
      <c r="L1044" s="65" t="n"/>
      <c r="M1044" s="65" t="n"/>
      <c r="N1044" s="65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6" t="n"/>
      <c r="Y1044" s="65" t="n"/>
      <c r="Z1044" s="65" t="n"/>
      <c r="AA1044" s="65" t="n"/>
      <c r="AB1044" s="65" t="n"/>
      <c r="AC1044" s="65" t="n"/>
      <c r="AD1044" s="65" t="n"/>
      <c r="AE1044" s="65" t="n"/>
      <c r="AF1044" s="65" t="n"/>
      <c r="AG1044" s="65" t="n"/>
      <c r="AH1044" s="65" t="n"/>
      <c r="AI1044" s="65" t="n"/>
      <c r="AJ1044" s="65" t="n"/>
      <c r="AK1044" s="65" t="n"/>
      <c r="AL1044" s="65" t="n"/>
      <c r="AM1044" s="65" t="n"/>
      <c r="AN1044" s="65" t="n"/>
      <c r="AO1044" s="65" t="n"/>
      <c r="AP1044" s="65" t="n"/>
      <c r="AQ1044" s="65" t="n"/>
      <c r="AR1044" s="65" t="n"/>
      <c r="AS1044" s="65" t="n"/>
      <c r="AT1044" s="65" t="n"/>
      <c r="AU1044" s="65" t="n"/>
      <c r="AV1044" s="65" t="n"/>
      <c r="AW1044" s="65" t="n"/>
      <c r="AX1044" s="65" t="n"/>
      <c r="AY1044" s="65" t="n"/>
      <c r="AZ1044" s="65" t="n"/>
      <c r="BA1044" s="65" t="n"/>
      <c r="BB1044" s="65" t="n"/>
      <c r="BC1044" s="65" t="n"/>
      <c r="BD1044" s="65" t="n"/>
      <c r="BE1044" s="65" t="n"/>
      <c r="BF1044" s="65" t="n"/>
      <c r="BG1044" s="65" t="n"/>
    </row>
    <row r="1045">
      <c r="F1045" s="68" t="n"/>
      <c r="G1045" s="68">
        <f>IF(B1045="","",F1045-I1045 )</f>
        <v/>
      </c>
      <c r="H1045" s="5">
        <f>IF(G1045="","",G1045/F1045)</f>
        <v/>
      </c>
      <c r="I1045" s="62">
        <f>SUM(テーブル9[[#This Row],[五大]:[工場材]])</f>
        <v/>
      </c>
      <c r="J1045" s="65" t="n"/>
      <c r="K1045" s="65" t="n"/>
      <c r="L1045" s="65" t="n"/>
      <c r="M1045" s="65" t="n"/>
      <c r="N1045" s="65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6" t="n"/>
      <c r="Y1045" s="65" t="n"/>
      <c r="Z1045" s="65" t="n"/>
      <c r="AA1045" s="65" t="n"/>
      <c r="AB1045" s="65" t="n"/>
      <c r="AC1045" s="65" t="n"/>
      <c r="AD1045" s="65" t="n"/>
      <c r="AE1045" s="65" t="n"/>
      <c r="AF1045" s="65" t="n"/>
      <c r="AG1045" s="65" t="n"/>
      <c r="AH1045" s="65" t="n"/>
      <c r="AI1045" s="65" t="n"/>
      <c r="AJ1045" s="65" t="n"/>
      <c r="AK1045" s="65" t="n"/>
      <c r="AL1045" s="65" t="n"/>
      <c r="AM1045" s="65" t="n"/>
      <c r="AN1045" s="65" t="n"/>
      <c r="AO1045" s="65" t="n"/>
      <c r="AP1045" s="65" t="n"/>
      <c r="AQ1045" s="65" t="n"/>
      <c r="AR1045" s="65" t="n"/>
      <c r="AS1045" s="65" t="n"/>
      <c r="AT1045" s="65" t="n"/>
      <c r="AU1045" s="65" t="n"/>
      <c r="AV1045" s="65" t="n"/>
      <c r="AW1045" s="65" t="n"/>
      <c r="AX1045" s="65" t="n"/>
      <c r="AY1045" s="65" t="n"/>
      <c r="AZ1045" s="65" t="n"/>
      <c r="BA1045" s="65" t="n"/>
      <c r="BB1045" s="65" t="n"/>
      <c r="BC1045" s="65" t="n"/>
      <c r="BD1045" s="65" t="n"/>
      <c r="BE1045" s="65" t="n"/>
      <c r="BF1045" s="65" t="n"/>
      <c r="BG1045" s="65" t="n"/>
    </row>
    <row r="1046">
      <c r="F1046" s="68" t="n"/>
      <c r="G1046" s="68">
        <f>IF(B1046="","",F1046-I1046 )</f>
        <v/>
      </c>
      <c r="H1046" s="5">
        <f>IF(G1046="","",G1046/F1046)</f>
        <v/>
      </c>
      <c r="I1046" s="62">
        <f>SUM(テーブル9[[#This Row],[五大]:[工場材]])</f>
        <v/>
      </c>
      <c r="J1046" s="65" t="n"/>
      <c r="K1046" s="65" t="n"/>
      <c r="L1046" s="65" t="n"/>
      <c r="M1046" s="65" t="n"/>
      <c r="N1046" s="65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6" t="n"/>
      <c r="Y1046" s="65" t="n"/>
      <c r="Z1046" s="65" t="n"/>
      <c r="AA1046" s="65" t="n"/>
      <c r="AB1046" s="65" t="n"/>
      <c r="AC1046" s="65" t="n"/>
      <c r="AD1046" s="65" t="n"/>
      <c r="AE1046" s="65" t="n"/>
      <c r="AF1046" s="65" t="n"/>
      <c r="AG1046" s="65" t="n"/>
      <c r="AH1046" s="65" t="n"/>
      <c r="AI1046" s="65" t="n"/>
      <c r="AJ1046" s="65" t="n"/>
      <c r="AK1046" s="65" t="n"/>
      <c r="AL1046" s="65" t="n"/>
      <c r="AM1046" s="65" t="n"/>
      <c r="AN1046" s="65" t="n"/>
      <c r="AO1046" s="65" t="n"/>
      <c r="AP1046" s="65" t="n"/>
      <c r="AQ1046" s="65" t="n"/>
      <c r="AR1046" s="65" t="n"/>
      <c r="AS1046" s="65" t="n"/>
      <c r="AT1046" s="65" t="n"/>
      <c r="AU1046" s="65" t="n"/>
      <c r="AV1046" s="65" t="n"/>
      <c r="AW1046" s="65" t="n"/>
      <c r="AX1046" s="65" t="n"/>
      <c r="AY1046" s="65" t="n"/>
      <c r="AZ1046" s="65" t="n"/>
      <c r="BA1046" s="65" t="n"/>
      <c r="BB1046" s="65" t="n"/>
      <c r="BC1046" s="65" t="n"/>
      <c r="BD1046" s="65" t="n"/>
      <c r="BE1046" s="65" t="n"/>
      <c r="BF1046" s="65" t="n"/>
      <c r="BG1046" s="65" t="n"/>
    </row>
    <row r="1047">
      <c r="F1047" s="68" t="n"/>
      <c r="G1047" s="68">
        <f>IF(B1047="","",F1047-I1047 )</f>
        <v/>
      </c>
      <c r="H1047" s="5">
        <f>IF(G1047="","",G1047/F1047)</f>
        <v/>
      </c>
      <c r="I1047" s="62">
        <f>SUM(テーブル9[[#This Row],[五大]:[工場材]])</f>
        <v/>
      </c>
      <c r="J1047" s="65" t="n"/>
      <c r="K1047" s="65" t="n"/>
      <c r="L1047" s="65" t="n"/>
      <c r="M1047" s="65" t="n"/>
      <c r="N1047" s="65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6" t="n"/>
      <c r="Y1047" s="65" t="n"/>
      <c r="Z1047" s="65" t="n"/>
      <c r="AA1047" s="65" t="n"/>
      <c r="AB1047" s="65" t="n"/>
      <c r="AC1047" s="65" t="n"/>
      <c r="AD1047" s="65" t="n"/>
      <c r="AE1047" s="65" t="n"/>
      <c r="AF1047" s="65" t="n"/>
      <c r="AG1047" s="65" t="n"/>
      <c r="AH1047" s="65" t="n"/>
      <c r="AI1047" s="65" t="n"/>
      <c r="AJ1047" s="65" t="n"/>
      <c r="AK1047" s="65" t="n"/>
      <c r="AL1047" s="65" t="n"/>
      <c r="AM1047" s="65" t="n"/>
      <c r="AN1047" s="65" t="n"/>
      <c r="AO1047" s="65" t="n"/>
      <c r="AP1047" s="65" t="n"/>
      <c r="AQ1047" s="65" t="n"/>
      <c r="AR1047" s="65" t="n"/>
      <c r="AS1047" s="65" t="n"/>
      <c r="AT1047" s="65" t="n"/>
      <c r="AU1047" s="65" t="n"/>
      <c r="AV1047" s="65" t="n"/>
      <c r="AW1047" s="65" t="n"/>
      <c r="AX1047" s="65" t="n"/>
      <c r="AY1047" s="65" t="n"/>
      <c r="AZ1047" s="65" t="n"/>
      <c r="BA1047" s="65" t="n"/>
      <c r="BB1047" s="65" t="n"/>
      <c r="BC1047" s="65" t="n"/>
      <c r="BD1047" s="65" t="n"/>
      <c r="BE1047" s="65" t="n"/>
      <c r="BF1047" s="65" t="n"/>
      <c r="BG1047" s="65" t="n"/>
    </row>
    <row r="1048">
      <c r="F1048" s="68" t="n"/>
      <c r="G1048" s="68">
        <f>IF(B1048="","",F1048-I1048 )</f>
        <v/>
      </c>
      <c r="H1048" s="5">
        <f>IF(G1048="","",G1048/F1048)</f>
        <v/>
      </c>
      <c r="I1048" s="62">
        <f>SUM(テーブル9[[#This Row],[五大]:[工場材]])</f>
        <v/>
      </c>
      <c r="J1048" s="65" t="n"/>
      <c r="K1048" s="65" t="n"/>
      <c r="L1048" s="65" t="n"/>
      <c r="M1048" s="65" t="n"/>
      <c r="N1048" s="65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6" t="n"/>
      <c r="Y1048" s="65" t="n"/>
      <c r="Z1048" s="65" t="n"/>
      <c r="AA1048" s="65" t="n"/>
      <c r="AB1048" s="65" t="n"/>
      <c r="AC1048" s="65" t="n"/>
      <c r="AD1048" s="65" t="n"/>
      <c r="AE1048" s="65" t="n"/>
      <c r="AF1048" s="65" t="n"/>
      <c r="AG1048" s="65" t="n"/>
      <c r="AH1048" s="65" t="n"/>
      <c r="AI1048" s="65" t="n"/>
      <c r="AJ1048" s="65" t="n"/>
      <c r="AK1048" s="65" t="n"/>
      <c r="AL1048" s="65" t="n"/>
      <c r="AM1048" s="65" t="n"/>
      <c r="AN1048" s="65" t="n"/>
      <c r="AO1048" s="65" t="n"/>
      <c r="AP1048" s="65" t="n"/>
      <c r="AQ1048" s="65" t="n"/>
      <c r="AR1048" s="65" t="n"/>
      <c r="AS1048" s="65" t="n"/>
      <c r="AT1048" s="65" t="n"/>
      <c r="AU1048" s="65" t="n"/>
      <c r="AV1048" s="65" t="n"/>
      <c r="AW1048" s="65" t="n"/>
      <c r="AX1048" s="65" t="n"/>
      <c r="AY1048" s="65" t="n"/>
      <c r="AZ1048" s="65" t="n"/>
      <c r="BA1048" s="65" t="n"/>
      <c r="BB1048" s="65" t="n"/>
      <c r="BC1048" s="65" t="n"/>
      <c r="BD1048" s="65" t="n"/>
      <c r="BE1048" s="65" t="n"/>
      <c r="BF1048" s="65" t="n"/>
      <c r="BG1048" s="65" t="n"/>
    </row>
    <row r="1049">
      <c r="F1049" s="68" t="n"/>
      <c r="G1049" s="68">
        <f>IF(B1049="","",F1049-I1049 )</f>
        <v/>
      </c>
      <c r="H1049" s="5">
        <f>IF(G1049="","",G1049/F1049)</f>
        <v/>
      </c>
      <c r="I1049" s="62">
        <f>SUM(テーブル9[[#This Row],[五大]:[工場材]])</f>
        <v/>
      </c>
      <c r="J1049" s="65" t="n"/>
      <c r="K1049" s="65" t="n"/>
      <c r="L1049" s="65" t="n"/>
      <c r="M1049" s="65" t="n"/>
      <c r="N1049" s="65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6" t="n"/>
      <c r="Y1049" s="65" t="n"/>
      <c r="Z1049" s="65" t="n"/>
      <c r="AA1049" s="65" t="n"/>
      <c r="AB1049" s="65" t="n"/>
      <c r="AC1049" s="65" t="n"/>
      <c r="AD1049" s="65" t="n"/>
      <c r="AE1049" s="65" t="n"/>
      <c r="AF1049" s="65" t="n"/>
      <c r="AG1049" s="65" t="n"/>
      <c r="AH1049" s="65" t="n"/>
      <c r="AI1049" s="65" t="n"/>
      <c r="AJ1049" s="65" t="n"/>
      <c r="AK1049" s="65" t="n"/>
      <c r="AL1049" s="65" t="n"/>
      <c r="AM1049" s="65" t="n"/>
      <c r="AN1049" s="65" t="n"/>
      <c r="AO1049" s="65" t="n"/>
      <c r="AP1049" s="65" t="n"/>
      <c r="AQ1049" s="65" t="n"/>
      <c r="AR1049" s="65" t="n"/>
      <c r="AS1049" s="65" t="n"/>
      <c r="AT1049" s="65" t="n"/>
      <c r="AU1049" s="65" t="n"/>
      <c r="AV1049" s="65" t="n"/>
      <c r="AW1049" s="65" t="n"/>
      <c r="AX1049" s="65" t="n"/>
      <c r="AY1049" s="65" t="n"/>
      <c r="AZ1049" s="65" t="n"/>
      <c r="BA1049" s="65" t="n"/>
      <c r="BB1049" s="65" t="n"/>
      <c r="BC1049" s="65" t="n"/>
      <c r="BD1049" s="65" t="n"/>
      <c r="BE1049" s="65" t="n"/>
      <c r="BF1049" s="65" t="n"/>
      <c r="BG1049" s="65" t="n"/>
    </row>
    <row r="1050">
      <c r="F1050" s="68" t="n"/>
      <c r="G1050" s="68">
        <f>IF(B1050="","",F1050-I1050 )</f>
        <v/>
      </c>
      <c r="H1050" s="5">
        <f>IF(G1050="","",G1050/F1050)</f>
        <v/>
      </c>
      <c r="I1050" s="62">
        <f>SUM(テーブル9[[#This Row],[五大]:[工場材]])</f>
        <v/>
      </c>
      <c r="J1050" s="65" t="n"/>
      <c r="K1050" s="65" t="n"/>
      <c r="L1050" s="65" t="n"/>
      <c r="M1050" s="65" t="n"/>
      <c r="N1050" s="65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6" t="n"/>
      <c r="Y1050" s="65" t="n"/>
      <c r="Z1050" s="65" t="n"/>
      <c r="AA1050" s="65" t="n"/>
      <c r="AB1050" s="65" t="n"/>
      <c r="AC1050" s="65" t="n"/>
      <c r="AD1050" s="65" t="n"/>
      <c r="AE1050" s="65" t="n"/>
      <c r="AF1050" s="65" t="n"/>
      <c r="AG1050" s="65" t="n"/>
      <c r="AH1050" s="65" t="n"/>
      <c r="AI1050" s="65" t="n"/>
      <c r="AJ1050" s="65" t="n"/>
      <c r="AK1050" s="65" t="n"/>
      <c r="AL1050" s="65" t="n"/>
      <c r="AM1050" s="65" t="n"/>
      <c r="AN1050" s="65" t="n"/>
      <c r="AO1050" s="65" t="n"/>
      <c r="AP1050" s="65" t="n"/>
      <c r="AQ1050" s="65" t="n"/>
      <c r="AR1050" s="65" t="n"/>
      <c r="AS1050" s="65" t="n"/>
      <c r="AT1050" s="65" t="n"/>
      <c r="AU1050" s="65" t="n"/>
      <c r="AV1050" s="65" t="n"/>
      <c r="AW1050" s="65" t="n"/>
      <c r="AX1050" s="65" t="n"/>
      <c r="AY1050" s="65" t="n"/>
      <c r="AZ1050" s="65" t="n"/>
      <c r="BA1050" s="65" t="n"/>
      <c r="BB1050" s="65" t="n"/>
      <c r="BC1050" s="65" t="n"/>
      <c r="BD1050" s="65" t="n"/>
      <c r="BE1050" s="65" t="n"/>
      <c r="BF1050" s="65" t="n"/>
      <c r="BG1050" s="65" t="n"/>
    </row>
    <row r="1051">
      <c r="F1051" s="68" t="n"/>
      <c r="G1051" s="68">
        <f>IF(B1051="","",F1051-I1051 )</f>
        <v/>
      </c>
      <c r="H1051" s="5">
        <f>IF(G1051="","",G1051/F1051)</f>
        <v/>
      </c>
      <c r="I1051" s="62">
        <f>SUM(テーブル9[[#This Row],[五大]:[工場材]])</f>
        <v/>
      </c>
      <c r="J1051" s="65" t="n"/>
      <c r="K1051" s="65" t="n"/>
      <c r="L1051" s="65" t="n"/>
      <c r="M1051" s="65" t="n"/>
      <c r="N1051" s="65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6" t="n"/>
      <c r="Y1051" s="65" t="n"/>
      <c r="Z1051" s="65" t="n"/>
      <c r="AA1051" s="65" t="n"/>
      <c r="AB1051" s="65" t="n"/>
      <c r="AC1051" s="65" t="n"/>
      <c r="AD1051" s="65" t="n"/>
      <c r="AE1051" s="65" t="n"/>
      <c r="AF1051" s="65" t="n"/>
      <c r="AG1051" s="65" t="n"/>
      <c r="AH1051" s="65" t="n"/>
      <c r="AI1051" s="65" t="n"/>
      <c r="AJ1051" s="65" t="n"/>
      <c r="AK1051" s="65" t="n"/>
      <c r="AL1051" s="65" t="n"/>
      <c r="AM1051" s="65" t="n"/>
      <c r="AN1051" s="65" t="n"/>
      <c r="AO1051" s="65" t="n"/>
      <c r="AP1051" s="65" t="n"/>
      <c r="AQ1051" s="65" t="n"/>
      <c r="AR1051" s="65" t="n"/>
      <c r="AS1051" s="65" t="n"/>
      <c r="AT1051" s="65" t="n"/>
      <c r="AU1051" s="65" t="n"/>
      <c r="AV1051" s="65" t="n"/>
      <c r="AW1051" s="65" t="n"/>
      <c r="AX1051" s="65" t="n"/>
      <c r="AY1051" s="65" t="n"/>
      <c r="AZ1051" s="65" t="n"/>
      <c r="BA1051" s="65" t="n"/>
      <c r="BB1051" s="65" t="n"/>
      <c r="BC1051" s="65" t="n"/>
      <c r="BD1051" s="65" t="n"/>
      <c r="BE1051" s="65" t="n"/>
      <c r="BF1051" s="65" t="n"/>
      <c r="BG1051" s="65" t="n"/>
    </row>
    <row r="1052">
      <c r="F1052" s="68" t="n"/>
      <c r="G1052" s="68">
        <f>IF(B1052="","",F1052-I1052 )</f>
        <v/>
      </c>
      <c r="H1052" s="5">
        <f>IF(G1052="","",G1052/F1052)</f>
        <v/>
      </c>
      <c r="I1052" s="62">
        <f>SUM(テーブル9[[#This Row],[五大]:[工場材]])</f>
        <v/>
      </c>
      <c r="J1052" s="65" t="n"/>
      <c r="K1052" s="65" t="n"/>
      <c r="L1052" s="65" t="n"/>
      <c r="M1052" s="65" t="n"/>
      <c r="N1052" s="65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6" t="n"/>
      <c r="Y1052" s="65" t="n"/>
      <c r="Z1052" s="65" t="n"/>
      <c r="AA1052" s="65" t="n"/>
      <c r="AB1052" s="65" t="n"/>
      <c r="AC1052" s="65" t="n"/>
      <c r="AD1052" s="65" t="n"/>
      <c r="AE1052" s="65" t="n"/>
      <c r="AF1052" s="65" t="n"/>
      <c r="AG1052" s="65" t="n"/>
      <c r="AH1052" s="65" t="n"/>
      <c r="AI1052" s="65" t="n"/>
      <c r="AJ1052" s="65" t="n"/>
      <c r="AK1052" s="65" t="n"/>
      <c r="AL1052" s="65" t="n"/>
      <c r="AM1052" s="65" t="n"/>
      <c r="AN1052" s="65" t="n"/>
      <c r="AO1052" s="65" t="n"/>
      <c r="AP1052" s="65" t="n"/>
      <c r="AQ1052" s="65" t="n"/>
      <c r="AR1052" s="65" t="n"/>
      <c r="AS1052" s="65" t="n"/>
      <c r="AT1052" s="65" t="n"/>
      <c r="AU1052" s="65" t="n"/>
      <c r="AV1052" s="65" t="n"/>
      <c r="AW1052" s="65" t="n"/>
      <c r="AX1052" s="65" t="n"/>
      <c r="AY1052" s="65" t="n"/>
      <c r="AZ1052" s="65" t="n"/>
      <c r="BA1052" s="65" t="n"/>
      <c r="BB1052" s="65" t="n"/>
      <c r="BC1052" s="65" t="n"/>
      <c r="BD1052" s="65" t="n"/>
      <c r="BE1052" s="65" t="n"/>
      <c r="BF1052" s="65" t="n"/>
      <c r="BG1052" s="65" t="n"/>
    </row>
    <row r="1053">
      <c r="F1053" s="68" t="n"/>
      <c r="G1053" s="68">
        <f>IF(B1053="","",F1053-I1053 )</f>
        <v/>
      </c>
      <c r="H1053" s="5">
        <f>IF(G1053="","",G1053/F1053)</f>
        <v/>
      </c>
      <c r="I1053" s="62">
        <f>SUM(テーブル9[[#This Row],[五大]:[工場材]])</f>
        <v/>
      </c>
      <c r="J1053" s="65" t="n"/>
      <c r="K1053" s="65" t="n"/>
      <c r="L1053" s="65" t="n"/>
      <c r="M1053" s="65" t="n"/>
      <c r="N1053" s="65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6" t="n"/>
      <c r="Y1053" s="65" t="n"/>
      <c r="Z1053" s="65" t="n"/>
      <c r="AA1053" s="65" t="n"/>
      <c r="AB1053" s="65" t="n"/>
      <c r="AC1053" s="65" t="n"/>
      <c r="AD1053" s="65" t="n"/>
      <c r="AE1053" s="65" t="n"/>
      <c r="AF1053" s="65" t="n"/>
      <c r="AG1053" s="65" t="n"/>
      <c r="AH1053" s="65" t="n"/>
      <c r="AI1053" s="65" t="n"/>
      <c r="AJ1053" s="65" t="n"/>
      <c r="AK1053" s="65" t="n"/>
      <c r="AL1053" s="65" t="n"/>
      <c r="AM1053" s="65" t="n"/>
      <c r="AN1053" s="65" t="n"/>
      <c r="AO1053" s="65" t="n"/>
      <c r="AP1053" s="65" t="n"/>
      <c r="AQ1053" s="65" t="n"/>
      <c r="AR1053" s="65" t="n"/>
      <c r="AS1053" s="65" t="n"/>
      <c r="AT1053" s="65" t="n"/>
      <c r="AU1053" s="65" t="n"/>
      <c r="AV1053" s="65" t="n"/>
      <c r="AW1053" s="65" t="n"/>
      <c r="AX1053" s="65" t="n"/>
      <c r="AY1053" s="65" t="n"/>
      <c r="AZ1053" s="65" t="n"/>
      <c r="BA1053" s="65" t="n"/>
      <c r="BB1053" s="65" t="n"/>
      <c r="BC1053" s="65" t="n"/>
      <c r="BD1053" s="65" t="n"/>
      <c r="BE1053" s="65" t="n"/>
      <c r="BF1053" s="65" t="n"/>
      <c r="BG1053" s="65" t="n"/>
    </row>
    <row r="1054">
      <c r="F1054" s="68" t="n"/>
      <c r="G1054" s="68">
        <f>IF(B1054="","",F1054-I1054 )</f>
        <v/>
      </c>
      <c r="H1054" s="5">
        <f>IF(G1054="","",G1054/F1054)</f>
        <v/>
      </c>
      <c r="I1054" s="62">
        <f>SUM(テーブル9[[#This Row],[五大]:[工場材]])</f>
        <v/>
      </c>
      <c r="J1054" s="65" t="n"/>
      <c r="K1054" s="65" t="n"/>
      <c r="L1054" s="65" t="n"/>
      <c r="M1054" s="65" t="n"/>
      <c r="N1054" s="65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6" t="n"/>
      <c r="Y1054" s="65" t="n"/>
      <c r="Z1054" s="65" t="n"/>
      <c r="AA1054" s="65" t="n"/>
      <c r="AB1054" s="65" t="n"/>
      <c r="AC1054" s="65" t="n"/>
      <c r="AD1054" s="65" t="n"/>
      <c r="AE1054" s="65" t="n"/>
      <c r="AF1054" s="65" t="n"/>
      <c r="AG1054" s="65" t="n"/>
      <c r="AH1054" s="65" t="n"/>
      <c r="AI1054" s="65" t="n"/>
      <c r="AJ1054" s="65" t="n"/>
      <c r="AK1054" s="65" t="n"/>
      <c r="AL1054" s="65" t="n"/>
      <c r="AM1054" s="65" t="n"/>
      <c r="AN1054" s="65" t="n"/>
      <c r="AO1054" s="65" t="n"/>
      <c r="AP1054" s="65" t="n"/>
      <c r="AQ1054" s="65" t="n"/>
      <c r="AR1054" s="65" t="n"/>
      <c r="AS1054" s="65" t="n"/>
      <c r="AT1054" s="65" t="n"/>
      <c r="AU1054" s="65" t="n"/>
      <c r="AV1054" s="65" t="n"/>
      <c r="AW1054" s="65" t="n"/>
      <c r="AX1054" s="65" t="n"/>
      <c r="AY1054" s="65" t="n"/>
      <c r="AZ1054" s="65" t="n"/>
      <c r="BA1054" s="65" t="n"/>
      <c r="BB1054" s="65" t="n"/>
      <c r="BC1054" s="65" t="n"/>
      <c r="BD1054" s="65" t="n"/>
      <c r="BE1054" s="65" t="n"/>
      <c r="BF1054" s="65" t="n"/>
      <c r="BG1054" s="65" t="n"/>
    </row>
    <row r="1055">
      <c r="F1055" s="68" t="n"/>
      <c r="G1055" s="68">
        <f>IF(B1055="","",F1055-I1055 )</f>
        <v/>
      </c>
      <c r="H1055" s="5">
        <f>IF(G1055="","",G1055/F1055)</f>
        <v/>
      </c>
      <c r="I1055" s="62">
        <f>SUM(テーブル9[[#This Row],[五大]:[工場材]])</f>
        <v/>
      </c>
      <c r="J1055" s="65" t="n"/>
      <c r="K1055" s="65" t="n"/>
      <c r="L1055" s="65" t="n"/>
      <c r="M1055" s="65" t="n"/>
      <c r="N1055" s="65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6" t="n"/>
      <c r="Y1055" s="65" t="n"/>
      <c r="Z1055" s="65" t="n"/>
      <c r="AA1055" s="65" t="n"/>
      <c r="AB1055" s="65" t="n"/>
      <c r="AC1055" s="65" t="n"/>
      <c r="AD1055" s="65" t="n"/>
      <c r="AE1055" s="65" t="n"/>
      <c r="AF1055" s="65" t="n"/>
      <c r="AG1055" s="65" t="n"/>
      <c r="AH1055" s="65" t="n"/>
      <c r="AI1055" s="65" t="n"/>
      <c r="AJ1055" s="65" t="n"/>
      <c r="AK1055" s="65" t="n"/>
      <c r="AL1055" s="65" t="n"/>
      <c r="AM1055" s="65" t="n"/>
      <c r="AN1055" s="65" t="n"/>
      <c r="AO1055" s="65" t="n"/>
      <c r="AP1055" s="65" t="n"/>
      <c r="AQ1055" s="65" t="n"/>
      <c r="AR1055" s="65" t="n"/>
      <c r="AS1055" s="65" t="n"/>
      <c r="AT1055" s="65" t="n"/>
      <c r="AU1055" s="65" t="n"/>
      <c r="AV1055" s="65" t="n"/>
      <c r="AW1055" s="65" t="n"/>
      <c r="AX1055" s="65" t="n"/>
      <c r="AY1055" s="65" t="n"/>
      <c r="AZ1055" s="65" t="n"/>
      <c r="BA1055" s="65" t="n"/>
      <c r="BB1055" s="65" t="n"/>
      <c r="BC1055" s="65" t="n"/>
      <c r="BD1055" s="65" t="n"/>
      <c r="BE1055" s="65" t="n"/>
      <c r="BF1055" s="65" t="n"/>
      <c r="BG1055" s="65" t="n"/>
    </row>
    <row r="1056">
      <c r="F1056" s="68" t="n"/>
      <c r="G1056" s="68">
        <f>IF(B1056="","",F1056-I1056 )</f>
        <v/>
      </c>
      <c r="H1056" s="5">
        <f>IF(G1056="","",G1056/F1056)</f>
        <v/>
      </c>
      <c r="I1056" s="62">
        <f>SUM(テーブル9[[#This Row],[五大]:[工場材]])</f>
        <v/>
      </c>
      <c r="J1056" s="65" t="n"/>
      <c r="K1056" s="65" t="n"/>
      <c r="L1056" s="65" t="n"/>
      <c r="M1056" s="65" t="n"/>
      <c r="N1056" s="65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6" t="n"/>
      <c r="Y1056" s="65" t="n"/>
      <c r="Z1056" s="65" t="n"/>
      <c r="AA1056" s="65" t="n"/>
      <c r="AB1056" s="65" t="n"/>
      <c r="AC1056" s="65" t="n"/>
      <c r="AD1056" s="65" t="n"/>
      <c r="AE1056" s="65" t="n"/>
      <c r="AF1056" s="65" t="n"/>
      <c r="AG1056" s="65" t="n"/>
      <c r="AH1056" s="65" t="n"/>
      <c r="AI1056" s="65" t="n"/>
      <c r="AJ1056" s="65" t="n"/>
      <c r="AK1056" s="65" t="n"/>
      <c r="AL1056" s="65" t="n"/>
      <c r="AM1056" s="65" t="n"/>
      <c r="AN1056" s="65" t="n"/>
      <c r="AO1056" s="65" t="n"/>
      <c r="AP1056" s="65" t="n"/>
      <c r="AQ1056" s="65" t="n"/>
      <c r="AR1056" s="65" t="n"/>
      <c r="AS1056" s="65" t="n"/>
      <c r="AT1056" s="65" t="n"/>
      <c r="AU1056" s="65" t="n"/>
      <c r="AV1056" s="65" t="n"/>
      <c r="AW1056" s="65" t="n"/>
      <c r="AX1056" s="65" t="n"/>
      <c r="AY1056" s="65" t="n"/>
      <c r="AZ1056" s="65" t="n"/>
      <c r="BA1056" s="65" t="n"/>
      <c r="BB1056" s="65" t="n"/>
      <c r="BC1056" s="65" t="n"/>
      <c r="BD1056" s="65" t="n"/>
      <c r="BE1056" s="65" t="n"/>
      <c r="BF1056" s="65" t="n"/>
      <c r="BG1056" s="65" t="n"/>
    </row>
    <row r="1057">
      <c r="F1057" s="68" t="n"/>
      <c r="G1057" s="68">
        <f>IF(B1057="","",F1057-I1057 )</f>
        <v/>
      </c>
      <c r="H1057" s="5">
        <f>IF(G1057="","",G1057/F1057)</f>
        <v/>
      </c>
      <c r="I1057" s="62">
        <f>SUM(テーブル9[[#This Row],[五大]:[工場材]])</f>
        <v/>
      </c>
      <c r="J1057" s="65" t="n"/>
      <c r="K1057" s="65" t="n"/>
      <c r="L1057" s="65" t="n"/>
      <c r="M1057" s="65" t="n"/>
      <c r="N1057" s="65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6" t="n"/>
      <c r="Y1057" s="65" t="n"/>
      <c r="Z1057" s="65" t="n"/>
      <c r="AA1057" s="65" t="n"/>
      <c r="AB1057" s="65" t="n"/>
      <c r="AC1057" s="65" t="n"/>
      <c r="AD1057" s="65" t="n"/>
      <c r="AE1057" s="65" t="n"/>
      <c r="AF1057" s="65" t="n"/>
      <c r="AG1057" s="65" t="n"/>
      <c r="AH1057" s="65" t="n"/>
      <c r="AI1057" s="65" t="n"/>
      <c r="AJ1057" s="65" t="n"/>
      <c r="AK1057" s="65" t="n"/>
      <c r="AL1057" s="65" t="n"/>
      <c r="AM1057" s="65" t="n"/>
      <c r="AN1057" s="65" t="n"/>
      <c r="AO1057" s="65" t="n"/>
      <c r="AP1057" s="65" t="n"/>
      <c r="AQ1057" s="65" t="n"/>
      <c r="AR1057" s="65" t="n"/>
      <c r="AS1057" s="65" t="n"/>
      <c r="AT1057" s="65" t="n"/>
      <c r="AU1057" s="65" t="n"/>
      <c r="AV1057" s="65" t="n"/>
      <c r="AW1057" s="65" t="n"/>
      <c r="AX1057" s="65" t="n"/>
      <c r="AY1057" s="65" t="n"/>
      <c r="AZ1057" s="65" t="n"/>
      <c r="BA1057" s="65" t="n"/>
      <c r="BB1057" s="65" t="n"/>
      <c r="BC1057" s="65" t="n"/>
      <c r="BD1057" s="65" t="n"/>
      <c r="BE1057" s="65" t="n"/>
      <c r="BF1057" s="65" t="n"/>
      <c r="BG1057" s="65" t="n"/>
    </row>
    <row r="1058">
      <c r="F1058" s="68" t="n"/>
      <c r="G1058" s="68">
        <f>IF(B1058="","",F1058-I1058 )</f>
        <v/>
      </c>
      <c r="H1058" s="5">
        <f>IF(G1058="","",G1058/F1058)</f>
        <v/>
      </c>
      <c r="I1058" s="62">
        <f>SUM(テーブル9[[#This Row],[五大]:[工場材]])</f>
        <v/>
      </c>
      <c r="J1058" s="65" t="n"/>
      <c r="K1058" s="65" t="n"/>
      <c r="L1058" s="65" t="n"/>
      <c r="M1058" s="65" t="n"/>
      <c r="N1058" s="65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6" t="n"/>
      <c r="Y1058" s="65" t="n"/>
      <c r="Z1058" s="65" t="n"/>
      <c r="AA1058" s="65" t="n"/>
      <c r="AB1058" s="65" t="n"/>
      <c r="AC1058" s="65" t="n"/>
      <c r="AD1058" s="65" t="n"/>
      <c r="AE1058" s="65" t="n"/>
      <c r="AF1058" s="65" t="n"/>
      <c r="AG1058" s="65" t="n"/>
      <c r="AH1058" s="65" t="n"/>
      <c r="AI1058" s="65" t="n"/>
      <c r="AJ1058" s="65" t="n"/>
      <c r="AK1058" s="65" t="n"/>
      <c r="AL1058" s="65" t="n"/>
      <c r="AM1058" s="65" t="n"/>
      <c r="AN1058" s="65" t="n"/>
      <c r="AO1058" s="65" t="n"/>
      <c r="AP1058" s="65" t="n"/>
      <c r="AQ1058" s="65" t="n"/>
      <c r="AR1058" s="65" t="n"/>
      <c r="AS1058" s="65" t="n"/>
      <c r="AT1058" s="65" t="n"/>
      <c r="AU1058" s="65" t="n"/>
      <c r="AV1058" s="65" t="n"/>
      <c r="AW1058" s="65" t="n"/>
      <c r="AX1058" s="65" t="n"/>
      <c r="AY1058" s="65" t="n"/>
      <c r="AZ1058" s="65" t="n"/>
      <c r="BA1058" s="65" t="n"/>
      <c r="BB1058" s="65" t="n"/>
      <c r="BC1058" s="65" t="n"/>
      <c r="BD1058" s="65" t="n"/>
      <c r="BE1058" s="65" t="n"/>
      <c r="BF1058" s="65" t="n"/>
      <c r="BG1058" s="65" t="n"/>
    </row>
    <row r="1059">
      <c r="F1059" s="68" t="n"/>
      <c r="G1059" s="68">
        <f>IF(B1059="","",F1059-I1059 )</f>
        <v/>
      </c>
      <c r="H1059" s="5">
        <f>IF(G1059="","",G1059/F1059)</f>
        <v/>
      </c>
      <c r="I1059" s="62">
        <f>SUM(テーブル9[[#This Row],[五大]:[工場材]])</f>
        <v/>
      </c>
      <c r="J1059" s="65" t="n"/>
      <c r="K1059" s="65" t="n"/>
      <c r="L1059" s="65" t="n"/>
      <c r="M1059" s="65" t="n"/>
      <c r="N1059" s="65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6" t="n"/>
      <c r="Y1059" s="65" t="n"/>
      <c r="Z1059" s="65" t="n"/>
      <c r="AA1059" s="65" t="n"/>
      <c r="AB1059" s="65" t="n"/>
      <c r="AC1059" s="65" t="n"/>
      <c r="AD1059" s="65" t="n"/>
      <c r="AE1059" s="65" t="n"/>
      <c r="AF1059" s="65" t="n"/>
      <c r="AG1059" s="65" t="n"/>
      <c r="AH1059" s="65" t="n"/>
      <c r="AI1059" s="65" t="n"/>
      <c r="AJ1059" s="65" t="n"/>
      <c r="AK1059" s="65" t="n"/>
      <c r="AL1059" s="65" t="n"/>
      <c r="AM1059" s="65" t="n"/>
      <c r="AN1059" s="65" t="n"/>
      <c r="AO1059" s="65" t="n"/>
      <c r="AP1059" s="65" t="n"/>
      <c r="AQ1059" s="65" t="n"/>
      <c r="AR1059" s="65" t="n"/>
      <c r="AS1059" s="65" t="n"/>
      <c r="AT1059" s="65" t="n"/>
      <c r="AU1059" s="65" t="n"/>
      <c r="AV1059" s="65" t="n"/>
      <c r="AW1059" s="65" t="n"/>
      <c r="AX1059" s="65" t="n"/>
      <c r="AY1059" s="65" t="n"/>
      <c r="AZ1059" s="65" t="n"/>
      <c r="BA1059" s="65" t="n"/>
      <c r="BB1059" s="65" t="n"/>
      <c r="BC1059" s="65" t="n"/>
      <c r="BD1059" s="65" t="n"/>
      <c r="BE1059" s="65" t="n"/>
      <c r="BF1059" s="65" t="n"/>
      <c r="BG1059" s="65" t="n"/>
    </row>
    <row r="1060">
      <c r="F1060" s="68" t="n"/>
      <c r="G1060" s="68">
        <f>IF(B1060="","",F1060-I1060 )</f>
        <v/>
      </c>
      <c r="H1060" s="5">
        <f>IF(G1060="","",G1060/F1060)</f>
        <v/>
      </c>
      <c r="I1060" s="62">
        <f>SUM(テーブル9[[#This Row],[五大]:[工場材]])</f>
        <v/>
      </c>
      <c r="J1060" s="65" t="n"/>
      <c r="K1060" s="65" t="n"/>
      <c r="L1060" s="65" t="n"/>
      <c r="M1060" s="65" t="n"/>
      <c r="N1060" s="65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6" t="n"/>
      <c r="Y1060" s="65" t="n"/>
      <c r="Z1060" s="65" t="n"/>
      <c r="AA1060" s="65" t="n"/>
      <c r="AB1060" s="65" t="n"/>
      <c r="AC1060" s="65" t="n"/>
      <c r="AD1060" s="65" t="n"/>
      <c r="AE1060" s="65" t="n"/>
      <c r="AF1060" s="65" t="n"/>
      <c r="AG1060" s="65" t="n"/>
      <c r="AH1060" s="65" t="n"/>
      <c r="AI1060" s="65" t="n"/>
      <c r="AJ1060" s="65" t="n"/>
      <c r="AK1060" s="65" t="n"/>
      <c r="AL1060" s="65" t="n"/>
      <c r="AM1060" s="65" t="n"/>
      <c r="AN1060" s="65" t="n"/>
      <c r="AO1060" s="65" t="n"/>
      <c r="AP1060" s="65" t="n"/>
      <c r="AQ1060" s="65" t="n"/>
      <c r="AR1060" s="65" t="n"/>
      <c r="AS1060" s="65" t="n"/>
      <c r="AT1060" s="65" t="n"/>
      <c r="AU1060" s="65" t="n"/>
      <c r="AV1060" s="65" t="n"/>
      <c r="AW1060" s="65" t="n"/>
      <c r="AX1060" s="65" t="n"/>
      <c r="AY1060" s="65" t="n"/>
      <c r="AZ1060" s="65" t="n"/>
      <c r="BA1060" s="65" t="n"/>
      <c r="BB1060" s="65" t="n"/>
      <c r="BC1060" s="65" t="n"/>
      <c r="BD1060" s="65" t="n"/>
      <c r="BE1060" s="65" t="n"/>
      <c r="BF1060" s="65" t="n"/>
      <c r="BG1060" s="65" t="n"/>
    </row>
    <row r="1061">
      <c r="F1061" s="68" t="n"/>
      <c r="G1061" s="68">
        <f>IF(B1061="","",F1061-I1061 )</f>
        <v/>
      </c>
      <c r="H1061" s="5">
        <f>IF(G1061="","",G1061/F1061)</f>
        <v/>
      </c>
      <c r="I1061" s="62">
        <f>SUM(テーブル9[[#This Row],[五大]:[工場材]])</f>
        <v/>
      </c>
      <c r="J1061" s="65" t="n"/>
      <c r="K1061" s="65" t="n"/>
      <c r="L1061" s="65" t="n"/>
      <c r="M1061" s="65" t="n"/>
      <c r="N1061" s="65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6" t="n"/>
      <c r="Y1061" s="65" t="n"/>
      <c r="Z1061" s="65" t="n"/>
      <c r="AA1061" s="65" t="n"/>
      <c r="AB1061" s="65" t="n"/>
      <c r="AC1061" s="65" t="n"/>
      <c r="AD1061" s="65" t="n"/>
      <c r="AE1061" s="65" t="n"/>
      <c r="AF1061" s="65" t="n"/>
      <c r="AG1061" s="65" t="n"/>
      <c r="AH1061" s="65" t="n"/>
      <c r="AI1061" s="65" t="n"/>
      <c r="AJ1061" s="65" t="n"/>
      <c r="AK1061" s="65" t="n"/>
      <c r="AL1061" s="65" t="n"/>
      <c r="AM1061" s="65" t="n"/>
      <c r="AN1061" s="65" t="n"/>
      <c r="AO1061" s="65" t="n"/>
      <c r="AP1061" s="65" t="n"/>
      <c r="AQ1061" s="65" t="n"/>
      <c r="AR1061" s="65" t="n"/>
      <c r="AS1061" s="65" t="n"/>
      <c r="AT1061" s="65" t="n"/>
      <c r="AU1061" s="65" t="n"/>
      <c r="AV1061" s="65" t="n"/>
      <c r="AW1061" s="65" t="n"/>
      <c r="AX1061" s="65" t="n"/>
      <c r="AY1061" s="65" t="n"/>
      <c r="AZ1061" s="65" t="n"/>
      <c r="BA1061" s="65" t="n"/>
      <c r="BB1061" s="65" t="n"/>
      <c r="BC1061" s="65" t="n"/>
      <c r="BD1061" s="65" t="n"/>
      <c r="BE1061" s="65" t="n"/>
      <c r="BF1061" s="65" t="n"/>
      <c r="BG1061" s="65" t="n"/>
    </row>
    <row r="1062">
      <c r="F1062" s="68" t="n"/>
      <c r="G1062" s="68">
        <f>IF(B1062="","",F1062-I1062 )</f>
        <v/>
      </c>
      <c r="H1062" s="5">
        <f>IF(G1062="","",G1062/F1062)</f>
        <v/>
      </c>
      <c r="I1062" s="62">
        <f>SUM(テーブル9[[#This Row],[五大]:[工場材]])</f>
        <v/>
      </c>
      <c r="J1062" s="65" t="n"/>
      <c r="K1062" s="65" t="n"/>
      <c r="L1062" s="65" t="n"/>
      <c r="M1062" s="65" t="n"/>
      <c r="N1062" s="65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6" t="n"/>
      <c r="Y1062" s="65" t="n"/>
      <c r="Z1062" s="65" t="n"/>
      <c r="AA1062" s="65" t="n"/>
      <c r="AB1062" s="65" t="n"/>
      <c r="AC1062" s="65" t="n"/>
      <c r="AD1062" s="65" t="n"/>
      <c r="AE1062" s="65" t="n"/>
      <c r="AF1062" s="65" t="n"/>
      <c r="AG1062" s="65" t="n"/>
      <c r="AH1062" s="65" t="n"/>
      <c r="AI1062" s="65" t="n"/>
      <c r="AJ1062" s="65" t="n"/>
      <c r="AK1062" s="65" t="n"/>
      <c r="AL1062" s="65" t="n"/>
      <c r="AM1062" s="65" t="n"/>
      <c r="AN1062" s="65" t="n"/>
      <c r="AO1062" s="65" t="n"/>
      <c r="AP1062" s="65" t="n"/>
      <c r="AQ1062" s="65" t="n"/>
      <c r="AR1062" s="65" t="n"/>
      <c r="AS1062" s="65" t="n"/>
      <c r="AT1062" s="65" t="n"/>
      <c r="AU1062" s="65" t="n"/>
      <c r="AV1062" s="65" t="n"/>
      <c r="AW1062" s="65" t="n"/>
      <c r="AX1062" s="65" t="n"/>
      <c r="AY1062" s="65" t="n"/>
      <c r="AZ1062" s="65" t="n"/>
      <c r="BA1062" s="65" t="n"/>
      <c r="BB1062" s="65" t="n"/>
      <c r="BC1062" s="65" t="n"/>
      <c r="BD1062" s="65" t="n"/>
      <c r="BE1062" s="65" t="n"/>
      <c r="BF1062" s="65" t="n"/>
      <c r="BG1062" s="65" t="n"/>
    </row>
    <row r="1063">
      <c r="F1063" s="68" t="n"/>
      <c r="G1063" s="68">
        <f>IF(B1063="","",F1063-I1063 )</f>
        <v/>
      </c>
      <c r="H1063" s="5">
        <f>IF(G1063="","",G1063/F1063)</f>
        <v/>
      </c>
      <c r="I1063" s="62">
        <f>SUM(テーブル9[[#This Row],[五大]:[工場材]])</f>
        <v/>
      </c>
      <c r="J1063" s="65" t="n"/>
      <c r="K1063" s="65" t="n"/>
      <c r="L1063" s="65" t="n"/>
      <c r="M1063" s="65" t="n"/>
      <c r="N1063" s="65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6" t="n"/>
      <c r="Y1063" s="65" t="n"/>
      <c r="Z1063" s="65" t="n"/>
      <c r="AA1063" s="65" t="n"/>
      <c r="AB1063" s="65" t="n"/>
      <c r="AC1063" s="65" t="n"/>
      <c r="AD1063" s="65" t="n"/>
      <c r="AE1063" s="65" t="n"/>
      <c r="AF1063" s="65" t="n"/>
      <c r="AG1063" s="65" t="n"/>
      <c r="AH1063" s="65" t="n"/>
      <c r="AI1063" s="65" t="n"/>
      <c r="AJ1063" s="65" t="n"/>
      <c r="AK1063" s="65" t="n"/>
      <c r="AL1063" s="65" t="n"/>
      <c r="AM1063" s="65" t="n"/>
      <c r="AN1063" s="65" t="n"/>
      <c r="AO1063" s="65" t="n"/>
      <c r="AP1063" s="65" t="n"/>
      <c r="AQ1063" s="65" t="n"/>
      <c r="AR1063" s="65" t="n"/>
      <c r="AS1063" s="65" t="n"/>
      <c r="AT1063" s="65" t="n"/>
      <c r="AU1063" s="65" t="n"/>
      <c r="AV1063" s="65" t="n"/>
      <c r="AW1063" s="65" t="n"/>
      <c r="AX1063" s="65" t="n"/>
      <c r="AY1063" s="65" t="n"/>
      <c r="AZ1063" s="65" t="n"/>
      <c r="BA1063" s="65" t="n"/>
      <c r="BB1063" s="65" t="n"/>
      <c r="BC1063" s="65" t="n"/>
      <c r="BD1063" s="65" t="n"/>
      <c r="BE1063" s="65" t="n"/>
      <c r="BF1063" s="65" t="n"/>
      <c r="BG1063" s="65" t="n"/>
    </row>
    <row r="1064">
      <c r="F1064" s="68" t="n"/>
      <c r="G1064" s="68">
        <f>IF(B1064="","",F1064-I1064 )</f>
        <v/>
      </c>
      <c r="H1064" s="5">
        <f>IF(G1064="","",G1064/F1064)</f>
        <v/>
      </c>
      <c r="I1064" s="62">
        <f>SUM(テーブル9[[#This Row],[五大]:[工場材]])</f>
        <v/>
      </c>
      <c r="J1064" s="65" t="n"/>
      <c r="K1064" s="65" t="n"/>
      <c r="L1064" s="65" t="n"/>
      <c r="M1064" s="65" t="n"/>
      <c r="N1064" s="65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6" t="n"/>
      <c r="Y1064" s="65" t="n"/>
      <c r="Z1064" s="65" t="n"/>
      <c r="AA1064" s="65" t="n"/>
      <c r="AB1064" s="65" t="n"/>
      <c r="AC1064" s="65" t="n"/>
      <c r="AD1064" s="65" t="n"/>
      <c r="AE1064" s="65" t="n"/>
      <c r="AF1064" s="65" t="n"/>
      <c r="AG1064" s="65" t="n"/>
      <c r="AH1064" s="65" t="n"/>
      <c r="AI1064" s="65" t="n"/>
      <c r="AJ1064" s="65" t="n"/>
      <c r="AK1064" s="65" t="n"/>
      <c r="AL1064" s="65" t="n"/>
      <c r="AM1064" s="65" t="n"/>
      <c r="AN1064" s="65" t="n"/>
      <c r="AO1064" s="65" t="n"/>
      <c r="AP1064" s="65" t="n"/>
      <c r="AQ1064" s="65" t="n"/>
      <c r="AR1064" s="65" t="n"/>
      <c r="AS1064" s="65" t="n"/>
      <c r="AT1064" s="65" t="n"/>
      <c r="AU1064" s="65" t="n"/>
      <c r="AV1064" s="65" t="n"/>
      <c r="AW1064" s="65" t="n"/>
      <c r="AX1064" s="65" t="n"/>
      <c r="AY1064" s="65" t="n"/>
      <c r="AZ1064" s="65" t="n"/>
      <c r="BA1064" s="65" t="n"/>
      <c r="BB1064" s="65" t="n"/>
      <c r="BC1064" s="65" t="n"/>
      <c r="BD1064" s="65" t="n"/>
      <c r="BE1064" s="65" t="n"/>
      <c r="BF1064" s="65" t="n"/>
      <c r="BG1064" s="65" t="n"/>
    </row>
    <row r="1065">
      <c r="F1065" s="68" t="n"/>
      <c r="G1065" s="68">
        <f>IF(B1065="","",F1065-I1065 )</f>
        <v/>
      </c>
      <c r="H1065" s="5">
        <f>IF(G1065="","",G1065/F1065)</f>
        <v/>
      </c>
      <c r="I1065" s="62">
        <f>SUM(テーブル9[[#This Row],[五大]:[工場材]])</f>
        <v/>
      </c>
      <c r="J1065" s="65" t="n"/>
      <c r="K1065" s="65" t="n"/>
      <c r="L1065" s="65" t="n"/>
      <c r="M1065" s="65" t="n"/>
      <c r="N1065" s="65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6" t="n"/>
      <c r="Y1065" s="65" t="n"/>
      <c r="Z1065" s="65" t="n"/>
      <c r="AA1065" s="65" t="n"/>
      <c r="AB1065" s="65" t="n"/>
      <c r="AC1065" s="65" t="n"/>
      <c r="AD1065" s="65" t="n"/>
      <c r="AE1065" s="65" t="n"/>
      <c r="AF1065" s="65" t="n"/>
      <c r="AG1065" s="65" t="n"/>
      <c r="AH1065" s="65" t="n"/>
      <c r="AI1065" s="65" t="n"/>
      <c r="AJ1065" s="65" t="n"/>
      <c r="AK1065" s="65" t="n"/>
      <c r="AL1065" s="65" t="n"/>
      <c r="AM1065" s="65" t="n"/>
      <c r="AN1065" s="65" t="n"/>
      <c r="AO1065" s="65" t="n"/>
      <c r="AP1065" s="65" t="n"/>
      <c r="AQ1065" s="65" t="n"/>
      <c r="AR1065" s="65" t="n"/>
      <c r="AS1065" s="65" t="n"/>
      <c r="AT1065" s="65" t="n"/>
      <c r="AU1065" s="65" t="n"/>
      <c r="AV1065" s="65" t="n"/>
      <c r="AW1065" s="65" t="n"/>
      <c r="AX1065" s="65" t="n"/>
      <c r="AY1065" s="65" t="n"/>
      <c r="AZ1065" s="65" t="n"/>
      <c r="BA1065" s="65" t="n"/>
      <c r="BB1065" s="65" t="n"/>
      <c r="BC1065" s="65" t="n"/>
      <c r="BD1065" s="65" t="n"/>
      <c r="BE1065" s="65" t="n"/>
      <c r="BF1065" s="65" t="n"/>
      <c r="BG1065" s="65" t="n"/>
    </row>
    <row r="1066">
      <c r="F1066" s="68" t="n"/>
      <c r="G1066" s="68">
        <f>IF(B1066="","",F1066-I1066 )</f>
        <v/>
      </c>
      <c r="H1066" s="5">
        <f>IF(G1066="","",G1066/F1066)</f>
        <v/>
      </c>
      <c r="I1066" s="62">
        <f>SUM(テーブル9[[#This Row],[五大]:[工場材]])</f>
        <v/>
      </c>
      <c r="J1066" s="65" t="n"/>
      <c r="K1066" s="65" t="n"/>
      <c r="L1066" s="65" t="n"/>
      <c r="M1066" s="65" t="n"/>
      <c r="N1066" s="65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6" t="n"/>
      <c r="Y1066" s="65" t="n"/>
      <c r="Z1066" s="65" t="n"/>
      <c r="AA1066" s="65" t="n"/>
      <c r="AB1066" s="65" t="n"/>
      <c r="AC1066" s="65" t="n"/>
      <c r="AD1066" s="65" t="n"/>
      <c r="AE1066" s="65" t="n"/>
      <c r="AF1066" s="65" t="n"/>
      <c r="AG1066" s="65" t="n"/>
      <c r="AH1066" s="65" t="n"/>
      <c r="AI1066" s="65" t="n"/>
      <c r="AJ1066" s="65" t="n"/>
      <c r="AK1066" s="65" t="n"/>
      <c r="AL1066" s="65" t="n"/>
      <c r="AM1066" s="65" t="n"/>
      <c r="AN1066" s="65" t="n"/>
      <c r="AO1066" s="65" t="n"/>
      <c r="AP1066" s="65" t="n"/>
      <c r="AQ1066" s="65" t="n"/>
      <c r="AR1066" s="65" t="n"/>
      <c r="AS1066" s="65" t="n"/>
      <c r="AT1066" s="65" t="n"/>
      <c r="AU1066" s="65" t="n"/>
      <c r="AV1066" s="65" t="n"/>
      <c r="AW1066" s="65" t="n"/>
      <c r="AX1066" s="65" t="n"/>
      <c r="AY1066" s="65" t="n"/>
      <c r="AZ1066" s="65" t="n"/>
      <c r="BA1066" s="65" t="n"/>
      <c r="BB1066" s="65" t="n"/>
      <c r="BC1066" s="65" t="n"/>
      <c r="BD1066" s="65" t="n"/>
      <c r="BE1066" s="65" t="n"/>
      <c r="BF1066" s="65" t="n"/>
      <c r="BG1066" s="65" t="n"/>
    </row>
    <row r="1067">
      <c r="F1067" s="68" t="n"/>
      <c r="G1067" s="68">
        <f>IF(B1067="","",F1067-I1067 )</f>
        <v/>
      </c>
      <c r="H1067" s="5">
        <f>IF(G1067="","",G1067/F1067)</f>
        <v/>
      </c>
      <c r="I1067" s="62">
        <f>SUM(テーブル9[[#This Row],[五大]:[工場材]])</f>
        <v/>
      </c>
      <c r="J1067" s="65" t="n"/>
      <c r="K1067" s="65" t="n"/>
      <c r="L1067" s="65" t="n"/>
      <c r="M1067" s="65" t="n"/>
      <c r="N1067" s="65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6" t="n"/>
      <c r="Y1067" s="65" t="n"/>
      <c r="Z1067" s="65" t="n"/>
      <c r="AA1067" s="65" t="n"/>
      <c r="AB1067" s="65" t="n"/>
      <c r="AC1067" s="65" t="n"/>
      <c r="AD1067" s="65" t="n"/>
      <c r="AE1067" s="65" t="n"/>
      <c r="AF1067" s="65" t="n"/>
      <c r="AG1067" s="65" t="n"/>
      <c r="AH1067" s="65" t="n"/>
      <c r="AI1067" s="65" t="n"/>
      <c r="AJ1067" s="65" t="n"/>
      <c r="AK1067" s="65" t="n"/>
      <c r="AL1067" s="65" t="n"/>
      <c r="AM1067" s="65" t="n"/>
      <c r="AN1067" s="65" t="n"/>
      <c r="AO1067" s="65" t="n"/>
      <c r="AP1067" s="65" t="n"/>
      <c r="AQ1067" s="65" t="n"/>
      <c r="AR1067" s="65" t="n"/>
      <c r="AS1067" s="65" t="n"/>
      <c r="AT1067" s="65" t="n"/>
      <c r="AU1067" s="65" t="n"/>
      <c r="AV1067" s="65" t="n"/>
      <c r="AW1067" s="65" t="n"/>
      <c r="AX1067" s="65" t="n"/>
      <c r="AY1067" s="65" t="n"/>
      <c r="AZ1067" s="65" t="n"/>
      <c r="BA1067" s="65" t="n"/>
      <c r="BB1067" s="65" t="n"/>
      <c r="BC1067" s="65" t="n"/>
      <c r="BD1067" s="65" t="n"/>
      <c r="BE1067" s="65" t="n"/>
      <c r="BF1067" s="65" t="n"/>
      <c r="BG1067" s="65" t="n"/>
    </row>
    <row r="1068">
      <c r="F1068" s="68" t="n"/>
      <c r="G1068" s="68">
        <f>IF(B1068="","",F1068-I1068 )</f>
        <v/>
      </c>
      <c r="H1068" s="5">
        <f>IF(G1068="","",G1068/F1068)</f>
        <v/>
      </c>
      <c r="I1068" s="62">
        <f>SUM(テーブル9[[#This Row],[五大]:[工場材]])</f>
        <v/>
      </c>
      <c r="J1068" s="65" t="n"/>
      <c r="K1068" s="65" t="n"/>
      <c r="L1068" s="65" t="n"/>
      <c r="M1068" s="65" t="n"/>
      <c r="N1068" s="65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6" t="n"/>
      <c r="Y1068" s="65" t="n"/>
      <c r="Z1068" s="65" t="n"/>
      <c r="AA1068" s="65" t="n"/>
      <c r="AB1068" s="65" t="n"/>
      <c r="AC1068" s="65" t="n"/>
      <c r="AD1068" s="65" t="n"/>
      <c r="AE1068" s="65" t="n"/>
      <c r="AF1068" s="65" t="n"/>
      <c r="AG1068" s="65" t="n"/>
      <c r="AH1068" s="65" t="n"/>
      <c r="AI1068" s="65" t="n"/>
      <c r="AJ1068" s="65" t="n"/>
      <c r="AK1068" s="65" t="n"/>
      <c r="AL1068" s="65" t="n"/>
      <c r="AM1068" s="65" t="n"/>
      <c r="AN1068" s="65" t="n"/>
      <c r="AO1068" s="65" t="n"/>
      <c r="AP1068" s="65" t="n"/>
      <c r="AQ1068" s="65" t="n"/>
      <c r="AR1068" s="65" t="n"/>
      <c r="AS1068" s="65" t="n"/>
      <c r="AT1068" s="65" t="n"/>
      <c r="AU1068" s="65" t="n"/>
      <c r="AV1068" s="65" t="n"/>
      <c r="AW1068" s="65" t="n"/>
      <c r="AX1068" s="65" t="n"/>
      <c r="AY1068" s="65" t="n"/>
      <c r="AZ1068" s="65" t="n"/>
      <c r="BA1068" s="65" t="n"/>
      <c r="BB1068" s="65" t="n"/>
      <c r="BC1068" s="65" t="n"/>
      <c r="BD1068" s="65" t="n"/>
      <c r="BE1068" s="65" t="n"/>
      <c r="BF1068" s="65" t="n"/>
      <c r="BG1068" s="65" t="n"/>
    </row>
    <row r="1069">
      <c r="F1069" s="68" t="n"/>
      <c r="G1069" s="68">
        <f>IF(B1069="","",F1069-I1069 )</f>
        <v/>
      </c>
      <c r="H1069" s="5">
        <f>IF(G1069="","",G1069/F1069)</f>
        <v/>
      </c>
      <c r="I1069" s="62">
        <f>SUM(テーブル9[[#This Row],[五大]:[工場材]])</f>
        <v/>
      </c>
      <c r="J1069" s="65" t="n"/>
      <c r="K1069" s="65" t="n"/>
      <c r="L1069" s="65" t="n"/>
      <c r="M1069" s="65" t="n"/>
      <c r="N1069" s="65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6" t="n"/>
      <c r="Y1069" s="65" t="n"/>
      <c r="Z1069" s="65" t="n"/>
      <c r="AA1069" s="65" t="n"/>
      <c r="AB1069" s="65" t="n"/>
      <c r="AC1069" s="65" t="n"/>
      <c r="AD1069" s="65" t="n"/>
      <c r="AE1069" s="65" t="n"/>
      <c r="AF1069" s="65" t="n"/>
      <c r="AG1069" s="65" t="n"/>
      <c r="AH1069" s="65" t="n"/>
      <c r="AI1069" s="65" t="n"/>
      <c r="AJ1069" s="65" t="n"/>
      <c r="AK1069" s="65" t="n"/>
      <c r="AL1069" s="65" t="n"/>
      <c r="AM1069" s="65" t="n"/>
      <c r="AN1069" s="65" t="n"/>
      <c r="AO1069" s="65" t="n"/>
      <c r="AP1069" s="65" t="n"/>
      <c r="AQ1069" s="65" t="n"/>
      <c r="AR1069" s="65" t="n"/>
      <c r="AS1069" s="65" t="n"/>
      <c r="AT1069" s="65" t="n"/>
      <c r="AU1069" s="65" t="n"/>
      <c r="AV1069" s="65" t="n"/>
      <c r="AW1069" s="65" t="n"/>
      <c r="AX1069" s="65" t="n"/>
      <c r="AY1069" s="65" t="n"/>
      <c r="AZ1069" s="65" t="n"/>
      <c r="BA1069" s="65" t="n"/>
      <c r="BB1069" s="65" t="n"/>
      <c r="BC1069" s="65" t="n"/>
      <c r="BD1069" s="65" t="n"/>
      <c r="BE1069" s="65" t="n"/>
      <c r="BF1069" s="65" t="n"/>
      <c r="BG1069" s="65" t="n"/>
    </row>
    <row r="1070">
      <c r="F1070" s="68" t="n"/>
      <c r="G1070" s="68">
        <f>IF(B1070="","",F1070-I1070 )</f>
        <v/>
      </c>
      <c r="H1070" s="5">
        <f>IF(G1070="","",G1070/F1070)</f>
        <v/>
      </c>
      <c r="I1070" s="62">
        <f>SUM(テーブル9[[#This Row],[五大]:[工場材]])</f>
        <v/>
      </c>
      <c r="J1070" s="65" t="n"/>
      <c r="K1070" s="65" t="n"/>
      <c r="L1070" s="65" t="n"/>
      <c r="M1070" s="65" t="n"/>
      <c r="N1070" s="65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6" t="n"/>
      <c r="Y1070" s="65" t="n"/>
      <c r="Z1070" s="65" t="n"/>
      <c r="AA1070" s="65" t="n"/>
      <c r="AB1070" s="65" t="n"/>
      <c r="AC1070" s="65" t="n"/>
      <c r="AD1070" s="65" t="n"/>
      <c r="AE1070" s="65" t="n"/>
      <c r="AF1070" s="65" t="n"/>
      <c r="AG1070" s="65" t="n"/>
      <c r="AH1070" s="65" t="n"/>
      <c r="AI1070" s="65" t="n"/>
      <c r="AJ1070" s="65" t="n"/>
      <c r="AK1070" s="65" t="n"/>
      <c r="AL1070" s="65" t="n"/>
      <c r="AM1070" s="65" t="n"/>
      <c r="AN1070" s="65" t="n"/>
      <c r="AO1070" s="65" t="n"/>
      <c r="AP1070" s="65" t="n"/>
      <c r="AQ1070" s="65" t="n"/>
      <c r="AR1070" s="65" t="n"/>
      <c r="AS1070" s="65" t="n"/>
      <c r="AT1070" s="65" t="n"/>
      <c r="AU1070" s="65" t="n"/>
      <c r="AV1070" s="65" t="n"/>
      <c r="AW1070" s="65" t="n"/>
      <c r="AX1070" s="65" t="n"/>
      <c r="AY1070" s="65" t="n"/>
      <c r="AZ1070" s="65" t="n"/>
      <c r="BA1070" s="65" t="n"/>
      <c r="BB1070" s="65" t="n"/>
      <c r="BC1070" s="65" t="n"/>
      <c r="BD1070" s="65" t="n"/>
      <c r="BE1070" s="65" t="n"/>
      <c r="BF1070" s="65" t="n"/>
      <c r="BG1070" s="65" t="n"/>
    </row>
    <row r="1071">
      <c r="F1071" s="68" t="n"/>
      <c r="G1071" s="68">
        <f>IF(B1071="","",F1071-I1071 )</f>
        <v/>
      </c>
      <c r="H1071" s="5">
        <f>IF(G1071="","",G1071/F1071)</f>
        <v/>
      </c>
      <c r="I1071" s="62">
        <f>SUM(テーブル9[[#This Row],[五大]:[工場材]])</f>
        <v/>
      </c>
      <c r="J1071" s="65" t="n"/>
      <c r="K1071" s="65" t="n"/>
      <c r="L1071" s="65" t="n"/>
      <c r="M1071" s="65" t="n"/>
      <c r="N1071" s="65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6" t="n"/>
      <c r="Y1071" s="65" t="n"/>
      <c r="Z1071" s="65" t="n"/>
      <c r="AA1071" s="65" t="n"/>
      <c r="AB1071" s="65" t="n"/>
      <c r="AC1071" s="65" t="n"/>
      <c r="AD1071" s="65" t="n"/>
      <c r="AE1071" s="65" t="n"/>
      <c r="AF1071" s="65" t="n"/>
      <c r="AG1071" s="65" t="n"/>
      <c r="AH1071" s="65" t="n"/>
      <c r="AI1071" s="65" t="n"/>
      <c r="AJ1071" s="65" t="n"/>
      <c r="AK1071" s="65" t="n"/>
      <c r="AL1071" s="65" t="n"/>
      <c r="AM1071" s="65" t="n"/>
      <c r="AN1071" s="65" t="n"/>
      <c r="AO1071" s="65" t="n"/>
      <c r="AP1071" s="65" t="n"/>
      <c r="AQ1071" s="65" t="n"/>
      <c r="AR1071" s="65" t="n"/>
      <c r="AS1071" s="65" t="n"/>
      <c r="AT1071" s="65" t="n"/>
      <c r="AU1071" s="65" t="n"/>
      <c r="AV1071" s="65" t="n"/>
      <c r="AW1071" s="65" t="n"/>
      <c r="AX1071" s="65" t="n"/>
      <c r="AY1071" s="65" t="n"/>
      <c r="AZ1071" s="65" t="n"/>
      <c r="BA1071" s="65" t="n"/>
      <c r="BB1071" s="65" t="n"/>
      <c r="BC1071" s="65" t="n"/>
      <c r="BD1071" s="65" t="n"/>
      <c r="BE1071" s="65" t="n"/>
      <c r="BF1071" s="65" t="n"/>
      <c r="BG1071" s="65" t="n"/>
    </row>
    <row r="1072">
      <c r="F1072" s="68" t="n"/>
      <c r="G1072" s="68">
        <f>IF(B1072="","",F1072-I1072 )</f>
        <v/>
      </c>
      <c r="H1072" s="5">
        <f>IF(G1072="","",G1072/F1072)</f>
        <v/>
      </c>
      <c r="I1072" s="62">
        <f>SUM(テーブル9[[#This Row],[五大]:[工場材]])</f>
        <v/>
      </c>
      <c r="J1072" s="65" t="n"/>
      <c r="K1072" s="65" t="n"/>
      <c r="L1072" s="65" t="n"/>
      <c r="M1072" s="65" t="n"/>
      <c r="N1072" s="65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6" t="n"/>
      <c r="Y1072" s="65" t="n"/>
      <c r="Z1072" s="65" t="n"/>
      <c r="AA1072" s="65" t="n"/>
      <c r="AB1072" s="65" t="n"/>
      <c r="AC1072" s="65" t="n"/>
      <c r="AD1072" s="65" t="n"/>
      <c r="AE1072" s="65" t="n"/>
      <c r="AF1072" s="65" t="n"/>
      <c r="AG1072" s="65" t="n"/>
      <c r="AH1072" s="65" t="n"/>
      <c r="AI1072" s="65" t="n"/>
      <c r="AJ1072" s="65" t="n"/>
      <c r="AK1072" s="65" t="n"/>
      <c r="AL1072" s="65" t="n"/>
      <c r="AM1072" s="65" t="n"/>
      <c r="AN1072" s="65" t="n"/>
      <c r="AO1072" s="65" t="n"/>
      <c r="AP1072" s="65" t="n"/>
      <c r="AQ1072" s="65" t="n"/>
      <c r="AR1072" s="65" t="n"/>
      <c r="AS1072" s="65" t="n"/>
      <c r="AT1072" s="65" t="n"/>
      <c r="AU1072" s="65" t="n"/>
      <c r="AV1072" s="65" t="n"/>
      <c r="AW1072" s="65" t="n"/>
      <c r="AX1072" s="65" t="n"/>
      <c r="AY1072" s="65" t="n"/>
      <c r="AZ1072" s="65" t="n"/>
      <c r="BA1072" s="65" t="n"/>
      <c r="BB1072" s="65" t="n"/>
      <c r="BC1072" s="65" t="n"/>
      <c r="BD1072" s="65" t="n"/>
      <c r="BE1072" s="65" t="n"/>
      <c r="BF1072" s="65" t="n"/>
      <c r="BG1072" s="65" t="n"/>
    </row>
    <row r="1073">
      <c r="F1073" s="68" t="n"/>
      <c r="G1073" s="68">
        <f>IF(B1073="","",F1073-I1073 )</f>
        <v/>
      </c>
      <c r="H1073" s="5">
        <f>IF(G1073="","",G1073/F1073)</f>
        <v/>
      </c>
      <c r="I1073" s="62">
        <f>SUM(テーブル9[[#This Row],[五大]:[工場材]])</f>
        <v/>
      </c>
      <c r="J1073" s="65" t="n"/>
      <c r="K1073" s="65" t="n"/>
      <c r="L1073" s="65" t="n"/>
      <c r="M1073" s="65" t="n"/>
      <c r="N1073" s="65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6" t="n"/>
      <c r="Y1073" s="65" t="n"/>
      <c r="Z1073" s="65" t="n"/>
      <c r="AA1073" s="65" t="n"/>
      <c r="AB1073" s="65" t="n"/>
      <c r="AC1073" s="65" t="n"/>
      <c r="AD1073" s="65" t="n"/>
      <c r="AE1073" s="65" t="n"/>
      <c r="AF1073" s="65" t="n"/>
      <c r="AG1073" s="65" t="n"/>
      <c r="AH1073" s="65" t="n"/>
      <c r="AI1073" s="65" t="n"/>
      <c r="AJ1073" s="65" t="n"/>
      <c r="AK1073" s="65" t="n"/>
      <c r="AL1073" s="65" t="n"/>
      <c r="AM1073" s="65" t="n"/>
      <c r="AN1073" s="65" t="n"/>
      <c r="AO1073" s="65" t="n"/>
      <c r="AP1073" s="65" t="n"/>
      <c r="AQ1073" s="65" t="n"/>
      <c r="AR1073" s="65" t="n"/>
      <c r="AS1073" s="65" t="n"/>
      <c r="AT1073" s="65" t="n"/>
      <c r="AU1073" s="65" t="n"/>
      <c r="AV1073" s="65" t="n"/>
      <c r="AW1073" s="65" t="n"/>
      <c r="AX1073" s="65" t="n"/>
      <c r="AY1073" s="65" t="n"/>
      <c r="AZ1073" s="65" t="n"/>
      <c r="BA1073" s="65" t="n"/>
      <c r="BB1073" s="65" t="n"/>
      <c r="BC1073" s="65" t="n"/>
      <c r="BD1073" s="65" t="n"/>
      <c r="BE1073" s="65" t="n"/>
      <c r="BF1073" s="65" t="n"/>
      <c r="BG1073" s="65" t="n"/>
    </row>
    <row r="1074">
      <c r="F1074" s="68" t="n"/>
      <c r="G1074" s="68">
        <f>IF(B1074="","",F1074-I1074 )</f>
        <v/>
      </c>
      <c r="H1074" s="5">
        <f>IF(G1074="","",G1074/F1074)</f>
        <v/>
      </c>
      <c r="I1074" s="62">
        <f>SUM(テーブル9[[#This Row],[五大]:[工場材]])</f>
        <v/>
      </c>
      <c r="J1074" s="65" t="n"/>
      <c r="K1074" s="65" t="n"/>
      <c r="L1074" s="65" t="n"/>
      <c r="M1074" s="65" t="n"/>
      <c r="N1074" s="65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6" t="n"/>
      <c r="Y1074" s="65" t="n"/>
      <c r="Z1074" s="65" t="n"/>
      <c r="AA1074" s="65" t="n"/>
      <c r="AB1074" s="65" t="n"/>
      <c r="AC1074" s="65" t="n"/>
      <c r="AD1074" s="65" t="n"/>
      <c r="AE1074" s="65" t="n"/>
      <c r="AF1074" s="65" t="n"/>
      <c r="AG1074" s="65" t="n"/>
      <c r="AH1074" s="65" t="n"/>
      <c r="AI1074" s="65" t="n"/>
      <c r="AJ1074" s="65" t="n"/>
      <c r="AK1074" s="65" t="n"/>
      <c r="AL1074" s="65" t="n"/>
      <c r="AM1074" s="65" t="n"/>
      <c r="AN1074" s="65" t="n"/>
      <c r="AO1074" s="65" t="n"/>
      <c r="AP1074" s="65" t="n"/>
      <c r="AQ1074" s="65" t="n"/>
      <c r="AR1074" s="65" t="n"/>
      <c r="AS1074" s="65" t="n"/>
      <c r="AT1074" s="65" t="n"/>
      <c r="AU1074" s="65" t="n"/>
      <c r="AV1074" s="65" t="n"/>
      <c r="AW1074" s="65" t="n"/>
      <c r="AX1074" s="65" t="n"/>
      <c r="AY1074" s="65" t="n"/>
      <c r="AZ1074" s="65" t="n"/>
      <c r="BA1074" s="65" t="n"/>
      <c r="BB1074" s="65" t="n"/>
      <c r="BC1074" s="65" t="n"/>
      <c r="BD1074" s="65" t="n"/>
      <c r="BE1074" s="65" t="n"/>
      <c r="BF1074" s="65" t="n"/>
      <c r="BG1074" s="65" t="n"/>
    </row>
    <row r="1075">
      <c r="F1075" s="68" t="n"/>
      <c r="G1075" s="68">
        <f>IF(B1075="","",F1075-I1075 )</f>
        <v/>
      </c>
      <c r="H1075" s="5">
        <f>IF(G1075="","",G1075/F1075)</f>
        <v/>
      </c>
      <c r="I1075" s="62">
        <f>SUM(テーブル9[[#This Row],[五大]:[工場材]])</f>
        <v/>
      </c>
      <c r="J1075" s="65" t="n"/>
      <c r="K1075" s="65" t="n"/>
      <c r="L1075" s="65" t="n"/>
      <c r="M1075" s="65" t="n"/>
      <c r="N1075" s="65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6" t="n"/>
      <c r="Y1075" s="65" t="n"/>
      <c r="Z1075" s="65" t="n"/>
      <c r="AA1075" s="65" t="n"/>
      <c r="AB1075" s="65" t="n"/>
      <c r="AC1075" s="65" t="n"/>
      <c r="AD1075" s="65" t="n"/>
      <c r="AE1075" s="65" t="n"/>
      <c r="AF1075" s="65" t="n"/>
      <c r="AG1075" s="65" t="n"/>
      <c r="AH1075" s="65" t="n"/>
      <c r="AI1075" s="65" t="n"/>
      <c r="AJ1075" s="65" t="n"/>
      <c r="AK1075" s="65" t="n"/>
      <c r="AL1075" s="65" t="n"/>
      <c r="AM1075" s="65" t="n"/>
      <c r="AN1075" s="65" t="n"/>
      <c r="AO1075" s="65" t="n"/>
      <c r="AP1075" s="65" t="n"/>
      <c r="AQ1075" s="65" t="n"/>
      <c r="AR1075" s="65" t="n"/>
      <c r="AS1075" s="65" t="n"/>
      <c r="AT1075" s="65" t="n"/>
      <c r="AU1075" s="65" t="n"/>
      <c r="AV1075" s="65" t="n"/>
      <c r="AW1075" s="65" t="n"/>
      <c r="AX1075" s="65" t="n"/>
      <c r="AY1075" s="65" t="n"/>
      <c r="AZ1075" s="65" t="n"/>
      <c r="BA1075" s="65" t="n"/>
      <c r="BB1075" s="65" t="n"/>
      <c r="BC1075" s="65" t="n"/>
      <c r="BD1075" s="65" t="n"/>
      <c r="BE1075" s="65" t="n"/>
      <c r="BF1075" s="65" t="n"/>
      <c r="BG1075" s="65" t="n"/>
    </row>
    <row r="1076">
      <c r="F1076" s="68" t="n"/>
      <c r="G1076" s="68">
        <f>IF(B1076="","",F1076-I1076 )</f>
        <v/>
      </c>
      <c r="H1076" s="5">
        <f>IF(G1076="","",G1076/F1076)</f>
        <v/>
      </c>
      <c r="I1076" s="62">
        <f>SUM(テーブル9[[#This Row],[五大]:[工場材]])</f>
        <v/>
      </c>
      <c r="J1076" s="65" t="n"/>
      <c r="K1076" s="65" t="n"/>
      <c r="L1076" s="65" t="n"/>
      <c r="M1076" s="65" t="n"/>
      <c r="N1076" s="65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6" t="n"/>
      <c r="Y1076" s="65" t="n"/>
      <c r="Z1076" s="65" t="n"/>
      <c r="AA1076" s="65" t="n"/>
      <c r="AB1076" s="65" t="n"/>
      <c r="AC1076" s="65" t="n"/>
      <c r="AD1076" s="65" t="n"/>
      <c r="AE1076" s="65" t="n"/>
      <c r="AF1076" s="65" t="n"/>
      <c r="AG1076" s="65" t="n"/>
      <c r="AH1076" s="65" t="n"/>
      <c r="AI1076" s="65" t="n"/>
      <c r="AJ1076" s="65" t="n"/>
      <c r="AK1076" s="65" t="n"/>
      <c r="AL1076" s="65" t="n"/>
      <c r="AM1076" s="65" t="n"/>
      <c r="AN1076" s="65" t="n"/>
      <c r="AO1076" s="65" t="n"/>
      <c r="AP1076" s="65" t="n"/>
      <c r="AQ1076" s="65" t="n"/>
      <c r="AR1076" s="65" t="n"/>
      <c r="AS1076" s="65" t="n"/>
      <c r="AT1076" s="65" t="n"/>
      <c r="AU1076" s="65" t="n"/>
      <c r="AV1076" s="65" t="n"/>
      <c r="AW1076" s="65" t="n"/>
      <c r="AX1076" s="65" t="n"/>
      <c r="AY1076" s="65" t="n"/>
      <c r="AZ1076" s="65" t="n"/>
      <c r="BA1076" s="65" t="n"/>
      <c r="BB1076" s="65" t="n"/>
      <c r="BC1076" s="65" t="n"/>
      <c r="BD1076" s="65" t="n"/>
      <c r="BE1076" s="65" t="n"/>
      <c r="BF1076" s="65" t="n"/>
      <c r="BG1076" s="65" t="n"/>
    </row>
    <row r="1077">
      <c r="F1077" s="68" t="n"/>
      <c r="G1077" s="68">
        <f>IF(B1077="","",F1077-I1077 )</f>
        <v/>
      </c>
      <c r="H1077" s="5">
        <f>IF(G1077="","",G1077/F1077)</f>
        <v/>
      </c>
      <c r="I1077" s="62">
        <f>SUM(テーブル9[[#This Row],[五大]:[工場材]])</f>
        <v/>
      </c>
      <c r="J1077" s="65" t="n"/>
      <c r="K1077" s="65" t="n"/>
      <c r="L1077" s="65" t="n"/>
      <c r="M1077" s="65" t="n"/>
      <c r="N1077" s="65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6" t="n"/>
      <c r="Y1077" s="65" t="n"/>
      <c r="Z1077" s="65" t="n"/>
      <c r="AA1077" s="65" t="n"/>
      <c r="AB1077" s="65" t="n"/>
      <c r="AC1077" s="65" t="n"/>
      <c r="AD1077" s="65" t="n"/>
      <c r="AE1077" s="65" t="n"/>
      <c r="AF1077" s="65" t="n"/>
      <c r="AG1077" s="65" t="n"/>
      <c r="AH1077" s="65" t="n"/>
      <c r="AI1077" s="65" t="n"/>
      <c r="AJ1077" s="65" t="n"/>
      <c r="AK1077" s="65" t="n"/>
      <c r="AL1077" s="65" t="n"/>
      <c r="AM1077" s="65" t="n"/>
      <c r="AN1077" s="65" t="n"/>
      <c r="AO1077" s="65" t="n"/>
      <c r="AP1077" s="65" t="n"/>
      <c r="AQ1077" s="65" t="n"/>
      <c r="AR1077" s="65" t="n"/>
      <c r="AS1077" s="65" t="n"/>
      <c r="AT1077" s="65" t="n"/>
      <c r="AU1077" s="65" t="n"/>
      <c r="AV1077" s="65" t="n"/>
      <c r="AW1077" s="65" t="n"/>
      <c r="AX1077" s="65" t="n"/>
      <c r="AY1077" s="65" t="n"/>
      <c r="AZ1077" s="65" t="n"/>
      <c r="BA1077" s="65" t="n"/>
      <c r="BB1077" s="65" t="n"/>
      <c r="BC1077" s="65" t="n"/>
      <c r="BD1077" s="65" t="n"/>
      <c r="BE1077" s="65" t="n"/>
      <c r="BF1077" s="65" t="n"/>
      <c r="BG1077" s="65" t="n"/>
    </row>
    <row r="1078">
      <c r="F1078" s="68" t="n"/>
      <c r="G1078" s="68">
        <f>IF(B1078="","",F1078-I1078 )</f>
        <v/>
      </c>
      <c r="H1078" s="5">
        <f>IF(G1078="","",G1078/F1078)</f>
        <v/>
      </c>
      <c r="I1078" s="62">
        <f>SUM(テーブル9[[#This Row],[五大]:[工場材]])</f>
        <v/>
      </c>
      <c r="J1078" s="65" t="n"/>
      <c r="K1078" s="65" t="n"/>
      <c r="L1078" s="65" t="n"/>
      <c r="M1078" s="65" t="n"/>
      <c r="N1078" s="65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6" t="n"/>
      <c r="Y1078" s="65" t="n"/>
      <c r="Z1078" s="65" t="n"/>
      <c r="AA1078" s="65" t="n"/>
      <c r="AB1078" s="65" t="n"/>
      <c r="AC1078" s="65" t="n"/>
      <c r="AD1078" s="65" t="n"/>
      <c r="AE1078" s="65" t="n"/>
      <c r="AF1078" s="65" t="n"/>
      <c r="AG1078" s="65" t="n"/>
      <c r="AH1078" s="65" t="n"/>
      <c r="AI1078" s="65" t="n"/>
      <c r="AJ1078" s="65" t="n"/>
      <c r="AK1078" s="65" t="n"/>
      <c r="AL1078" s="65" t="n"/>
      <c r="AM1078" s="65" t="n"/>
      <c r="AN1078" s="65" t="n"/>
      <c r="AO1078" s="65" t="n"/>
      <c r="AP1078" s="65" t="n"/>
      <c r="AQ1078" s="65" t="n"/>
      <c r="AR1078" s="65" t="n"/>
      <c r="AS1078" s="65" t="n"/>
      <c r="AT1078" s="65" t="n"/>
      <c r="AU1078" s="65" t="n"/>
      <c r="AV1078" s="65" t="n"/>
      <c r="AW1078" s="65" t="n"/>
      <c r="AX1078" s="65" t="n"/>
      <c r="AY1078" s="65" t="n"/>
      <c r="AZ1078" s="65" t="n"/>
      <c r="BA1078" s="65" t="n"/>
      <c r="BB1078" s="65" t="n"/>
      <c r="BC1078" s="65" t="n"/>
      <c r="BD1078" s="65" t="n"/>
      <c r="BE1078" s="65" t="n"/>
      <c r="BF1078" s="65" t="n"/>
      <c r="BG1078" s="65" t="n"/>
    </row>
    <row r="1079">
      <c r="F1079" s="68" t="n"/>
      <c r="G1079" s="68">
        <f>IF(B1079="","",F1079-I1079 )</f>
        <v/>
      </c>
      <c r="H1079" s="5">
        <f>IF(G1079="","",G1079/F1079)</f>
        <v/>
      </c>
      <c r="I1079" s="62">
        <f>SUM(テーブル9[[#This Row],[五大]:[工場材]])</f>
        <v/>
      </c>
      <c r="J1079" s="65" t="n"/>
      <c r="K1079" s="65" t="n"/>
      <c r="L1079" s="65" t="n"/>
      <c r="M1079" s="65" t="n"/>
      <c r="N1079" s="65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6" t="n"/>
      <c r="Y1079" s="65" t="n"/>
      <c r="Z1079" s="65" t="n"/>
      <c r="AA1079" s="65" t="n"/>
      <c r="AB1079" s="65" t="n"/>
      <c r="AC1079" s="65" t="n"/>
      <c r="AD1079" s="65" t="n"/>
      <c r="AE1079" s="65" t="n"/>
      <c r="AF1079" s="65" t="n"/>
      <c r="AG1079" s="65" t="n"/>
      <c r="AH1079" s="65" t="n"/>
      <c r="AI1079" s="65" t="n"/>
      <c r="AJ1079" s="65" t="n"/>
      <c r="AK1079" s="65" t="n"/>
      <c r="AL1079" s="65" t="n"/>
      <c r="AM1079" s="65" t="n"/>
      <c r="AN1079" s="65" t="n"/>
      <c r="AO1079" s="65" t="n"/>
      <c r="AP1079" s="65" t="n"/>
      <c r="AQ1079" s="65" t="n"/>
      <c r="AR1079" s="65" t="n"/>
      <c r="AS1079" s="65" t="n"/>
      <c r="AT1079" s="65" t="n"/>
      <c r="AU1079" s="65" t="n"/>
      <c r="AV1079" s="65" t="n"/>
      <c r="AW1079" s="65" t="n"/>
      <c r="AX1079" s="65" t="n"/>
      <c r="AY1079" s="65" t="n"/>
      <c r="AZ1079" s="65" t="n"/>
      <c r="BA1079" s="65" t="n"/>
      <c r="BB1079" s="65" t="n"/>
      <c r="BC1079" s="65" t="n"/>
      <c r="BD1079" s="65" t="n"/>
      <c r="BE1079" s="65" t="n"/>
      <c r="BF1079" s="65" t="n"/>
      <c r="BG1079" s="65" t="n"/>
    </row>
    <row r="1080">
      <c r="F1080" s="68" t="n"/>
      <c r="G1080" s="68">
        <f>IF(B1080="","",F1080-I1080 )</f>
        <v/>
      </c>
      <c r="H1080" s="5">
        <f>IF(G1080="","",G1080/F1080)</f>
        <v/>
      </c>
      <c r="I1080" s="62">
        <f>SUM(テーブル9[[#This Row],[五大]:[工場材]])</f>
        <v/>
      </c>
      <c r="J1080" s="65" t="n"/>
      <c r="K1080" s="65" t="n"/>
      <c r="L1080" s="65" t="n"/>
      <c r="M1080" s="65" t="n"/>
      <c r="N1080" s="65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6" t="n"/>
      <c r="Y1080" s="65" t="n"/>
      <c r="Z1080" s="65" t="n"/>
      <c r="AA1080" s="65" t="n"/>
      <c r="AB1080" s="65" t="n"/>
      <c r="AC1080" s="65" t="n"/>
      <c r="AD1080" s="65" t="n"/>
      <c r="AE1080" s="65" t="n"/>
      <c r="AF1080" s="65" t="n"/>
      <c r="AG1080" s="65" t="n"/>
      <c r="AH1080" s="65" t="n"/>
      <c r="AI1080" s="65" t="n"/>
      <c r="AJ1080" s="65" t="n"/>
      <c r="AK1080" s="65" t="n"/>
      <c r="AL1080" s="65" t="n"/>
      <c r="AM1080" s="65" t="n"/>
      <c r="AN1080" s="65" t="n"/>
      <c r="AO1080" s="65" t="n"/>
      <c r="AP1080" s="65" t="n"/>
      <c r="AQ1080" s="65" t="n"/>
      <c r="AR1080" s="65" t="n"/>
      <c r="AS1080" s="65" t="n"/>
      <c r="AT1080" s="65" t="n"/>
      <c r="AU1080" s="65" t="n"/>
      <c r="AV1080" s="65" t="n"/>
      <c r="AW1080" s="65" t="n"/>
      <c r="AX1080" s="65" t="n"/>
      <c r="AY1080" s="65" t="n"/>
      <c r="AZ1080" s="65" t="n"/>
      <c r="BA1080" s="65" t="n"/>
      <c r="BB1080" s="65" t="n"/>
      <c r="BC1080" s="65" t="n"/>
      <c r="BD1080" s="65" t="n"/>
      <c r="BE1080" s="65" t="n"/>
      <c r="BF1080" s="65" t="n"/>
      <c r="BG1080" s="65" t="n"/>
    </row>
    <row r="1081">
      <c r="F1081" s="68" t="n"/>
      <c r="G1081" s="68">
        <f>IF(B1081="","",F1081-I1081 )</f>
        <v/>
      </c>
      <c r="H1081" s="5">
        <f>IF(G1081="","",G1081/F1081)</f>
        <v/>
      </c>
      <c r="I1081" s="62">
        <f>SUM(テーブル9[[#This Row],[五大]:[工場材]])</f>
        <v/>
      </c>
      <c r="J1081" s="65" t="n"/>
      <c r="K1081" s="65" t="n"/>
      <c r="L1081" s="65" t="n"/>
      <c r="M1081" s="65" t="n"/>
      <c r="N1081" s="65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6" t="n"/>
      <c r="Y1081" s="65" t="n"/>
      <c r="Z1081" s="65" t="n"/>
      <c r="AA1081" s="65" t="n"/>
      <c r="AB1081" s="65" t="n"/>
      <c r="AC1081" s="65" t="n"/>
      <c r="AD1081" s="65" t="n"/>
      <c r="AE1081" s="65" t="n"/>
      <c r="AF1081" s="65" t="n"/>
      <c r="AG1081" s="65" t="n"/>
      <c r="AH1081" s="65" t="n"/>
      <c r="AI1081" s="65" t="n"/>
      <c r="AJ1081" s="65" t="n"/>
      <c r="AK1081" s="65" t="n"/>
      <c r="AL1081" s="65" t="n"/>
      <c r="AM1081" s="65" t="n"/>
      <c r="AN1081" s="65" t="n"/>
      <c r="AO1081" s="65" t="n"/>
      <c r="AP1081" s="65" t="n"/>
      <c r="AQ1081" s="65" t="n"/>
      <c r="AR1081" s="65" t="n"/>
      <c r="AS1081" s="65" t="n"/>
      <c r="AT1081" s="65" t="n"/>
      <c r="AU1081" s="65" t="n"/>
      <c r="AV1081" s="65" t="n"/>
      <c r="AW1081" s="65" t="n"/>
      <c r="AX1081" s="65" t="n"/>
      <c r="AY1081" s="65" t="n"/>
      <c r="AZ1081" s="65" t="n"/>
      <c r="BA1081" s="65" t="n"/>
      <c r="BB1081" s="65" t="n"/>
      <c r="BC1081" s="65" t="n"/>
      <c r="BD1081" s="65" t="n"/>
      <c r="BE1081" s="65" t="n"/>
      <c r="BF1081" s="65" t="n"/>
      <c r="BG1081" s="65" t="n"/>
    </row>
    <row r="1082">
      <c r="F1082" s="68" t="n"/>
      <c r="G1082" s="68">
        <f>IF(B1082="","",F1082-I1082 )</f>
        <v/>
      </c>
      <c r="H1082" s="5">
        <f>IF(G1082="","",G1082/F1082)</f>
        <v/>
      </c>
      <c r="I1082" s="62">
        <f>SUM(テーブル9[[#This Row],[五大]:[工場材]])</f>
        <v/>
      </c>
      <c r="J1082" s="65" t="n"/>
      <c r="K1082" s="65" t="n"/>
      <c r="L1082" s="65" t="n"/>
      <c r="M1082" s="65" t="n"/>
      <c r="N1082" s="65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6" t="n"/>
      <c r="Y1082" s="65" t="n"/>
      <c r="Z1082" s="65" t="n"/>
      <c r="AA1082" s="65" t="n"/>
      <c r="AB1082" s="65" t="n"/>
      <c r="AC1082" s="65" t="n"/>
      <c r="AD1082" s="65" t="n"/>
      <c r="AE1082" s="65" t="n"/>
      <c r="AF1082" s="65" t="n"/>
      <c r="AG1082" s="65" t="n"/>
      <c r="AH1082" s="65" t="n"/>
      <c r="AI1082" s="65" t="n"/>
      <c r="AJ1082" s="65" t="n"/>
      <c r="AK1082" s="65" t="n"/>
      <c r="AL1082" s="65" t="n"/>
      <c r="AM1082" s="65" t="n"/>
      <c r="AN1082" s="65" t="n"/>
      <c r="AO1082" s="65" t="n"/>
      <c r="AP1082" s="65" t="n"/>
      <c r="AQ1082" s="65" t="n"/>
      <c r="AR1082" s="65" t="n"/>
      <c r="AS1082" s="65" t="n"/>
      <c r="AT1082" s="65" t="n"/>
      <c r="AU1082" s="65" t="n"/>
      <c r="AV1082" s="65" t="n"/>
      <c r="AW1082" s="65" t="n"/>
      <c r="AX1082" s="65" t="n"/>
      <c r="AY1082" s="65" t="n"/>
      <c r="AZ1082" s="65" t="n"/>
      <c r="BA1082" s="65" t="n"/>
      <c r="BB1082" s="65" t="n"/>
      <c r="BC1082" s="65" t="n"/>
      <c r="BD1082" s="65" t="n"/>
      <c r="BE1082" s="65" t="n"/>
      <c r="BF1082" s="65" t="n"/>
      <c r="BG1082" s="65" t="n"/>
    </row>
    <row r="1083">
      <c r="F1083" s="68" t="n"/>
      <c r="G1083" s="68">
        <f>IF(B1083="","",F1083-I1083 )</f>
        <v/>
      </c>
      <c r="H1083" s="5">
        <f>IF(G1083="","",G1083/F1083)</f>
        <v/>
      </c>
      <c r="I1083" s="62">
        <f>SUM(テーブル9[[#This Row],[五大]:[工場材]])</f>
        <v/>
      </c>
      <c r="J1083" s="65" t="n"/>
      <c r="K1083" s="65" t="n"/>
      <c r="L1083" s="65" t="n"/>
      <c r="M1083" s="65" t="n"/>
      <c r="N1083" s="65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6" t="n"/>
      <c r="Y1083" s="65" t="n"/>
      <c r="Z1083" s="65" t="n"/>
      <c r="AA1083" s="65" t="n"/>
      <c r="AB1083" s="65" t="n"/>
      <c r="AC1083" s="65" t="n"/>
      <c r="AD1083" s="65" t="n"/>
      <c r="AE1083" s="65" t="n"/>
      <c r="AF1083" s="65" t="n"/>
      <c r="AG1083" s="65" t="n"/>
      <c r="AH1083" s="65" t="n"/>
      <c r="AI1083" s="65" t="n"/>
      <c r="AJ1083" s="65" t="n"/>
      <c r="AK1083" s="65" t="n"/>
      <c r="AL1083" s="65" t="n"/>
      <c r="AM1083" s="65" t="n"/>
      <c r="AN1083" s="65" t="n"/>
      <c r="AO1083" s="65" t="n"/>
      <c r="AP1083" s="65" t="n"/>
      <c r="AQ1083" s="65" t="n"/>
      <c r="AR1083" s="65" t="n"/>
      <c r="AS1083" s="65" t="n"/>
      <c r="AT1083" s="65" t="n"/>
      <c r="AU1083" s="65" t="n"/>
      <c r="AV1083" s="65" t="n"/>
      <c r="AW1083" s="65" t="n"/>
      <c r="AX1083" s="65" t="n"/>
      <c r="AY1083" s="65" t="n"/>
      <c r="AZ1083" s="65" t="n"/>
      <c r="BA1083" s="65" t="n"/>
      <c r="BB1083" s="65" t="n"/>
      <c r="BC1083" s="65" t="n"/>
      <c r="BD1083" s="65" t="n"/>
      <c r="BE1083" s="65" t="n"/>
      <c r="BF1083" s="65" t="n"/>
      <c r="BG1083" s="65" t="n"/>
    </row>
    <row r="1084">
      <c r="F1084" s="68" t="n"/>
      <c r="G1084" s="68">
        <f>IF(B1084="","",F1084-I1084 )</f>
        <v/>
      </c>
      <c r="H1084" s="5">
        <f>IF(G1084="","",G1084/F1084)</f>
        <v/>
      </c>
      <c r="I1084" s="62">
        <f>SUM(テーブル9[[#This Row],[五大]:[工場材]])</f>
        <v/>
      </c>
      <c r="J1084" s="65" t="n"/>
      <c r="K1084" s="65" t="n"/>
      <c r="L1084" s="65" t="n"/>
      <c r="M1084" s="65" t="n"/>
      <c r="N1084" s="65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6" t="n"/>
      <c r="Y1084" s="65" t="n"/>
      <c r="Z1084" s="65" t="n"/>
      <c r="AA1084" s="65" t="n"/>
      <c r="AB1084" s="65" t="n"/>
      <c r="AC1084" s="65" t="n"/>
      <c r="AD1084" s="65" t="n"/>
      <c r="AE1084" s="65" t="n"/>
      <c r="AF1084" s="65" t="n"/>
      <c r="AG1084" s="65" t="n"/>
      <c r="AH1084" s="65" t="n"/>
      <c r="AI1084" s="65" t="n"/>
      <c r="AJ1084" s="65" t="n"/>
      <c r="AK1084" s="65" t="n"/>
      <c r="AL1084" s="65" t="n"/>
      <c r="AM1084" s="65" t="n"/>
      <c r="AN1084" s="65" t="n"/>
      <c r="AO1084" s="65" t="n"/>
      <c r="AP1084" s="65" t="n"/>
      <c r="AQ1084" s="65" t="n"/>
      <c r="AR1084" s="65" t="n"/>
      <c r="AS1084" s="65" t="n"/>
      <c r="AT1084" s="65" t="n"/>
      <c r="AU1084" s="65" t="n"/>
      <c r="AV1084" s="65" t="n"/>
      <c r="AW1084" s="65" t="n"/>
      <c r="AX1084" s="65" t="n"/>
      <c r="AY1084" s="65" t="n"/>
      <c r="AZ1084" s="65" t="n"/>
      <c r="BA1084" s="65" t="n"/>
      <c r="BB1084" s="65" t="n"/>
      <c r="BC1084" s="65" t="n"/>
      <c r="BD1084" s="65" t="n"/>
      <c r="BE1084" s="65" t="n"/>
      <c r="BF1084" s="65" t="n"/>
      <c r="BG1084" s="65" t="n"/>
    </row>
    <row r="1085">
      <c r="F1085" s="68" t="n"/>
      <c r="G1085" s="68">
        <f>IF(B1085="","",F1085-I1085 )</f>
        <v/>
      </c>
      <c r="H1085" s="5">
        <f>IF(G1085="","",G1085/F1085)</f>
        <v/>
      </c>
      <c r="I1085" s="62">
        <f>SUM(テーブル9[[#This Row],[五大]:[工場材]])</f>
        <v/>
      </c>
      <c r="J1085" s="65" t="n"/>
      <c r="K1085" s="65" t="n"/>
      <c r="L1085" s="65" t="n"/>
      <c r="M1085" s="65" t="n"/>
      <c r="N1085" s="65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6" t="n"/>
      <c r="Y1085" s="65" t="n"/>
      <c r="Z1085" s="65" t="n"/>
      <c r="AA1085" s="65" t="n"/>
      <c r="AB1085" s="65" t="n"/>
      <c r="AC1085" s="65" t="n"/>
      <c r="AD1085" s="65" t="n"/>
      <c r="AE1085" s="65" t="n"/>
      <c r="AF1085" s="65" t="n"/>
      <c r="AG1085" s="65" t="n"/>
      <c r="AH1085" s="65" t="n"/>
      <c r="AI1085" s="65" t="n"/>
      <c r="AJ1085" s="65" t="n"/>
      <c r="AK1085" s="65" t="n"/>
      <c r="AL1085" s="65" t="n"/>
      <c r="AM1085" s="65" t="n"/>
      <c r="AN1085" s="65" t="n"/>
      <c r="AO1085" s="65" t="n"/>
      <c r="AP1085" s="65" t="n"/>
      <c r="AQ1085" s="65" t="n"/>
      <c r="AR1085" s="65" t="n"/>
      <c r="AS1085" s="65" t="n"/>
      <c r="AT1085" s="65" t="n"/>
      <c r="AU1085" s="65" t="n"/>
      <c r="AV1085" s="65" t="n"/>
      <c r="AW1085" s="65" t="n"/>
      <c r="AX1085" s="65" t="n"/>
      <c r="AY1085" s="65" t="n"/>
      <c r="AZ1085" s="65" t="n"/>
      <c r="BA1085" s="65" t="n"/>
      <c r="BB1085" s="65" t="n"/>
      <c r="BC1085" s="65" t="n"/>
      <c r="BD1085" s="65" t="n"/>
      <c r="BE1085" s="65" t="n"/>
      <c r="BF1085" s="65" t="n"/>
      <c r="BG1085" s="65" t="n"/>
    </row>
    <row r="1086">
      <c r="F1086" s="68" t="n"/>
      <c r="G1086" s="68">
        <f>IF(B1086="","",F1086-I1086 )</f>
        <v/>
      </c>
      <c r="H1086" s="5">
        <f>IF(G1086="","",G1086/F1086)</f>
        <v/>
      </c>
      <c r="I1086" s="62">
        <f>SUM(テーブル9[[#This Row],[五大]:[工場材]])</f>
        <v/>
      </c>
      <c r="J1086" s="65" t="n"/>
      <c r="K1086" s="65" t="n"/>
      <c r="L1086" s="65" t="n"/>
      <c r="M1086" s="65" t="n"/>
      <c r="N1086" s="65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6" t="n"/>
      <c r="Y1086" s="65" t="n"/>
      <c r="Z1086" s="65" t="n"/>
      <c r="AA1086" s="65" t="n"/>
      <c r="AB1086" s="65" t="n"/>
      <c r="AC1086" s="65" t="n"/>
      <c r="AD1086" s="65" t="n"/>
      <c r="AE1086" s="65" t="n"/>
      <c r="AF1086" s="65" t="n"/>
      <c r="AG1086" s="65" t="n"/>
      <c r="AH1086" s="65" t="n"/>
      <c r="AI1086" s="65" t="n"/>
      <c r="AJ1086" s="65" t="n"/>
      <c r="AK1086" s="65" t="n"/>
      <c r="AL1086" s="65" t="n"/>
      <c r="AM1086" s="65" t="n"/>
      <c r="AN1086" s="65" t="n"/>
      <c r="AO1086" s="65" t="n"/>
      <c r="AP1086" s="65" t="n"/>
      <c r="AQ1086" s="65" t="n"/>
      <c r="AR1086" s="65" t="n"/>
      <c r="AS1086" s="65" t="n"/>
      <c r="AT1086" s="65" t="n"/>
      <c r="AU1086" s="65" t="n"/>
      <c r="AV1086" s="65" t="n"/>
      <c r="AW1086" s="65" t="n"/>
      <c r="AX1086" s="65" t="n"/>
      <c r="AY1086" s="65" t="n"/>
      <c r="AZ1086" s="65" t="n"/>
      <c r="BA1086" s="65" t="n"/>
      <c r="BB1086" s="65" t="n"/>
      <c r="BC1086" s="65" t="n"/>
      <c r="BD1086" s="65" t="n"/>
      <c r="BE1086" s="65" t="n"/>
      <c r="BF1086" s="65" t="n"/>
      <c r="BG1086" s="65" t="n"/>
    </row>
    <row r="1087">
      <c r="F1087" s="68" t="n"/>
      <c r="G1087" s="68">
        <f>IF(B1087="","",F1087-I1087 )</f>
        <v/>
      </c>
      <c r="H1087" s="5">
        <f>IF(G1087="","",G1087/F1087)</f>
        <v/>
      </c>
      <c r="I1087" s="62">
        <f>SUM(テーブル9[[#This Row],[五大]:[工場材]])</f>
        <v/>
      </c>
      <c r="J1087" s="65" t="n"/>
      <c r="K1087" s="65" t="n"/>
      <c r="L1087" s="65" t="n"/>
      <c r="M1087" s="65" t="n"/>
      <c r="N1087" s="65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6" t="n"/>
      <c r="Y1087" s="65" t="n"/>
      <c r="Z1087" s="65" t="n"/>
      <c r="AA1087" s="65" t="n"/>
      <c r="AB1087" s="65" t="n"/>
      <c r="AC1087" s="65" t="n"/>
      <c r="AD1087" s="65" t="n"/>
      <c r="AE1087" s="65" t="n"/>
      <c r="AF1087" s="65" t="n"/>
      <c r="AG1087" s="65" t="n"/>
      <c r="AH1087" s="65" t="n"/>
      <c r="AI1087" s="65" t="n"/>
      <c r="AJ1087" s="65" t="n"/>
      <c r="AK1087" s="65" t="n"/>
      <c r="AL1087" s="65" t="n"/>
      <c r="AM1087" s="65" t="n"/>
      <c r="AN1087" s="65" t="n"/>
      <c r="AO1087" s="65" t="n"/>
      <c r="AP1087" s="65" t="n"/>
      <c r="AQ1087" s="65" t="n"/>
      <c r="AR1087" s="65" t="n"/>
      <c r="AS1087" s="65" t="n"/>
      <c r="AT1087" s="65" t="n"/>
      <c r="AU1087" s="65" t="n"/>
      <c r="AV1087" s="65" t="n"/>
      <c r="AW1087" s="65" t="n"/>
      <c r="AX1087" s="65" t="n"/>
      <c r="AY1087" s="65" t="n"/>
      <c r="AZ1087" s="65" t="n"/>
      <c r="BA1087" s="65" t="n"/>
      <c r="BB1087" s="65" t="n"/>
      <c r="BC1087" s="65" t="n"/>
      <c r="BD1087" s="65" t="n"/>
      <c r="BE1087" s="65" t="n"/>
      <c r="BF1087" s="65" t="n"/>
      <c r="BG1087" s="65" t="n"/>
    </row>
    <row r="1088">
      <c r="F1088" s="68" t="n"/>
      <c r="G1088" s="68">
        <f>IF(B1088="","",F1088-I1088 )</f>
        <v/>
      </c>
      <c r="H1088" s="5">
        <f>IF(G1088="","",G1088/F1088)</f>
        <v/>
      </c>
      <c r="I1088" s="62">
        <f>SUM(テーブル9[[#This Row],[五大]:[工場材]])</f>
        <v/>
      </c>
      <c r="J1088" s="65" t="n"/>
      <c r="K1088" s="65" t="n"/>
      <c r="L1088" s="65" t="n"/>
      <c r="M1088" s="65" t="n"/>
      <c r="N1088" s="65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6" t="n"/>
      <c r="Y1088" s="65" t="n"/>
      <c r="Z1088" s="65" t="n"/>
      <c r="AA1088" s="65" t="n"/>
      <c r="AB1088" s="65" t="n"/>
      <c r="AC1088" s="65" t="n"/>
      <c r="AD1088" s="65" t="n"/>
      <c r="AE1088" s="65" t="n"/>
      <c r="AF1088" s="65" t="n"/>
      <c r="AG1088" s="65" t="n"/>
      <c r="AH1088" s="65" t="n"/>
      <c r="AI1088" s="65" t="n"/>
      <c r="AJ1088" s="65" t="n"/>
      <c r="AK1088" s="65" t="n"/>
      <c r="AL1088" s="65" t="n"/>
      <c r="AM1088" s="65" t="n"/>
      <c r="AN1088" s="65" t="n"/>
      <c r="AO1088" s="65" t="n"/>
      <c r="AP1088" s="65" t="n"/>
      <c r="AQ1088" s="65" t="n"/>
      <c r="AR1088" s="65" t="n"/>
      <c r="AS1088" s="65" t="n"/>
      <c r="AT1088" s="65" t="n"/>
      <c r="AU1088" s="65" t="n"/>
      <c r="AV1088" s="65" t="n"/>
      <c r="AW1088" s="65" t="n"/>
      <c r="AX1088" s="65" t="n"/>
      <c r="AY1088" s="65" t="n"/>
      <c r="AZ1088" s="65" t="n"/>
      <c r="BA1088" s="65" t="n"/>
      <c r="BB1088" s="65" t="n"/>
      <c r="BC1088" s="65" t="n"/>
      <c r="BD1088" s="65" t="n"/>
      <c r="BE1088" s="65" t="n"/>
      <c r="BF1088" s="65" t="n"/>
      <c r="BG1088" s="65" t="n"/>
    </row>
    <row r="1089">
      <c r="F1089" s="68" t="n"/>
      <c r="G1089" s="68">
        <f>IF(B1089="","",F1089-I1089 )</f>
        <v/>
      </c>
      <c r="H1089" s="5">
        <f>IF(G1089="","",G1089/F1089)</f>
        <v/>
      </c>
      <c r="I1089" s="62">
        <f>SUM(テーブル9[[#This Row],[五大]:[工場材]])</f>
        <v/>
      </c>
      <c r="J1089" s="65" t="n"/>
      <c r="K1089" s="65" t="n"/>
      <c r="L1089" s="65" t="n"/>
      <c r="M1089" s="65" t="n"/>
      <c r="N1089" s="65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6" t="n"/>
      <c r="Y1089" s="65" t="n"/>
      <c r="Z1089" s="65" t="n"/>
      <c r="AA1089" s="65" t="n"/>
      <c r="AB1089" s="65" t="n"/>
      <c r="AC1089" s="65" t="n"/>
      <c r="AD1089" s="65" t="n"/>
      <c r="AE1089" s="65" t="n"/>
      <c r="AF1089" s="65" t="n"/>
      <c r="AG1089" s="65" t="n"/>
      <c r="AH1089" s="65" t="n"/>
      <c r="AI1089" s="65" t="n"/>
      <c r="AJ1089" s="65" t="n"/>
      <c r="AK1089" s="65" t="n"/>
      <c r="AL1089" s="65" t="n"/>
      <c r="AM1089" s="65" t="n"/>
      <c r="AN1089" s="65" t="n"/>
      <c r="AO1089" s="65" t="n"/>
      <c r="AP1089" s="65" t="n"/>
      <c r="AQ1089" s="65" t="n"/>
      <c r="AR1089" s="65" t="n"/>
      <c r="AS1089" s="65" t="n"/>
      <c r="AT1089" s="65" t="n"/>
      <c r="AU1089" s="65" t="n"/>
      <c r="AV1089" s="65" t="n"/>
      <c r="AW1089" s="65" t="n"/>
      <c r="AX1089" s="65" t="n"/>
      <c r="AY1089" s="65" t="n"/>
      <c r="AZ1089" s="65" t="n"/>
      <c r="BA1089" s="65" t="n"/>
      <c r="BB1089" s="65" t="n"/>
      <c r="BC1089" s="65" t="n"/>
      <c r="BD1089" s="65" t="n"/>
      <c r="BE1089" s="65" t="n"/>
      <c r="BF1089" s="65" t="n"/>
      <c r="BG1089" s="65" t="n"/>
    </row>
    <row r="1090">
      <c r="F1090" s="68" t="n"/>
      <c r="G1090" s="68">
        <f>IF(B1090="","",F1090-I1090 )</f>
        <v/>
      </c>
      <c r="H1090" s="5">
        <f>IF(G1090="","",G1090/F1090)</f>
        <v/>
      </c>
      <c r="I1090" s="62">
        <f>SUM(テーブル9[[#This Row],[五大]:[工場材]])</f>
        <v/>
      </c>
      <c r="J1090" s="65" t="n"/>
      <c r="K1090" s="65" t="n"/>
      <c r="L1090" s="65" t="n"/>
      <c r="M1090" s="65" t="n"/>
      <c r="N1090" s="65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6" t="n"/>
      <c r="Y1090" s="65" t="n"/>
      <c r="Z1090" s="65" t="n"/>
      <c r="AA1090" s="65" t="n"/>
      <c r="AB1090" s="65" t="n"/>
      <c r="AC1090" s="65" t="n"/>
      <c r="AD1090" s="65" t="n"/>
      <c r="AE1090" s="65" t="n"/>
      <c r="AF1090" s="65" t="n"/>
      <c r="AG1090" s="65" t="n"/>
      <c r="AH1090" s="65" t="n"/>
      <c r="AI1090" s="65" t="n"/>
      <c r="AJ1090" s="65" t="n"/>
      <c r="AK1090" s="65" t="n"/>
      <c r="AL1090" s="65" t="n"/>
      <c r="AM1090" s="65" t="n"/>
      <c r="AN1090" s="65" t="n"/>
      <c r="AO1090" s="65" t="n"/>
      <c r="AP1090" s="65" t="n"/>
      <c r="AQ1090" s="65" t="n"/>
      <c r="AR1090" s="65" t="n"/>
      <c r="AS1090" s="65" t="n"/>
      <c r="AT1090" s="65" t="n"/>
      <c r="AU1090" s="65" t="n"/>
      <c r="AV1090" s="65" t="n"/>
      <c r="AW1090" s="65" t="n"/>
      <c r="AX1090" s="65" t="n"/>
      <c r="AY1090" s="65" t="n"/>
      <c r="AZ1090" s="65" t="n"/>
      <c r="BA1090" s="65" t="n"/>
      <c r="BB1090" s="65" t="n"/>
      <c r="BC1090" s="65" t="n"/>
      <c r="BD1090" s="65" t="n"/>
      <c r="BE1090" s="65" t="n"/>
      <c r="BF1090" s="65" t="n"/>
      <c r="BG1090" s="65" t="n"/>
    </row>
    <row r="1091">
      <c r="F1091" s="68" t="n"/>
      <c r="G1091" s="68">
        <f>IF(B1091="","",F1091-I1091 )</f>
        <v/>
      </c>
      <c r="H1091" s="5">
        <f>IF(G1091="","",G1091/F1091)</f>
        <v/>
      </c>
      <c r="I1091" s="62">
        <f>SUM(テーブル9[[#This Row],[五大]:[工場材]])</f>
        <v/>
      </c>
      <c r="J1091" s="65" t="n"/>
      <c r="K1091" s="65" t="n"/>
      <c r="L1091" s="65" t="n"/>
      <c r="M1091" s="65" t="n"/>
      <c r="N1091" s="65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6" t="n"/>
      <c r="Y1091" s="65" t="n"/>
      <c r="Z1091" s="65" t="n"/>
      <c r="AA1091" s="65" t="n"/>
      <c r="AB1091" s="65" t="n"/>
      <c r="AC1091" s="65" t="n"/>
      <c r="AD1091" s="65" t="n"/>
      <c r="AE1091" s="65" t="n"/>
      <c r="AF1091" s="65" t="n"/>
      <c r="AG1091" s="65" t="n"/>
      <c r="AH1091" s="65" t="n"/>
      <c r="AI1091" s="65" t="n"/>
      <c r="AJ1091" s="65" t="n"/>
      <c r="AK1091" s="65" t="n"/>
      <c r="AL1091" s="65" t="n"/>
      <c r="AM1091" s="65" t="n"/>
      <c r="AN1091" s="65" t="n"/>
      <c r="AO1091" s="65" t="n"/>
      <c r="AP1091" s="65" t="n"/>
      <c r="AQ1091" s="65" t="n"/>
      <c r="AR1091" s="65" t="n"/>
      <c r="AS1091" s="65" t="n"/>
      <c r="AT1091" s="65" t="n"/>
      <c r="AU1091" s="65" t="n"/>
      <c r="AV1091" s="65" t="n"/>
      <c r="AW1091" s="65" t="n"/>
      <c r="AX1091" s="65" t="n"/>
      <c r="AY1091" s="65" t="n"/>
      <c r="AZ1091" s="65" t="n"/>
      <c r="BA1091" s="65" t="n"/>
      <c r="BB1091" s="65" t="n"/>
      <c r="BC1091" s="65" t="n"/>
      <c r="BD1091" s="65" t="n"/>
      <c r="BE1091" s="65" t="n"/>
      <c r="BF1091" s="65" t="n"/>
      <c r="BG1091" s="65" t="n"/>
    </row>
    <row r="1092">
      <c r="F1092" s="68" t="n"/>
      <c r="G1092" s="68">
        <f>IF(B1092="","",F1092-I1092 )</f>
        <v/>
      </c>
      <c r="H1092" s="5">
        <f>IF(G1092="","",G1092/F1092)</f>
        <v/>
      </c>
      <c r="I1092" s="62">
        <f>SUM(テーブル9[[#This Row],[五大]:[工場材]])</f>
        <v/>
      </c>
      <c r="J1092" s="65" t="n"/>
      <c r="K1092" s="65" t="n"/>
      <c r="L1092" s="65" t="n"/>
      <c r="M1092" s="65" t="n"/>
      <c r="N1092" s="65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6" t="n"/>
      <c r="Y1092" s="65" t="n"/>
      <c r="Z1092" s="65" t="n"/>
      <c r="AA1092" s="65" t="n"/>
      <c r="AB1092" s="65" t="n"/>
      <c r="AC1092" s="65" t="n"/>
      <c r="AD1092" s="65" t="n"/>
      <c r="AE1092" s="65" t="n"/>
      <c r="AF1092" s="65" t="n"/>
      <c r="AG1092" s="65" t="n"/>
      <c r="AH1092" s="65" t="n"/>
      <c r="AI1092" s="65" t="n"/>
      <c r="AJ1092" s="65" t="n"/>
      <c r="AK1092" s="65" t="n"/>
      <c r="AL1092" s="65" t="n"/>
      <c r="AM1092" s="65" t="n"/>
      <c r="AN1092" s="65" t="n"/>
      <c r="AO1092" s="65" t="n"/>
      <c r="AP1092" s="65" t="n"/>
      <c r="AQ1092" s="65" t="n"/>
      <c r="AR1092" s="65" t="n"/>
      <c r="AS1092" s="65" t="n"/>
      <c r="AT1092" s="65" t="n"/>
      <c r="AU1092" s="65" t="n"/>
      <c r="AV1092" s="65" t="n"/>
      <c r="AW1092" s="65" t="n"/>
      <c r="AX1092" s="65" t="n"/>
      <c r="AY1092" s="65" t="n"/>
      <c r="AZ1092" s="65" t="n"/>
      <c r="BA1092" s="65" t="n"/>
      <c r="BB1092" s="65" t="n"/>
      <c r="BC1092" s="65" t="n"/>
      <c r="BD1092" s="65" t="n"/>
      <c r="BE1092" s="65" t="n"/>
      <c r="BF1092" s="65" t="n"/>
      <c r="BG1092" s="65" t="n"/>
    </row>
    <row r="1093">
      <c r="F1093" s="68" t="n"/>
      <c r="G1093" s="68">
        <f>IF(B1093="","",F1093-I1093 )</f>
        <v/>
      </c>
      <c r="H1093" s="5">
        <f>IF(G1093="","",G1093/F1093)</f>
        <v/>
      </c>
      <c r="I1093" s="62">
        <f>SUM(テーブル9[[#This Row],[五大]:[工場材]])</f>
        <v/>
      </c>
      <c r="J1093" s="65" t="n"/>
      <c r="K1093" s="65" t="n"/>
      <c r="L1093" s="65" t="n"/>
      <c r="M1093" s="65" t="n"/>
      <c r="N1093" s="65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6" t="n"/>
      <c r="Y1093" s="65" t="n"/>
      <c r="Z1093" s="65" t="n"/>
      <c r="AA1093" s="65" t="n"/>
      <c r="AB1093" s="65" t="n"/>
      <c r="AC1093" s="65" t="n"/>
      <c r="AD1093" s="65" t="n"/>
      <c r="AE1093" s="65" t="n"/>
      <c r="AF1093" s="65" t="n"/>
      <c r="AG1093" s="65" t="n"/>
      <c r="AH1093" s="65" t="n"/>
      <c r="AI1093" s="65" t="n"/>
      <c r="AJ1093" s="65" t="n"/>
      <c r="AK1093" s="65" t="n"/>
      <c r="AL1093" s="65" t="n"/>
      <c r="AM1093" s="65" t="n"/>
      <c r="AN1093" s="65" t="n"/>
      <c r="AO1093" s="65" t="n"/>
      <c r="AP1093" s="65" t="n"/>
      <c r="AQ1093" s="65" t="n"/>
      <c r="AR1093" s="65" t="n"/>
      <c r="AS1093" s="65" t="n"/>
      <c r="AT1093" s="65" t="n"/>
      <c r="AU1093" s="65" t="n"/>
      <c r="AV1093" s="65" t="n"/>
      <c r="AW1093" s="65" t="n"/>
      <c r="AX1093" s="65" t="n"/>
      <c r="AY1093" s="65" t="n"/>
      <c r="AZ1093" s="65" t="n"/>
      <c r="BA1093" s="65" t="n"/>
      <c r="BB1093" s="65" t="n"/>
      <c r="BC1093" s="65" t="n"/>
      <c r="BD1093" s="65" t="n"/>
      <c r="BE1093" s="65" t="n"/>
      <c r="BF1093" s="65" t="n"/>
      <c r="BG1093" s="65" t="n"/>
    </row>
    <row r="1094">
      <c r="F1094" s="68" t="n"/>
      <c r="G1094" s="68">
        <f>IF(B1094="","",F1094-I1094 )</f>
        <v/>
      </c>
      <c r="H1094" s="5">
        <f>IF(G1094="","",G1094/F1094)</f>
        <v/>
      </c>
      <c r="I1094" s="62">
        <f>SUM(テーブル9[[#This Row],[五大]:[工場材]])</f>
        <v/>
      </c>
      <c r="J1094" s="65" t="n"/>
      <c r="K1094" s="65" t="n"/>
      <c r="L1094" s="65" t="n"/>
      <c r="M1094" s="65" t="n"/>
      <c r="N1094" s="65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6" t="n"/>
      <c r="Y1094" s="65" t="n"/>
      <c r="Z1094" s="65" t="n"/>
      <c r="AA1094" s="65" t="n"/>
      <c r="AB1094" s="65" t="n"/>
      <c r="AC1094" s="65" t="n"/>
      <c r="AD1094" s="65" t="n"/>
      <c r="AE1094" s="65" t="n"/>
      <c r="AF1094" s="65" t="n"/>
      <c r="AG1094" s="65" t="n"/>
      <c r="AH1094" s="65" t="n"/>
      <c r="AI1094" s="65" t="n"/>
      <c r="AJ1094" s="65" t="n"/>
      <c r="AK1094" s="65" t="n"/>
      <c r="AL1094" s="65" t="n"/>
      <c r="AM1094" s="65" t="n"/>
      <c r="AN1094" s="65" t="n"/>
      <c r="AO1094" s="65" t="n"/>
      <c r="AP1094" s="65" t="n"/>
      <c r="AQ1094" s="65" t="n"/>
      <c r="AR1094" s="65" t="n"/>
      <c r="AS1094" s="65" t="n"/>
      <c r="AT1094" s="65" t="n"/>
      <c r="AU1094" s="65" t="n"/>
      <c r="AV1094" s="65" t="n"/>
      <c r="AW1094" s="65" t="n"/>
      <c r="AX1094" s="65" t="n"/>
      <c r="AY1094" s="65" t="n"/>
      <c r="AZ1094" s="65" t="n"/>
      <c r="BA1094" s="65" t="n"/>
      <c r="BB1094" s="65" t="n"/>
      <c r="BC1094" s="65" t="n"/>
      <c r="BD1094" s="65" t="n"/>
      <c r="BE1094" s="65" t="n"/>
      <c r="BF1094" s="65" t="n"/>
      <c r="BG1094" s="65" t="n"/>
    </row>
    <row r="1095">
      <c r="F1095" s="68" t="n"/>
      <c r="G1095" s="68">
        <f>IF(B1095="","",F1095-I1095 )</f>
        <v/>
      </c>
      <c r="H1095" s="5">
        <f>IF(G1095="","",G1095/F1095)</f>
        <v/>
      </c>
      <c r="I1095" s="62">
        <f>SUM(テーブル9[[#This Row],[五大]:[工場材]])</f>
        <v/>
      </c>
      <c r="J1095" s="65" t="n"/>
      <c r="K1095" s="65" t="n"/>
      <c r="L1095" s="65" t="n"/>
      <c r="M1095" s="65" t="n"/>
      <c r="N1095" s="65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6" t="n"/>
      <c r="Y1095" s="65" t="n"/>
      <c r="Z1095" s="65" t="n"/>
      <c r="AA1095" s="65" t="n"/>
      <c r="AB1095" s="65" t="n"/>
      <c r="AC1095" s="65" t="n"/>
      <c r="AD1095" s="65" t="n"/>
      <c r="AE1095" s="65" t="n"/>
      <c r="AF1095" s="65" t="n"/>
      <c r="AG1095" s="65" t="n"/>
      <c r="AH1095" s="65" t="n"/>
      <c r="AI1095" s="65" t="n"/>
      <c r="AJ1095" s="65" t="n"/>
      <c r="AK1095" s="65" t="n"/>
      <c r="AL1095" s="65" t="n"/>
      <c r="AM1095" s="65" t="n"/>
      <c r="AN1095" s="65" t="n"/>
      <c r="AO1095" s="65" t="n"/>
      <c r="AP1095" s="65" t="n"/>
      <c r="AQ1095" s="65" t="n"/>
      <c r="AR1095" s="65" t="n"/>
      <c r="AS1095" s="65" t="n"/>
      <c r="AT1095" s="65" t="n"/>
      <c r="AU1095" s="65" t="n"/>
      <c r="AV1095" s="65" t="n"/>
      <c r="AW1095" s="65" t="n"/>
      <c r="AX1095" s="65" t="n"/>
      <c r="AY1095" s="65" t="n"/>
      <c r="AZ1095" s="65" t="n"/>
      <c r="BA1095" s="65" t="n"/>
      <c r="BB1095" s="65" t="n"/>
      <c r="BC1095" s="65" t="n"/>
      <c r="BD1095" s="65" t="n"/>
      <c r="BE1095" s="65" t="n"/>
      <c r="BF1095" s="65" t="n"/>
      <c r="BG1095" s="65" t="n"/>
    </row>
    <row r="1096">
      <c r="F1096" s="68" t="n"/>
      <c r="G1096" s="68">
        <f>IF(B1096="","",F1096-I1096 )</f>
        <v/>
      </c>
      <c r="H1096" s="5">
        <f>IF(G1096="","",G1096/F1096)</f>
        <v/>
      </c>
      <c r="I1096" s="62">
        <f>SUM(テーブル9[[#This Row],[五大]:[工場材]])</f>
        <v/>
      </c>
      <c r="J1096" s="65" t="n"/>
      <c r="K1096" s="65" t="n"/>
      <c r="L1096" s="65" t="n"/>
      <c r="M1096" s="65" t="n"/>
      <c r="N1096" s="65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6" t="n"/>
      <c r="Y1096" s="65" t="n"/>
      <c r="Z1096" s="65" t="n"/>
      <c r="AA1096" s="65" t="n"/>
      <c r="AB1096" s="65" t="n"/>
      <c r="AC1096" s="65" t="n"/>
      <c r="AD1096" s="65" t="n"/>
      <c r="AE1096" s="65" t="n"/>
      <c r="AF1096" s="65" t="n"/>
      <c r="AG1096" s="65" t="n"/>
      <c r="AH1096" s="65" t="n"/>
      <c r="AI1096" s="65" t="n"/>
      <c r="AJ1096" s="65" t="n"/>
      <c r="AK1096" s="65" t="n"/>
      <c r="AL1096" s="65" t="n"/>
      <c r="AM1096" s="65" t="n"/>
      <c r="AN1096" s="65" t="n"/>
      <c r="AO1096" s="65" t="n"/>
      <c r="AP1096" s="65" t="n"/>
      <c r="AQ1096" s="65" t="n"/>
      <c r="AR1096" s="65" t="n"/>
      <c r="AS1096" s="65" t="n"/>
      <c r="AT1096" s="65" t="n"/>
      <c r="AU1096" s="65" t="n"/>
      <c r="AV1096" s="65" t="n"/>
      <c r="AW1096" s="65" t="n"/>
      <c r="AX1096" s="65" t="n"/>
      <c r="AY1096" s="65" t="n"/>
      <c r="AZ1096" s="65" t="n"/>
      <c r="BA1096" s="65" t="n"/>
      <c r="BB1096" s="65" t="n"/>
      <c r="BC1096" s="65" t="n"/>
      <c r="BD1096" s="65" t="n"/>
      <c r="BE1096" s="65" t="n"/>
      <c r="BF1096" s="65" t="n"/>
      <c r="BG1096" s="65" t="n"/>
    </row>
    <row r="1097">
      <c r="F1097" s="68" t="n"/>
      <c r="G1097" s="68">
        <f>IF(B1097="","",F1097-I1097 )</f>
        <v/>
      </c>
      <c r="H1097" s="5">
        <f>IF(G1097="","",G1097/F1097)</f>
        <v/>
      </c>
      <c r="I1097" s="62">
        <f>SUM(テーブル9[[#This Row],[五大]:[工場材]])</f>
        <v/>
      </c>
      <c r="J1097" s="65" t="n"/>
      <c r="K1097" s="65" t="n"/>
      <c r="L1097" s="65" t="n"/>
      <c r="M1097" s="65" t="n"/>
      <c r="N1097" s="65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6" t="n"/>
      <c r="Y1097" s="65" t="n"/>
      <c r="Z1097" s="65" t="n"/>
      <c r="AA1097" s="65" t="n"/>
      <c r="AB1097" s="65" t="n"/>
      <c r="AC1097" s="65" t="n"/>
      <c r="AD1097" s="65" t="n"/>
      <c r="AE1097" s="65" t="n"/>
      <c r="AF1097" s="65" t="n"/>
      <c r="AG1097" s="65" t="n"/>
      <c r="AH1097" s="65" t="n"/>
      <c r="AI1097" s="65" t="n"/>
      <c r="AJ1097" s="65" t="n"/>
      <c r="AK1097" s="65" t="n"/>
      <c r="AL1097" s="65" t="n"/>
      <c r="AM1097" s="65" t="n"/>
      <c r="AN1097" s="65" t="n"/>
      <c r="AO1097" s="65" t="n"/>
      <c r="AP1097" s="65" t="n"/>
      <c r="AQ1097" s="65" t="n"/>
      <c r="AR1097" s="65" t="n"/>
      <c r="AS1097" s="65" t="n"/>
      <c r="AT1097" s="65" t="n"/>
      <c r="AU1097" s="65" t="n"/>
      <c r="AV1097" s="65" t="n"/>
      <c r="AW1097" s="65" t="n"/>
      <c r="AX1097" s="65" t="n"/>
      <c r="AY1097" s="65" t="n"/>
      <c r="AZ1097" s="65" t="n"/>
      <c r="BA1097" s="65" t="n"/>
      <c r="BB1097" s="65" t="n"/>
      <c r="BC1097" s="65" t="n"/>
      <c r="BD1097" s="65" t="n"/>
      <c r="BE1097" s="65" t="n"/>
      <c r="BF1097" s="65" t="n"/>
      <c r="BG1097" s="65" t="n"/>
    </row>
    <row r="1098">
      <c r="F1098" s="68" t="n"/>
      <c r="G1098" s="68">
        <f>IF(B1098="","",F1098-I1098 )</f>
        <v/>
      </c>
      <c r="H1098" s="5">
        <f>IF(G1098="","",G1098/F1098)</f>
        <v/>
      </c>
      <c r="I1098" s="62">
        <f>SUM(テーブル9[[#This Row],[五大]:[工場材]])</f>
        <v/>
      </c>
      <c r="J1098" s="65" t="n"/>
      <c r="K1098" s="65" t="n"/>
      <c r="L1098" s="65" t="n"/>
      <c r="M1098" s="65" t="n"/>
      <c r="N1098" s="65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6" t="n"/>
      <c r="Y1098" s="65" t="n"/>
      <c r="Z1098" s="65" t="n"/>
      <c r="AA1098" s="65" t="n"/>
      <c r="AB1098" s="65" t="n"/>
      <c r="AC1098" s="65" t="n"/>
      <c r="AD1098" s="65" t="n"/>
      <c r="AE1098" s="65" t="n"/>
      <c r="AF1098" s="65" t="n"/>
      <c r="AG1098" s="65" t="n"/>
      <c r="AH1098" s="65" t="n"/>
      <c r="AI1098" s="65" t="n"/>
      <c r="AJ1098" s="65" t="n"/>
      <c r="AK1098" s="65" t="n"/>
      <c r="AL1098" s="65" t="n"/>
      <c r="AM1098" s="65" t="n"/>
      <c r="AN1098" s="65" t="n"/>
      <c r="AO1098" s="65" t="n"/>
      <c r="AP1098" s="65" t="n"/>
      <c r="AQ1098" s="65" t="n"/>
      <c r="AR1098" s="65" t="n"/>
      <c r="AS1098" s="65" t="n"/>
      <c r="AT1098" s="65" t="n"/>
      <c r="AU1098" s="65" t="n"/>
      <c r="AV1098" s="65" t="n"/>
      <c r="AW1098" s="65" t="n"/>
      <c r="AX1098" s="65" t="n"/>
      <c r="AY1098" s="65" t="n"/>
      <c r="AZ1098" s="65" t="n"/>
      <c r="BA1098" s="65" t="n"/>
      <c r="BB1098" s="65" t="n"/>
      <c r="BC1098" s="65" t="n"/>
      <c r="BD1098" s="65" t="n"/>
      <c r="BE1098" s="65" t="n"/>
      <c r="BF1098" s="65" t="n"/>
      <c r="BG1098" s="65" t="n"/>
    </row>
    <row r="1099">
      <c r="F1099" s="68" t="n"/>
      <c r="G1099" s="68">
        <f>IF(B1099="","",F1099-I1099 )</f>
        <v/>
      </c>
      <c r="H1099" s="5">
        <f>IF(G1099="","",G1099/F1099)</f>
        <v/>
      </c>
      <c r="I1099" s="62">
        <f>SUM(テーブル9[[#This Row],[五大]:[工場材]])</f>
        <v/>
      </c>
      <c r="J1099" s="65" t="n"/>
      <c r="K1099" s="65" t="n"/>
      <c r="L1099" s="65" t="n"/>
      <c r="M1099" s="65" t="n"/>
      <c r="N1099" s="65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6" t="n"/>
      <c r="Y1099" s="65" t="n"/>
      <c r="Z1099" s="65" t="n"/>
      <c r="AA1099" s="65" t="n"/>
      <c r="AB1099" s="65" t="n"/>
      <c r="AC1099" s="65" t="n"/>
      <c r="AD1099" s="65" t="n"/>
      <c r="AE1099" s="65" t="n"/>
      <c r="AF1099" s="65" t="n"/>
      <c r="AG1099" s="65" t="n"/>
      <c r="AH1099" s="65" t="n"/>
      <c r="AI1099" s="65" t="n"/>
      <c r="AJ1099" s="65" t="n"/>
      <c r="AK1099" s="65" t="n"/>
      <c r="AL1099" s="65" t="n"/>
      <c r="AM1099" s="65" t="n"/>
      <c r="AN1099" s="65" t="n"/>
      <c r="AO1099" s="65" t="n"/>
      <c r="AP1099" s="65" t="n"/>
      <c r="AQ1099" s="65" t="n"/>
      <c r="AR1099" s="65" t="n"/>
      <c r="AS1099" s="65" t="n"/>
      <c r="AT1099" s="65" t="n"/>
      <c r="AU1099" s="65" t="n"/>
      <c r="AV1099" s="65" t="n"/>
      <c r="AW1099" s="65" t="n"/>
      <c r="AX1099" s="65" t="n"/>
      <c r="AY1099" s="65" t="n"/>
      <c r="AZ1099" s="65" t="n"/>
      <c r="BA1099" s="65" t="n"/>
      <c r="BB1099" s="65" t="n"/>
      <c r="BC1099" s="65" t="n"/>
      <c r="BD1099" s="65" t="n"/>
      <c r="BE1099" s="65" t="n"/>
      <c r="BF1099" s="65" t="n"/>
      <c r="BG1099" s="65" t="n"/>
    </row>
    <row r="1100">
      <c r="F1100" s="68" t="n"/>
      <c r="G1100" s="68">
        <f>IF(B1100="","",F1100-I1100 )</f>
        <v/>
      </c>
      <c r="H1100" s="5">
        <f>IF(G1100="","",G1100/F1100)</f>
        <v/>
      </c>
      <c r="I1100" s="62">
        <f>SUM(テーブル9[[#This Row],[五大]:[工場材]])</f>
        <v/>
      </c>
      <c r="J1100" s="65" t="n"/>
      <c r="K1100" s="65" t="n"/>
      <c r="L1100" s="65" t="n"/>
      <c r="M1100" s="65" t="n"/>
      <c r="N1100" s="65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6" t="n"/>
      <c r="Y1100" s="65" t="n"/>
      <c r="Z1100" s="65" t="n"/>
      <c r="AA1100" s="65" t="n"/>
      <c r="AB1100" s="65" t="n"/>
      <c r="AC1100" s="65" t="n"/>
      <c r="AD1100" s="65" t="n"/>
      <c r="AE1100" s="65" t="n"/>
      <c r="AF1100" s="65" t="n"/>
      <c r="AG1100" s="65" t="n"/>
      <c r="AH1100" s="65" t="n"/>
      <c r="AI1100" s="65" t="n"/>
      <c r="AJ1100" s="65" t="n"/>
      <c r="AK1100" s="65" t="n"/>
      <c r="AL1100" s="65" t="n"/>
      <c r="AM1100" s="65" t="n"/>
      <c r="AN1100" s="65" t="n"/>
      <c r="AO1100" s="65" t="n"/>
      <c r="AP1100" s="65" t="n"/>
      <c r="AQ1100" s="65" t="n"/>
      <c r="AR1100" s="65" t="n"/>
      <c r="AS1100" s="65" t="n"/>
      <c r="AT1100" s="65" t="n"/>
      <c r="AU1100" s="65" t="n"/>
      <c r="AV1100" s="65" t="n"/>
      <c r="AW1100" s="65" t="n"/>
      <c r="AX1100" s="65" t="n"/>
      <c r="AY1100" s="65" t="n"/>
      <c r="AZ1100" s="65" t="n"/>
      <c r="BA1100" s="65" t="n"/>
      <c r="BB1100" s="65" t="n"/>
      <c r="BC1100" s="65" t="n"/>
      <c r="BD1100" s="65" t="n"/>
      <c r="BE1100" s="65" t="n"/>
      <c r="BF1100" s="65" t="n"/>
      <c r="BG1100" s="65" t="n"/>
    </row>
    <row r="1101">
      <c r="F1101" s="68" t="n"/>
      <c r="G1101" s="68">
        <f>IF(B1101="","",F1101-I1101 )</f>
        <v/>
      </c>
      <c r="H1101" s="5">
        <f>IF(G1101="","",G1101/F1101)</f>
        <v/>
      </c>
      <c r="I1101" s="62">
        <f>SUM(テーブル9[[#This Row],[五大]:[工場材]])</f>
        <v/>
      </c>
      <c r="J1101" s="65" t="n"/>
      <c r="K1101" s="65" t="n"/>
      <c r="L1101" s="65" t="n"/>
      <c r="M1101" s="65" t="n"/>
      <c r="N1101" s="65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6" t="n"/>
      <c r="Y1101" s="65" t="n"/>
      <c r="Z1101" s="65" t="n"/>
      <c r="AA1101" s="65" t="n"/>
      <c r="AB1101" s="65" t="n"/>
      <c r="AC1101" s="65" t="n"/>
      <c r="AD1101" s="65" t="n"/>
      <c r="AE1101" s="65" t="n"/>
      <c r="AF1101" s="65" t="n"/>
      <c r="AG1101" s="65" t="n"/>
      <c r="AH1101" s="65" t="n"/>
      <c r="AI1101" s="65" t="n"/>
      <c r="AJ1101" s="65" t="n"/>
      <c r="AK1101" s="65" t="n"/>
      <c r="AL1101" s="65" t="n"/>
      <c r="AM1101" s="65" t="n"/>
      <c r="AN1101" s="65" t="n"/>
      <c r="AO1101" s="65" t="n"/>
      <c r="AP1101" s="65" t="n"/>
      <c r="AQ1101" s="65" t="n"/>
      <c r="AR1101" s="65" t="n"/>
      <c r="AS1101" s="65" t="n"/>
      <c r="AT1101" s="65" t="n"/>
      <c r="AU1101" s="65" t="n"/>
      <c r="AV1101" s="65" t="n"/>
      <c r="AW1101" s="65" t="n"/>
      <c r="AX1101" s="65" t="n"/>
      <c r="AY1101" s="65" t="n"/>
      <c r="AZ1101" s="65" t="n"/>
      <c r="BA1101" s="65" t="n"/>
      <c r="BB1101" s="65" t="n"/>
      <c r="BC1101" s="65" t="n"/>
      <c r="BD1101" s="65" t="n"/>
      <c r="BE1101" s="65" t="n"/>
      <c r="BF1101" s="65" t="n"/>
      <c r="BG1101" s="65" t="n"/>
    </row>
    <row r="1102">
      <c r="F1102" s="68" t="n"/>
      <c r="G1102" s="68">
        <f>IF(B1102="","",F1102-I1102 )</f>
        <v/>
      </c>
      <c r="H1102" s="5">
        <f>IF(G1102="","",G1102/F1102)</f>
        <v/>
      </c>
      <c r="I1102" s="62">
        <f>SUM(テーブル9[[#This Row],[五大]:[工場材]])</f>
        <v/>
      </c>
      <c r="J1102" s="65" t="n"/>
      <c r="K1102" s="65" t="n"/>
      <c r="L1102" s="65" t="n"/>
      <c r="M1102" s="65" t="n"/>
      <c r="N1102" s="65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6" t="n"/>
      <c r="Y1102" s="65" t="n"/>
      <c r="Z1102" s="65" t="n"/>
      <c r="AA1102" s="65" t="n"/>
      <c r="AB1102" s="65" t="n"/>
      <c r="AC1102" s="65" t="n"/>
      <c r="AD1102" s="65" t="n"/>
      <c r="AE1102" s="65" t="n"/>
      <c r="AF1102" s="65" t="n"/>
      <c r="AG1102" s="65" t="n"/>
      <c r="AH1102" s="65" t="n"/>
      <c r="AI1102" s="65" t="n"/>
      <c r="AJ1102" s="65" t="n"/>
      <c r="AK1102" s="65" t="n"/>
      <c r="AL1102" s="65" t="n"/>
      <c r="AM1102" s="65" t="n"/>
      <c r="AN1102" s="65" t="n"/>
      <c r="AO1102" s="65" t="n"/>
      <c r="AP1102" s="65" t="n"/>
      <c r="AQ1102" s="65" t="n"/>
      <c r="AR1102" s="65" t="n"/>
      <c r="AS1102" s="65" t="n"/>
      <c r="AT1102" s="65" t="n"/>
      <c r="AU1102" s="65" t="n"/>
      <c r="AV1102" s="65" t="n"/>
      <c r="AW1102" s="65" t="n"/>
      <c r="AX1102" s="65" t="n"/>
      <c r="AY1102" s="65" t="n"/>
      <c r="AZ1102" s="65" t="n"/>
      <c r="BA1102" s="65" t="n"/>
      <c r="BB1102" s="65" t="n"/>
      <c r="BC1102" s="65" t="n"/>
      <c r="BD1102" s="65" t="n"/>
      <c r="BE1102" s="65" t="n"/>
      <c r="BF1102" s="65" t="n"/>
      <c r="BG1102" s="65" t="n"/>
    </row>
    <row r="1103">
      <c r="F1103" s="68" t="n"/>
      <c r="G1103" s="68">
        <f>IF(B1103="","",F1103-I1103 )</f>
        <v/>
      </c>
      <c r="H1103" s="5">
        <f>IF(G1103="","",G1103/F1103)</f>
        <v/>
      </c>
      <c r="I1103" s="62">
        <f>SUM(テーブル9[[#This Row],[五大]:[工場材]])</f>
        <v/>
      </c>
      <c r="J1103" s="65" t="n"/>
      <c r="K1103" s="65" t="n"/>
      <c r="L1103" s="65" t="n"/>
      <c r="M1103" s="65" t="n"/>
      <c r="N1103" s="65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6" t="n"/>
      <c r="Y1103" s="65" t="n"/>
      <c r="Z1103" s="65" t="n"/>
      <c r="AA1103" s="65" t="n"/>
      <c r="AB1103" s="65" t="n"/>
      <c r="AC1103" s="65" t="n"/>
      <c r="AD1103" s="65" t="n"/>
      <c r="AE1103" s="65" t="n"/>
      <c r="AF1103" s="65" t="n"/>
      <c r="AG1103" s="65" t="n"/>
      <c r="AH1103" s="65" t="n"/>
      <c r="AI1103" s="65" t="n"/>
      <c r="AJ1103" s="65" t="n"/>
      <c r="AK1103" s="65" t="n"/>
      <c r="AL1103" s="65" t="n"/>
      <c r="AM1103" s="65" t="n"/>
      <c r="AN1103" s="65" t="n"/>
      <c r="AO1103" s="65" t="n"/>
      <c r="AP1103" s="65" t="n"/>
      <c r="AQ1103" s="65" t="n"/>
      <c r="AR1103" s="65" t="n"/>
      <c r="AS1103" s="65" t="n"/>
      <c r="AT1103" s="65" t="n"/>
      <c r="AU1103" s="65" t="n"/>
      <c r="AV1103" s="65" t="n"/>
      <c r="AW1103" s="65" t="n"/>
      <c r="AX1103" s="65" t="n"/>
      <c r="AY1103" s="65" t="n"/>
      <c r="AZ1103" s="65" t="n"/>
      <c r="BA1103" s="65" t="n"/>
      <c r="BB1103" s="65" t="n"/>
      <c r="BC1103" s="65" t="n"/>
      <c r="BD1103" s="65" t="n"/>
      <c r="BE1103" s="65" t="n"/>
      <c r="BF1103" s="65" t="n"/>
      <c r="BG1103" s="65" t="n"/>
    </row>
    <row r="1104">
      <c r="F1104" s="68" t="n"/>
      <c r="G1104" s="68">
        <f>IF(B1104="","",F1104-I1104 )</f>
        <v/>
      </c>
      <c r="H1104" s="5">
        <f>IF(G1104="","",G1104/F1104)</f>
        <v/>
      </c>
      <c r="I1104" s="62">
        <f>SUM(テーブル9[[#This Row],[五大]:[工場材]])</f>
        <v/>
      </c>
      <c r="J1104" s="65" t="n"/>
      <c r="K1104" s="65" t="n"/>
      <c r="L1104" s="65" t="n"/>
      <c r="M1104" s="65" t="n"/>
      <c r="N1104" s="65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6" t="n"/>
      <c r="Y1104" s="65" t="n"/>
      <c r="Z1104" s="65" t="n"/>
      <c r="AA1104" s="65" t="n"/>
      <c r="AB1104" s="65" t="n"/>
      <c r="AC1104" s="65" t="n"/>
      <c r="AD1104" s="65" t="n"/>
      <c r="AE1104" s="65" t="n"/>
      <c r="AF1104" s="65" t="n"/>
      <c r="AG1104" s="65" t="n"/>
      <c r="AH1104" s="65" t="n"/>
      <c r="AI1104" s="65" t="n"/>
      <c r="AJ1104" s="65" t="n"/>
      <c r="AK1104" s="65" t="n"/>
      <c r="AL1104" s="65" t="n"/>
      <c r="AM1104" s="65" t="n"/>
      <c r="AN1104" s="65" t="n"/>
      <c r="AO1104" s="65" t="n"/>
      <c r="AP1104" s="65" t="n"/>
      <c r="AQ1104" s="65" t="n"/>
      <c r="AR1104" s="65" t="n"/>
      <c r="AS1104" s="65" t="n"/>
      <c r="AT1104" s="65" t="n"/>
      <c r="AU1104" s="65" t="n"/>
      <c r="AV1104" s="65" t="n"/>
      <c r="AW1104" s="65" t="n"/>
      <c r="AX1104" s="65" t="n"/>
      <c r="AY1104" s="65" t="n"/>
      <c r="AZ1104" s="65" t="n"/>
      <c r="BA1104" s="65" t="n"/>
      <c r="BB1104" s="65" t="n"/>
      <c r="BC1104" s="65" t="n"/>
      <c r="BD1104" s="65" t="n"/>
      <c r="BE1104" s="65" t="n"/>
      <c r="BF1104" s="65" t="n"/>
      <c r="BG1104" s="65" t="n"/>
    </row>
    <row r="1105">
      <c r="F1105" s="68" t="n"/>
      <c r="G1105" s="68" t="n"/>
      <c r="H1105" s="5" t="n"/>
      <c r="J1105" s="65" t="n"/>
      <c r="K1105" s="65" t="n"/>
      <c r="L1105" s="65" t="n"/>
      <c r="M1105" s="65" t="n"/>
      <c r="N1105" s="65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6" t="n"/>
      <c r="Y1105" s="65" t="n"/>
      <c r="Z1105" s="69" t="n"/>
      <c r="AA1105" s="65" t="n"/>
      <c r="AB1105" s="65" t="n"/>
      <c r="AC1105" s="65" t="n"/>
      <c r="AD1105" s="65" t="n"/>
      <c r="AE1105" s="65" t="n"/>
      <c r="AF1105" s="65" t="n"/>
      <c r="AG1105" s="65" t="n"/>
      <c r="AH1105" s="65" t="n"/>
      <c r="AI1105" s="65" t="n"/>
      <c r="AJ1105" s="65" t="n"/>
      <c r="AK1105" s="65" t="n"/>
      <c r="AL1105" s="65" t="n"/>
      <c r="AM1105" s="65" t="n"/>
      <c r="AN1105" s="65" t="n"/>
      <c r="AO1105" s="65" t="n"/>
      <c r="AP1105" s="65" t="n"/>
      <c r="AQ1105" s="65" t="n"/>
      <c r="AR1105" s="65" t="n"/>
      <c r="AS1105" s="65" t="n"/>
      <c r="AT1105" s="65" t="n"/>
      <c r="AU1105" s="65" t="n"/>
      <c r="AV1105" s="65" t="n"/>
      <c r="AW1105" s="65" t="n"/>
      <c r="AX1105" s="65" t="n"/>
      <c r="AY1105" s="65" t="n"/>
      <c r="AZ1105" s="65" t="n"/>
      <c r="BA1105" s="65" t="n"/>
      <c r="BB1105" s="65" t="n"/>
      <c r="BC1105" s="65" t="n"/>
      <c r="BD1105" s="65" t="n"/>
      <c r="BE1105" s="65" t="n"/>
      <c r="BF1105" s="65" t="n"/>
      <c r="BG1105" s="65" t="n"/>
    </row>
    <row r="1107">
      <c r="F1107" s="36">
        <f>SUM(F556:F667)</f>
        <v/>
      </c>
      <c r="G1107" s="36">
        <f>SUM(G556:G667)</f>
        <v/>
      </c>
    </row>
  </sheetData>
  <conditionalFormatting sqref="G1:G23 G25:G32 G34:G39 G41:G45 G47:G49 G53:G54 G60:G65 G67:G68 G73:G75 G82 G84 G86 G88:G90 G101:G110 G112:G113 G116 G119:G122 G124 G126:G128 G132:G133 G135:G137 G139:G140 G142:G143 G145:G154 G157:G166 G168 G173:G174 G176 G178 G180:G181 G183:G184 G186:G190 G194:G198 G200:G203 G205:G209 G212:G214 G217:G223 G225:G232 G236:G240 G247:G251 G253:G258 G260:G269 G271:G279 G281:G287 G289:G291 G293:G296 G298:G300 G302:G304 G307 G309:G315 G317:G321 G323:G1048576">
    <cfRule type="cellIs" priority="53" operator="lessThan" dxfId="101">
      <formula>0</formula>
    </cfRule>
  </conditionalFormatting>
  <conditionalFormatting sqref="G24">
    <cfRule type="cellIs" priority="52" operator="lessThan" dxfId="101">
      <formula>0</formula>
    </cfRule>
  </conditionalFormatting>
  <conditionalFormatting sqref="G52">
    <cfRule type="cellIs" priority="50" operator="lessThan" dxfId="101">
      <formula>0</formula>
    </cfRule>
  </conditionalFormatting>
  <conditionalFormatting sqref="G55:G57">
    <cfRule type="cellIs" priority="49" operator="lessThan" dxfId="101">
      <formula>0</formula>
    </cfRule>
  </conditionalFormatting>
  <conditionalFormatting sqref="G50:G51">
    <cfRule type="cellIs" priority="48" operator="lessThan" dxfId="101">
      <formula>0</formula>
    </cfRule>
  </conditionalFormatting>
  <conditionalFormatting sqref="G69:G71">
    <cfRule type="cellIs" priority="46" operator="lessThan" dxfId="101">
      <formula>0</formula>
    </cfRule>
  </conditionalFormatting>
  <conditionalFormatting sqref="G85">
    <cfRule type="cellIs" priority="41" operator="lessThan" dxfId="101">
      <formula>0</formula>
    </cfRule>
  </conditionalFormatting>
  <conditionalFormatting sqref="G87">
    <cfRule type="cellIs" priority="39" operator="lessThan" dxfId="101">
      <formula>0</formula>
    </cfRule>
  </conditionalFormatting>
  <conditionalFormatting sqref="G77:G80">
    <cfRule type="cellIs" priority="36" operator="lessThan" dxfId="101">
      <formula>0</formula>
    </cfRule>
  </conditionalFormatting>
  <conditionalFormatting sqref="G81">
    <cfRule type="cellIs" priority="35" operator="lessThan" dxfId="101">
      <formula>0</formula>
    </cfRule>
  </conditionalFormatting>
  <conditionalFormatting sqref="G76">
    <cfRule type="cellIs" priority="34" operator="lessThan" dxfId="101">
      <formula>0</formula>
    </cfRule>
  </conditionalFormatting>
  <conditionalFormatting sqref="G92:G96 G98:G99">
    <cfRule type="cellIs" priority="33" operator="lessThan" dxfId="101">
      <formula>0</formula>
    </cfRule>
  </conditionalFormatting>
  <conditionalFormatting sqref="G91">
    <cfRule type="cellIs" priority="32" operator="lessThan" dxfId="101">
      <formula>0</formula>
    </cfRule>
  </conditionalFormatting>
  <conditionalFormatting sqref="G100">
    <cfRule type="cellIs" priority="31" operator="lessThan" dxfId="101">
      <formula>0</formula>
    </cfRule>
  </conditionalFormatting>
  <conditionalFormatting sqref="G114">
    <cfRule type="cellIs" priority="30" operator="lessThan" dxfId="101">
      <formula>0</formula>
    </cfRule>
  </conditionalFormatting>
  <conditionalFormatting sqref="G115">
    <cfRule type="cellIs" priority="29" operator="lessThan" dxfId="101">
      <formula>0</formula>
    </cfRule>
  </conditionalFormatting>
  <conditionalFormatting sqref="G117">
    <cfRule type="cellIs" priority="28" operator="lessThan" dxfId="101">
      <formula>0</formula>
    </cfRule>
  </conditionalFormatting>
  <conditionalFormatting sqref="G123">
    <cfRule type="cellIs" priority="27" operator="lessThan" dxfId="101">
      <formula>0</formula>
    </cfRule>
  </conditionalFormatting>
  <conditionalFormatting sqref="G129:G130">
    <cfRule type="cellIs" priority="26" operator="lessThan" dxfId="101">
      <formula>0</formula>
    </cfRule>
  </conditionalFormatting>
  <conditionalFormatting sqref="G134">
    <cfRule type="cellIs" priority="25" operator="lessThan" dxfId="101">
      <formula>0</formula>
    </cfRule>
  </conditionalFormatting>
  <conditionalFormatting sqref="G141">
    <cfRule type="cellIs" priority="24" operator="lessThan" dxfId="101">
      <formula>0</formula>
    </cfRule>
  </conditionalFormatting>
  <conditionalFormatting sqref="G155">
    <cfRule type="cellIs" priority="23" operator="lessThan" dxfId="101">
      <formula>0</formula>
    </cfRule>
  </conditionalFormatting>
  <conditionalFormatting sqref="G169:G171">
    <cfRule type="cellIs" priority="21" operator="lessThan" dxfId="101">
      <formula>0</formula>
    </cfRule>
  </conditionalFormatting>
  <conditionalFormatting sqref="G175">
    <cfRule type="cellIs" priority="20" operator="lessThan" dxfId="101">
      <formula>0</formula>
    </cfRule>
  </conditionalFormatting>
  <conditionalFormatting sqref="G177">
    <cfRule type="cellIs" priority="19" operator="lessThan" dxfId="101">
      <formula>0</formula>
    </cfRule>
  </conditionalFormatting>
  <conditionalFormatting sqref="G182">
    <cfRule type="cellIs" priority="18" operator="lessThan" dxfId="101">
      <formula>0</formula>
    </cfRule>
  </conditionalFormatting>
  <conditionalFormatting sqref="G191">
    <cfRule type="cellIs" priority="17" operator="lessThan" dxfId="101">
      <formula>0</formula>
    </cfRule>
  </conditionalFormatting>
  <conditionalFormatting sqref="G199">
    <cfRule type="cellIs" priority="16" operator="lessThan" dxfId="101">
      <formula>0</formula>
    </cfRule>
  </conditionalFormatting>
  <conditionalFormatting sqref="G192">
    <cfRule type="cellIs" priority="15" operator="lessThan" dxfId="101">
      <formula>0</formula>
    </cfRule>
  </conditionalFormatting>
  <conditionalFormatting sqref="G210:G211">
    <cfRule type="cellIs" priority="14" operator="lessThan" dxfId="101">
      <formula>0</formula>
    </cfRule>
  </conditionalFormatting>
  <conditionalFormatting sqref="G234:G235">
    <cfRule type="cellIs" priority="13" operator="lessThan" dxfId="101">
      <formula>0</formula>
    </cfRule>
  </conditionalFormatting>
  <conditionalFormatting sqref="G244">
    <cfRule type="cellIs" priority="11" operator="lessThan" dxfId="101">
      <formula>0</formula>
    </cfRule>
  </conditionalFormatting>
  <conditionalFormatting sqref="G243">
    <cfRule type="cellIs" priority="10" operator="lessThan" dxfId="101">
      <formula>0</formula>
    </cfRule>
  </conditionalFormatting>
  <conditionalFormatting sqref="G242">
    <cfRule type="cellIs" priority="9" operator="lessThan" dxfId="101">
      <formula>0</formula>
    </cfRule>
  </conditionalFormatting>
  <conditionalFormatting sqref="G241">
    <cfRule type="cellIs" priority="8" operator="lessThan" dxfId="101">
      <formula>0</formula>
    </cfRule>
  </conditionalFormatting>
  <conditionalFormatting sqref="G245">
    <cfRule type="cellIs" priority="7" operator="lessThan" dxfId="101">
      <formula>0</formula>
    </cfRule>
  </conditionalFormatting>
  <conditionalFormatting sqref="G246">
    <cfRule type="cellIs" priority="6" operator="lessThan" dxfId="101">
      <formula>0</formula>
    </cfRule>
  </conditionalFormatting>
  <conditionalFormatting sqref="G305">
    <cfRule type="cellIs" priority="3" operator="lessThan" dxfId="101">
      <formula>0</formula>
    </cfRule>
  </conditionalFormatting>
  <conditionalFormatting sqref="G306">
    <cfRule type="cellIs" priority="2" operator="lessThan" dxfId="101">
      <formula>0</formula>
    </cfRule>
  </conditionalFormatting>
  <conditionalFormatting sqref="F4:F1107">
    <cfRule type="expression" priority="54" dxfId="176">
      <formula>AND($B4&lt;&gt;"",$F4="")</formula>
    </cfRule>
  </conditionalFormatting>
  <hyperlinks>
    <hyperlink xmlns:r="http://schemas.openxmlformats.org/officeDocument/2006/relationships" ref="D398" r:id="rId1"/>
    <hyperlink xmlns:r="http://schemas.openxmlformats.org/officeDocument/2006/relationships" ref="D408" r:id="rId2"/>
  </hyperlinks>
  <pageMargins left="0.7" right="0.7" top="0.75" bottom="0.75" header="0.3" footer="0.3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:AQ955"/>
  <sheetViews>
    <sheetView zoomScaleNormal="100" workbookViewId="0">
      <pane xSplit="9" ySplit="3" topLeftCell="J4" activePane="bottomRight" state="frozen"/>
      <selection pane="topRight" activeCell="I1" sqref="I1"/>
      <selection pane="bottomLeft" activeCell="A4" sqref="A4"/>
      <selection pane="bottomRight" activeCell="N138" sqref="N138"/>
    </sheetView>
  </sheetViews>
  <sheetFormatPr baseColWidth="8" defaultRowHeight="13.5"/>
  <cols>
    <col width="7.125" customWidth="1" style="49" min="1" max="1"/>
    <col width="24.25" customWidth="1" style="1" min="2" max="2"/>
    <col width="9.5" customWidth="1" style="2" min="3" max="3"/>
    <col width="30.75" customWidth="1" style="1" min="4" max="4"/>
    <col width="12" customWidth="1" style="2" min="5" max="5"/>
    <col width="14.625" customWidth="1" style="62" min="6" max="6"/>
    <col width="11.5" customWidth="1" style="62" min="7" max="7"/>
    <col width="9" customWidth="1" style="4" min="8" max="8"/>
    <col width="13" customWidth="1" style="62" min="9" max="9"/>
    <col width="9.875" customWidth="1" style="49" min="10" max="14"/>
    <col hidden="1" width="9.875" customWidth="1" style="49" min="15" max="15"/>
    <col width="9.875" customWidth="1" style="49" min="16" max="17"/>
    <col hidden="1" width="9.875" customWidth="1" style="49" min="18" max="18"/>
    <col width="9.875" customWidth="1" style="49" min="19" max="21"/>
    <col width="9.875" customWidth="1" style="28" min="22" max="22"/>
    <col width="9.875" customWidth="1" style="49" min="23" max="23"/>
    <col hidden="1" width="9.875" customWidth="1" style="49" min="24" max="24"/>
    <col width="9.875" customWidth="1" style="49" min="25" max="43"/>
  </cols>
  <sheetData>
    <row r="2">
      <c r="M2" s="0" t="inlineStr">
        <is>
          <t>塗装・リフォーム工事支払い一覧</t>
        </is>
      </c>
    </row>
    <row r="3" customFormat="1" s="2">
      <c r="A3" s="2" t="inlineStr">
        <is>
          <t>支払月</t>
        </is>
      </c>
      <c r="B3" s="20" t="inlineStr">
        <is>
          <t>現場名</t>
        </is>
      </c>
      <c r="C3" s="9" t="inlineStr">
        <is>
          <t>元請け</t>
        </is>
      </c>
      <c r="D3" s="23" t="inlineStr">
        <is>
          <t>施工内容</t>
        </is>
      </c>
      <c r="E3" s="9" t="inlineStr">
        <is>
          <t>施工日</t>
        </is>
      </c>
      <c r="F3" s="63" t="inlineStr">
        <is>
          <t>受注金額 税抜</t>
        </is>
      </c>
      <c r="G3" s="63" t="inlineStr">
        <is>
          <t>利益</t>
        </is>
      </c>
      <c r="H3" s="5" t="inlineStr">
        <is>
          <t>利率</t>
        </is>
      </c>
      <c r="I3" s="63" t="inlineStr">
        <is>
          <t>支払計 税抜2</t>
        </is>
      </c>
      <c r="J3" s="1" t="inlineStr">
        <is>
          <t>五大</t>
        </is>
      </c>
      <c r="K3" s="1" t="inlineStr">
        <is>
          <t>アシバックス</t>
        </is>
      </c>
      <c r="L3" s="1" t="inlineStr">
        <is>
          <t>スタック</t>
        </is>
      </c>
      <c r="M3" s="1" t="inlineStr">
        <is>
          <t>美作</t>
        </is>
      </c>
      <c r="N3" s="1" t="inlineStr">
        <is>
          <t>大宮</t>
        </is>
      </c>
      <c r="O3" s="1" t="inlineStr">
        <is>
          <t>鎌田</t>
        </is>
      </c>
      <c r="P3" s="1" t="inlineStr">
        <is>
          <t>KSシール</t>
        </is>
      </c>
      <c r="Q3" s="1" t="inlineStr">
        <is>
          <t>光輝美装</t>
        </is>
      </c>
      <c r="R3" s="1" t="inlineStr">
        <is>
          <t>クリーンアップ</t>
        </is>
      </c>
      <c r="S3" s="1" t="inlineStr">
        <is>
          <t>ケミカル</t>
        </is>
      </c>
      <c r="T3" s="1" t="inlineStr">
        <is>
          <t>ビルクラ</t>
        </is>
      </c>
      <c r="U3" s="1" t="inlineStr">
        <is>
          <t>伊藤建装</t>
        </is>
      </c>
      <c r="V3" s="29" t="inlineStr">
        <is>
          <t>部材購入費</t>
        </is>
      </c>
      <c r="W3" s="1" t="inlineStr">
        <is>
          <t>前野木工</t>
        </is>
      </c>
      <c r="X3" s="1" t="inlineStr">
        <is>
          <t>加藤テクニカ</t>
        </is>
      </c>
      <c r="Y3" s="1" t="inlineStr">
        <is>
          <t>はやでん</t>
        </is>
      </c>
      <c r="Z3" s="1" t="inlineStr">
        <is>
          <t>霞興業</t>
        </is>
      </c>
      <c r="AA3" s="1" t="inlineStr">
        <is>
          <t>ヒラヤマ設備</t>
        </is>
      </c>
      <c r="AB3" s="1" t="inlineStr">
        <is>
          <t>千葉住建</t>
        </is>
      </c>
      <c r="AC3" s="1" t="inlineStr">
        <is>
          <t>杜風</t>
        </is>
      </c>
      <c r="AD3" s="1" t="inlineStr">
        <is>
          <t>BLUE</t>
        </is>
      </c>
      <c r="AE3" s="1" t="inlineStr">
        <is>
          <t>HC塩釜</t>
        </is>
      </c>
      <c r="AF3" s="1" t="inlineStr">
        <is>
          <t>戸引製畳</t>
        </is>
      </c>
      <c r="AG3" s="1" t="inlineStr">
        <is>
          <t>ｸﾘｰﾝｱｯﾌﾟ</t>
        </is>
      </c>
      <c r="AH3" s="1" t="inlineStr">
        <is>
          <t>創イングK</t>
        </is>
      </c>
      <c r="AI3" s="1" t="inlineStr">
        <is>
          <t>ニュークリーン</t>
        </is>
      </c>
      <c r="AJ3" s="1" t="inlineStr">
        <is>
          <t>アドバンス</t>
        </is>
      </c>
      <c r="AK3" s="1" t="inlineStr">
        <is>
          <t>小泉</t>
        </is>
      </c>
      <c r="AL3" s="1" t="inlineStr">
        <is>
          <t>サステム</t>
        </is>
      </c>
      <c r="AM3" s="1" t="inlineStr">
        <is>
          <t>ゲットクリ-ンコート</t>
        </is>
      </c>
      <c r="AN3" s="1" t="inlineStr">
        <is>
          <t>ゴミ　他</t>
        </is>
      </c>
      <c r="AO3" s="1" t="inlineStr">
        <is>
          <t>リビングガーデン</t>
        </is>
      </c>
      <c r="AP3" s="1" t="inlineStr">
        <is>
          <t>工場材</t>
        </is>
      </c>
      <c r="AQ3" s="1" t="inlineStr">
        <is>
          <t>備考</t>
        </is>
      </c>
    </row>
    <row r="4">
      <c r="A4" s="0" t="inlineStr">
        <is>
          <t>R2.6</t>
        </is>
      </c>
      <c r="B4" s="1" t="inlineStr">
        <is>
          <t>アヴニール山鳥A</t>
        </is>
      </c>
      <c r="D4" s="1" t="inlineStr">
        <is>
          <t>塗装</t>
        </is>
      </c>
      <c r="E4" s="2" t="inlineStr">
        <is>
          <t>5月</t>
        </is>
      </c>
      <c r="F4" s="68" t="n">
        <v>1913500</v>
      </c>
      <c r="G4" s="68">
        <f>IF(B4="","",F4-I4 )</f>
        <v/>
      </c>
      <c r="H4" s="5">
        <f>IF(G4="","",G4/F4)</f>
        <v/>
      </c>
      <c r="I4" s="62">
        <f>SUM(テーブル92[[#This Row],[五大]:[工場材]])</f>
        <v/>
      </c>
      <c r="J4" s="65" t="n"/>
      <c r="K4" s="65" t="n"/>
      <c r="L4" s="64" t="n">
        <v>280000</v>
      </c>
      <c r="M4" s="64" t="n">
        <v>800000</v>
      </c>
      <c r="N4" s="65" t="n"/>
      <c r="O4" s="65" t="n"/>
      <c r="P4" s="64" t="n">
        <v>64400</v>
      </c>
      <c r="Q4" s="64" t="n">
        <v>35000</v>
      </c>
      <c r="R4" s="65" t="n"/>
      <c r="S4" s="64">
        <f>45900+42000+46200+8200+14700</f>
        <v/>
      </c>
      <c r="T4" s="64" t="n"/>
      <c r="U4" s="65" t="n"/>
      <c r="V4" s="77" t="n"/>
      <c r="W4" s="65" t="n"/>
      <c r="X4" s="65" t="n"/>
      <c r="Y4" s="64" t="n">
        <v>16000</v>
      </c>
      <c r="Z4" s="65" t="n"/>
      <c r="AA4" s="65" t="n"/>
      <c r="AB4" s="65" t="n"/>
      <c r="AC4" s="65" t="n"/>
      <c r="AD4" s="65" t="n"/>
      <c r="AE4" s="65" t="n"/>
      <c r="AF4" s="65" t="n"/>
      <c r="AG4" s="65" t="n"/>
      <c r="AH4" s="65" t="n"/>
      <c r="AI4" s="64" t="n">
        <v>15000</v>
      </c>
      <c r="AJ4" s="65" t="n"/>
      <c r="AK4" s="65" t="n"/>
      <c r="AL4" s="65" t="n"/>
      <c r="AM4" s="65" t="n"/>
      <c r="AN4" s="65" t="n"/>
      <c r="AO4" s="65" t="n"/>
      <c r="AP4" s="64">
        <f>19260*2</f>
        <v/>
      </c>
    </row>
    <row r="5">
      <c r="B5" s="1" t="inlineStr">
        <is>
          <t>ウイルクレールⅢ</t>
        </is>
      </c>
      <c r="D5" s="1" t="inlineStr">
        <is>
          <t>塗装+フェンス塗装</t>
        </is>
      </c>
      <c r="E5" s="2" t="inlineStr">
        <is>
          <t>5月</t>
        </is>
      </c>
      <c r="F5" s="68">
        <f>58000+1770000</f>
        <v/>
      </c>
      <c r="G5" s="68">
        <f>IF(B5="","",F5-I5 )</f>
        <v/>
      </c>
      <c r="H5" s="5">
        <f>IF(G5="","",G5/F5)</f>
        <v/>
      </c>
      <c r="I5" s="62">
        <f>SUM(テーブル92[[#This Row],[五大]:[工場材]])</f>
        <v/>
      </c>
      <c r="J5" s="65" t="n"/>
      <c r="K5" s="64" t="n">
        <v>247000</v>
      </c>
      <c r="L5" s="65" t="n"/>
      <c r="M5" s="65" t="n"/>
      <c r="N5" s="64" t="n">
        <v>800000</v>
      </c>
      <c r="O5" s="65" t="n"/>
      <c r="P5" s="64">
        <f>51*700</f>
        <v/>
      </c>
      <c r="Q5" s="64" t="n"/>
      <c r="R5" s="65" t="n"/>
      <c r="S5" s="64">
        <f>72000+42000</f>
        <v/>
      </c>
      <c r="T5" s="64" t="n"/>
      <c r="U5" s="65" t="n"/>
      <c r="V5" s="77" t="n"/>
      <c r="W5" s="65" t="n"/>
      <c r="X5" s="65" t="n"/>
      <c r="Y5" s="65" t="n"/>
      <c r="Z5" s="65" t="n"/>
      <c r="AA5" s="65" t="n"/>
      <c r="AB5" s="65" t="n"/>
      <c r="AC5" s="65" t="n"/>
      <c r="AD5" s="65" t="n"/>
      <c r="AE5" s="65" t="n"/>
      <c r="AF5" s="65" t="n"/>
      <c r="AG5" s="65" t="n"/>
      <c r="AH5" s="65" t="n"/>
      <c r="AI5" s="64" t="n">
        <v>15000</v>
      </c>
      <c r="AJ5" s="65" t="n"/>
      <c r="AK5" s="65" t="n"/>
      <c r="AL5" s="65" t="n"/>
      <c r="AM5" s="65" t="n"/>
      <c r="AN5" s="65" t="n"/>
      <c r="AO5" s="65" t="n"/>
      <c r="AP5" s="65" t="n"/>
    </row>
    <row r="6">
      <c r="B6" s="1" t="inlineStr">
        <is>
          <t>寺岡 及川邸</t>
        </is>
      </c>
      <c r="D6" s="1" t="inlineStr">
        <is>
          <t>外壁交換</t>
        </is>
      </c>
      <c r="E6" s="2" t="inlineStr">
        <is>
          <t>5月</t>
        </is>
      </c>
      <c r="F6" s="68" t="n">
        <v>208000</v>
      </c>
      <c r="G6" s="68">
        <f>IF(B6="","",F6-I6 )</f>
        <v/>
      </c>
      <c r="H6" s="5">
        <f>IF(G6="","",G6/F6)</f>
        <v/>
      </c>
      <c r="I6" s="62">
        <f>SUM(テーブル92[[#This Row],[五大]:[工場材]])</f>
        <v/>
      </c>
      <c r="J6" s="64" t="n">
        <v>45000</v>
      </c>
      <c r="K6" s="65" t="n"/>
      <c r="L6" s="65" t="n"/>
      <c r="M6" s="64" t="n">
        <v>50000</v>
      </c>
      <c r="N6" s="64" t="n"/>
      <c r="O6" s="65" t="n"/>
      <c r="P6" s="64" t="n"/>
      <c r="Q6" s="64" t="n"/>
      <c r="R6" s="65" t="n"/>
      <c r="S6" s="64" t="n"/>
      <c r="T6" s="64" t="n"/>
      <c r="U6" s="65" t="n"/>
      <c r="V6" s="77" t="n"/>
      <c r="W6" s="65" t="n"/>
      <c r="X6" s="64" t="n">
        <v>50000</v>
      </c>
      <c r="Y6" s="64" t="n">
        <v>8000</v>
      </c>
      <c r="Z6" s="65" t="n"/>
      <c r="AA6" s="65" t="n"/>
      <c r="AB6" s="65" t="n"/>
      <c r="AC6" s="65" t="n"/>
      <c r="AD6" s="65" t="n"/>
      <c r="AE6" s="65" t="n"/>
      <c r="AF6" s="65" t="n"/>
      <c r="AG6" s="65" t="n"/>
      <c r="AH6" s="65" t="n"/>
      <c r="AI6" s="64" t="n"/>
      <c r="AJ6" s="65" t="n"/>
      <c r="AK6" s="65" t="n"/>
      <c r="AL6" s="65" t="n"/>
      <c r="AM6" s="65" t="n"/>
      <c r="AN6" s="65" t="n"/>
      <c r="AO6" s="65" t="n"/>
      <c r="AP6" s="65" t="n"/>
    </row>
    <row r="7" hidden="1" s="49">
      <c r="B7" s="1" t="inlineStr">
        <is>
          <t xml:space="preserve">河西邸　</t>
        </is>
      </c>
      <c r="D7" s="1" t="inlineStr">
        <is>
          <t>物置新設</t>
        </is>
      </c>
      <c r="E7" s="2" t="inlineStr">
        <is>
          <t>5月</t>
        </is>
      </c>
      <c r="F7" s="68" t="n">
        <v>1070000</v>
      </c>
      <c r="G7" s="68">
        <f>IF(B7="","",F7-I7 )</f>
        <v/>
      </c>
      <c r="H7" s="5">
        <f>IF(G7="","",G7/F7)</f>
        <v/>
      </c>
      <c r="I7" s="62">
        <f>SUM(テーブル92[[#This Row],[五大]:[工場材]])</f>
        <v/>
      </c>
      <c r="J7" s="65" t="n"/>
      <c r="K7" s="65" t="n"/>
      <c r="L7" s="65" t="n"/>
      <c r="M7" s="65" t="n"/>
      <c r="N7" s="64" t="n"/>
      <c r="O7" s="65" t="n"/>
      <c r="P7" s="65" t="n"/>
      <c r="Q7" s="64" t="n"/>
      <c r="R7" s="65" t="n"/>
      <c r="S7" s="64" t="n"/>
      <c r="T7" s="64" t="n"/>
      <c r="U7" s="64" t="n">
        <v>100000</v>
      </c>
      <c r="V7" s="77" t="n"/>
      <c r="W7" s="65" t="n"/>
      <c r="X7" s="65" t="n"/>
      <c r="Y7" s="64" t="n">
        <v>60000</v>
      </c>
      <c r="Z7" s="65" t="n"/>
      <c r="AA7" s="65" t="n"/>
      <c r="AB7" s="64">
        <f>557100+35000</f>
        <v/>
      </c>
      <c r="AC7" s="64" t="n"/>
      <c r="AD7" s="65" t="n"/>
      <c r="AE7" s="65" t="n"/>
      <c r="AF7" s="65" t="n"/>
      <c r="AG7" s="65" t="n"/>
      <c r="AH7" s="65" t="n"/>
      <c r="AI7" s="65" t="n"/>
      <c r="AJ7" s="65" t="n"/>
      <c r="AK7" s="65" t="n"/>
      <c r="AL7" s="65" t="n"/>
      <c r="AM7" s="65" t="n"/>
      <c r="AN7" s="65">
        <f>20000+25000</f>
        <v/>
      </c>
      <c r="AO7" s="65" t="n"/>
      <c r="AP7" s="65" t="n"/>
    </row>
    <row r="8" hidden="1" s="49">
      <c r="B8" s="1" t="inlineStr">
        <is>
          <t>上杉 大高邸</t>
        </is>
      </c>
      <c r="D8" s="1" t="inlineStr">
        <is>
          <t>トイレ・レンジフード交換</t>
        </is>
      </c>
      <c r="E8" s="2" t="inlineStr">
        <is>
          <t>5月</t>
        </is>
      </c>
      <c r="F8" s="68">
        <f>272727+120000</f>
        <v/>
      </c>
      <c r="G8" s="68">
        <f>IF(B8="","",F8-I8 )</f>
        <v/>
      </c>
      <c r="H8" s="5">
        <f>IF(G8="","",G8/F8)</f>
        <v/>
      </c>
      <c r="I8" s="62">
        <f>SUM(テーブル92[[#This Row],[五大]:[工場材]])</f>
        <v/>
      </c>
      <c r="J8" s="65" t="n"/>
      <c r="K8" s="65" t="n"/>
      <c r="L8" s="65" t="n"/>
      <c r="M8" s="65" t="n"/>
      <c r="N8" s="64" t="n"/>
      <c r="O8" s="65" t="n"/>
      <c r="P8" s="65" t="n"/>
      <c r="Q8" s="64" t="n"/>
      <c r="R8" s="65" t="n"/>
      <c r="S8" s="64" t="n"/>
      <c r="T8" s="64" t="n"/>
      <c r="U8" s="64" t="n">
        <v>40000</v>
      </c>
      <c r="V8" s="77" t="n"/>
      <c r="W8" s="65" t="n"/>
      <c r="X8" s="65" t="n"/>
      <c r="Y8" s="64" t="n">
        <v>120000</v>
      </c>
      <c r="Z8" s="65" t="n"/>
      <c r="AA8" s="64" t="n">
        <v>20000</v>
      </c>
      <c r="AB8" s="65" t="n"/>
      <c r="AC8" s="65" t="n"/>
      <c r="AD8" s="65" t="n"/>
      <c r="AE8" s="65" t="n">
        <v>25000</v>
      </c>
      <c r="AF8" s="65" t="n"/>
      <c r="AG8" s="65" t="n"/>
      <c r="AH8" s="65" t="n"/>
      <c r="AI8" s="65" t="n"/>
      <c r="AJ8" s="65" t="n"/>
      <c r="AK8" s="64">
        <f>20634+22306+33978+1913+1665+1320</f>
        <v/>
      </c>
      <c r="AL8" s="64" t="n"/>
      <c r="AM8" s="65" t="n"/>
      <c r="AN8" s="65" t="n"/>
      <c r="AO8" s="65" t="n"/>
      <c r="AP8" s="65" t="n"/>
    </row>
    <row r="9" hidden="1" s="49">
      <c r="B9" s="1" t="inlineStr">
        <is>
          <t>ファイン杉山通　AB</t>
        </is>
      </c>
      <c r="D9" s="1" t="inlineStr">
        <is>
          <t>洗浄・基礎塗装・照明・アスロック</t>
        </is>
      </c>
      <c r="E9" s="2" t="inlineStr">
        <is>
          <t>5月</t>
        </is>
      </c>
      <c r="F9" s="68" t="n">
        <v>455000</v>
      </c>
      <c r="G9" s="68">
        <f>IF(B9="","",F9-I9 )</f>
        <v/>
      </c>
      <c r="H9" s="5">
        <f>IF(G9="","",G9/F9)</f>
        <v/>
      </c>
      <c r="I9" s="62">
        <f>SUM(テーブル92[[#This Row],[五大]:[工場材]])</f>
        <v/>
      </c>
      <c r="J9" s="65" t="n"/>
      <c r="K9" s="65" t="n"/>
      <c r="L9" s="65" t="n"/>
      <c r="M9" s="65" t="n"/>
      <c r="N9" s="64" t="n">
        <v>72000</v>
      </c>
      <c r="O9" s="65" t="n"/>
      <c r="P9" s="64" t="n">
        <v>12600</v>
      </c>
      <c r="Q9" s="64" t="n"/>
      <c r="R9" s="65" t="n"/>
      <c r="S9" s="64" t="n">
        <v>7400</v>
      </c>
      <c r="T9" s="64" t="n"/>
      <c r="U9" s="65" t="n"/>
      <c r="V9" s="77" t="n"/>
      <c r="W9" s="65" t="n"/>
      <c r="X9" s="65" t="n"/>
      <c r="Y9" s="64" t="n">
        <v>92000</v>
      </c>
      <c r="Z9" s="65" t="n"/>
      <c r="AA9" s="64" t="n"/>
      <c r="AB9" s="65" t="n"/>
      <c r="AC9" s="65" t="n"/>
      <c r="AD9" s="65" t="n"/>
      <c r="AE9" s="65" t="n"/>
      <c r="AF9" s="65" t="n"/>
      <c r="AG9" s="65" t="n"/>
      <c r="AH9" s="65" t="n"/>
      <c r="AI9" s="65" t="n"/>
      <c r="AJ9" s="65" t="n"/>
      <c r="AK9" s="65" t="n"/>
      <c r="AL9" s="65" t="n"/>
      <c r="AM9" s="65" t="n"/>
      <c r="AN9" s="65" t="n"/>
      <c r="AO9" s="65" t="n"/>
      <c r="AP9" s="64" t="n">
        <v>32000</v>
      </c>
    </row>
    <row r="10" hidden="1" s="49">
      <c r="B10" s="1" t="inlineStr">
        <is>
          <t>早坂内科クリニック</t>
        </is>
      </c>
      <c r="D10" s="1" t="inlineStr">
        <is>
          <t>トイレ→SK</t>
        </is>
      </c>
      <c r="E10" s="2" t="inlineStr">
        <is>
          <t>5月</t>
        </is>
      </c>
      <c r="F10" s="68" t="n">
        <v>220000</v>
      </c>
      <c r="G10" s="68">
        <f>IF(B10="","",F10-I10 )</f>
        <v/>
      </c>
      <c r="H10" s="5">
        <f>IF(G10="","",G10/F10)</f>
        <v/>
      </c>
      <c r="I10" s="62">
        <f>SUM(テーブル92[[#This Row],[五大]:[工場材]])</f>
        <v/>
      </c>
      <c r="J10" s="65" t="n"/>
      <c r="K10" s="65" t="n"/>
      <c r="L10" s="65" t="n"/>
      <c r="M10" s="65" t="n"/>
      <c r="N10" s="65" t="n"/>
      <c r="O10" s="65" t="n"/>
      <c r="P10" s="65" t="n"/>
      <c r="Q10" s="64" t="n"/>
      <c r="R10" s="65" t="n"/>
      <c r="S10" s="64" t="n"/>
      <c r="T10" s="64" t="n"/>
      <c r="U10" s="64">
        <f>32000+16596</f>
        <v/>
      </c>
      <c r="V10" s="77" t="n"/>
      <c r="W10" s="65" t="n"/>
      <c r="X10" s="65" t="n"/>
      <c r="Y10" s="65" t="n"/>
      <c r="Z10" s="64" t="n">
        <v>90000</v>
      </c>
      <c r="AA10" s="64" t="n"/>
      <c r="AB10" s="65" t="n"/>
      <c r="AC10" s="65" t="n"/>
      <c r="AD10" s="65" t="n"/>
      <c r="AE10" s="65" t="n"/>
      <c r="AF10" s="65" t="n"/>
      <c r="AG10" s="65" t="n"/>
      <c r="AH10" s="65" t="n"/>
      <c r="AI10" s="65" t="n"/>
      <c r="AJ10" s="65" t="n"/>
      <c r="AK10" s="65" t="n"/>
      <c r="AL10" s="65" t="n"/>
      <c r="AM10" s="65" t="n"/>
      <c r="AN10" s="65" t="n"/>
      <c r="AO10" s="65" t="n"/>
      <c r="AP10" s="65" t="n"/>
    </row>
    <row r="11" hidden="1" s="49">
      <c r="B11" s="1" t="inlineStr">
        <is>
          <t>ネオパレス台原308</t>
        </is>
      </c>
      <c r="D11" s="1" t="inlineStr">
        <is>
          <t>漏水対応</t>
        </is>
      </c>
      <c r="E11" s="2" t="inlineStr">
        <is>
          <t>5月</t>
        </is>
      </c>
      <c r="F11" s="68" t="n">
        <v>97000</v>
      </c>
      <c r="G11" s="68">
        <f>IF(B11="","",F11-I11 )</f>
        <v/>
      </c>
      <c r="H11" s="5">
        <f>IF(G11="","",G11/F11)</f>
        <v/>
      </c>
      <c r="I11" s="62">
        <f>SUM(テーブル92[[#This Row],[五大]:[工場材]])</f>
        <v/>
      </c>
      <c r="J11" s="65" t="n"/>
      <c r="K11" s="65" t="n"/>
      <c r="L11" s="65" t="n"/>
      <c r="M11" s="65" t="n"/>
      <c r="N11" s="65" t="n"/>
      <c r="O11" s="65" t="n"/>
      <c r="P11" s="65" t="n"/>
      <c r="Q11" s="64" t="n"/>
      <c r="R11" s="65" t="n"/>
      <c r="S11" s="64" t="n"/>
      <c r="T11" s="64" t="n"/>
      <c r="U11" s="64" t="n">
        <v>18000</v>
      </c>
      <c r="V11" s="77" t="n"/>
      <c r="W11" s="65" t="n"/>
      <c r="X11" s="65" t="n"/>
      <c r="Y11" s="65" t="n"/>
      <c r="Z11" s="65" t="n"/>
      <c r="AA11" s="64" t="n">
        <v>25000</v>
      </c>
      <c r="AB11" s="65" t="n"/>
      <c r="AC11" s="65" t="n"/>
      <c r="AD11" s="65" t="n"/>
      <c r="AE11" s="65" t="n"/>
      <c r="AF11" s="65" t="n"/>
      <c r="AG11" s="65" t="n"/>
      <c r="AH11" s="65" t="n"/>
      <c r="AI11" s="65" t="n"/>
      <c r="AJ11" s="65" t="n"/>
      <c r="AK11" s="65" t="n"/>
      <c r="AL11" s="65" t="n"/>
      <c r="AM11" s="65" t="n"/>
      <c r="AN11" s="65" t="n"/>
      <c r="AO11" s="65" t="n"/>
      <c r="AP11" s="65" t="n"/>
    </row>
    <row r="12" hidden="1" s="49">
      <c r="B12" s="1" t="inlineStr">
        <is>
          <t>荒巻 　中山邸</t>
        </is>
      </c>
      <c r="D12" s="1" t="inlineStr">
        <is>
          <t>LIXIL UB改修</t>
        </is>
      </c>
      <c r="E12" s="2" t="inlineStr">
        <is>
          <t>5月</t>
        </is>
      </c>
      <c r="F12" s="68" t="n">
        <v>439600</v>
      </c>
      <c r="G12" s="68">
        <f>IF(B12="","",F12-I12 )</f>
        <v/>
      </c>
      <c r="H12" s="5">
        <f>IF(G12="","",G12/F12)</f>
        <v/>
      </c>
      <c r="I12" s="62">
        <f>SUM(テーブル92[[#This Row],[五大]:[工場材]])</f>
        <v/>
      </c>
      <c r="J12" s="65" t="n"/>
      <c r="K12" s="65" t="n"/>
      <c r="L12" s="65" t="n"/>
      <c r="M12" s="65" t="n"/>
      <c r="N12" s="65" t="n"/>
      <c r="O12" s="65" t="n"/>
      <c r="P12" s="65" t="n"/>
      <c r="Q12" s="64" t="n"/>
      <c r="R12" s="65" t="n"/>
      <c r="S12" s="64" t="n"/>
      <c r="T12" s="64" t="n"/>
      <c r="U12" s="64" t="n">
        <v>150000</v>
      </c>
      <c r="V12" s="77" t="n"/>
      <c r="W12" s="65" t="n"/>
      <c r="X12" s="65" t="n"/>
      <c r="Y12" s="64" t="n">
        <v>35000</v>
      </c>
      <c r="Z12" s="65" t="n"/>
      <c r="AA12" s="64" t="n">
        <v>115500</v>
      </c>
      <c r="AB12" s="65" t="n"/>
      <c r="AC12" s="65" t="n"/>
      <c r="AD12" s="65" t="n"/>
      <c r="AE12" s="65" t="n">
        <v>40000</v>
      </c>
      <c r="AF12" s="65" t="n"/>
      <c r="AG12" s="65" t="n"/>
      <c r="AH12" s="65" t="n"/>
      <c r="AI12" s="65" t="n"/>
      <c r="AJ12" s="65" t="n"/>
      <c r="AK12" s="65" t="n"/>
      <c r="AL12" s="65" t="n"/>
      <c r="AM12" s="65" t="n"/>
      <c r="AN12" s="65">
        <f>12000*1.5</f>
        <v/>
      </c>
      <c r="AO12" s="65" t="n"/>
      <c r="AP12" s="65" t="n"/>
    </row>
    <row r="13" hidden="1" s="49">
      <c r="B13" s="22" t="inlineStr">
        <is>
          <t>合計</t>
        </is>
      </c>
      <c r="C13" s="12" t="n"/>
      <c r="F13" s="67">
        <f>SUBTOTAL(109,F4:F12)</f>
        <v/>
      </c>
      <c r="G13" s="67">
        <f>SUBTOTAL(109,G4:G12)</f>
        <v/>
      </c>
      <c r="H13" s="14">
        <f>IF(G13="","",G13/F13)</f>
        <v/>
      </c>
      <c r="I13" s="67">
        <f>SUBTOTAL(109,I4:I12)</f>
        <v/>
      </c>
      <c r="J13" s="65" t="n"/>
      <c r="K13" s="65" t="n"/>
      <c r="L13" s="65" t="n"/>
      <c r="M13" s="65" t="n"/>
      <c r="N13" s="65" t="n"/>
      <c r="O13" s="65" t="n"/>
      <c r="P13" s="65" t="n"/>
      <c r="Q13" s="64" t="n"/>
      <c r="R13" s="65" t="n"/>
      <c r="S13" s="64" t="n"/>
      <c r="T13" s="64" t="n"/>
      <c r="U13" s="65" t="n"/>
      <c r="V13" s="77" t="n"/>
      <c r="W13" s="65" t="n"/>
      <c r="X13" s="65" t="n"/>
      <c r="Y13" s="65" t="n"/>
      <c r="Z13" s="65" t="n"/>
      <c r="AA13" s="65" t="n"/>
      <c r="AB13" s="65" t="n"/>
      <c r="AC13" s="65" t="n"/>
      <c r="AD13" s="65" t="n"/>
      <c r="AE13" s="65" t="n"/>
      <c r="AF13" s="65" t="n"/>
      <c r="AG13" s="65" t="n"/>
      <c r="AH13" s="65" t="n"/>
      <c r="AI13" s="65" t="n"/>
      <c r="AJ13" s="65" t="n"/>
      <c r="AK13" s="65" t="n"/>
      <c r="AL13" s="65" t="n"/>
      <c r="AM13" s="65" t="n"/>
      <c r="AN13" s="65" t="n"/>
      <c r="AO13" s="65" t="n"/>
      <c r="AP13" s="65" t="n"/>
    </row>
    <row r="14" hidden="1" s="49">
      <c r="F14" s="68" t="n"/>
      <c r="G14" s="68" t="n"/>
      <c r="H14" s="5" t="n"/>
      <c r="J14" s="65" t="n"/>
      <c r="K14" s="65" t="n"/>
      <c r="L14" s="65" t="n"/>
      <c r="M14" s="65" t="n"/>
      <c r="N14" s="65" t="n"/>
      <c r="O14" s="65" t="n"/>
      <c r="P14" s="65" t="n"/>
      <c r="Q14" s="64" t="n"/>
      <c r="R14" s="65" t="n"/>
      <c r="S14" s="64" t="n"/>
      <c r="T14" s="64" t="n"/>
      <c r="U14" s="65" t="n"/>
      <c r="V14" s="77" t="n"/>
      <c r="W14" s="65" t="n"/>
      <c r="X14" s="65" t="n"/>
      <c r="Y14" s="65" t="n"/>
      <c r="Z14" s="65" t="n"/>
      <c r="AA14" s="65" t="n"/>
      <c r="AB14" s="65" t="n"/>
      <c r="AC14" s="65" t="n"/>
      <c r="AD14" s="65" t="n"/>
      <c r="AE14" s="65" t="n"/>
      <c r="AF14" s="65" t="n"/>
      <c r="AG14" s="65" t="n"/>
      <c r="AH14" s="65" t="n"/>
      <c r="AI14" s="65" t="n"/>
      <c r="AJ14" s="65" t="n"/>
      <c r="AK14" s="65" t="n"/>
      <c r="AL14" s="65" t="n"/>
      <c r="AM14" s="65" t="n"/>
      <c r="AN14" s="65" t="n"/>
      <c r="AO14" s="65" t="n"/>
      <c r="AP14" s="65" t="n"/>
    </row>
    <row r="15" hidden="1" s="49">
      <c r="A15" s="0" t="inlineStr">
        <is>
          <t>R2.7</t>
        </is>
      </c>
      <c r="B15" s="1" t="inlineStr">
        <is>
          <t>七ヶ浜　斎藤邸</t>
        </is>
      </c>
      <c r="D15" s="1" t="inlineStr">
        <is>
          <t>LIXIL　キッチン入替</t>
        </is>
      </c>
      <c r="E15" s="2" t="inlineStr">
        <is>
          <t>6月</t>
        </is>
      </c>
      <c r="F15" s="68" t="n">
        <v>310000</v>
      </c>
      <c r="G15" s="68">
        <f>IF(B15="","",F15-I15 )</f>
        <v/>
      </c>
      <c r="H15" s="5">
        <f>IF(G15="","",G15/F15)</f>
        <v/>
      </c>
      <c r="I15" s="62">
        <f>SUM(テーブル92[[#This Row],[五大]:[工場材]])</f>
        <v/>
      </c>
      <c r="J15" s="65" t="n"/>
      <c r="K15" s="65" t="n"/>
      <c r="L15" s="65" t="n"/>
      <c r="M15" s="65" t="n"/>
      <c r="N15" s="65" t="n"/>
      <c r="O15" s="65" t="n"/>
      <c r="P15" s="65" t="n"/>
      <c r="Q15" s="64" t="n"/>
      <c r="R15" s="65" t="n"/>
      <c r="S15" s="64" t="n"/>
      <c r="T15" s="64" t="n"/>
      <c r="U15" s="64" t="n">
        <v>110000</v>
      </c>
      <c r="V15" s="77" t="n"/>
      <c r="W15" s="65" t="n"/>
      <c r="X15" s="65" t="n"/>
      <c r="Y15" s="64" t="n">
        <v>30000</v>
      </c>
      <c r="Z15" s="64" t="n">
        <v>70000</v>
      </c>
      <c r="AA15" s="65" t="n"/>
      <c r="AB15" s="65" t="n"/>
      <c r="AC15" s="65" t="n"/>
      <c r="AD15" s="65" t="n"/>
      <c r="AE15" s="65" t="n"/>
      <c r="AF15" s="65" t="n"/>
      <c r="AG15" s="65" t="n"/>
      <c r="AH15" s="65" t="n"/>
      <c r="AI15" s="65" t="n"/>
      <c r="AJ15" s="65" t="n"/>
      <c r="AK15" s="65" t="n"/>
      <c r="AL15" s="65" t="n"/>
      <c r="AM15" s="65" t="n"/>
      <c r="AN15" s="65" t="n"/>
      <c r="AO15" s="65" t="n"/>
      <c r="AP15" s="65" t="n"/>
    </row>
    <row r="16">
      <c r="B16" s="1" t="inlineStr">
        <is>
          <t>画像医学と脳健診</t>
        </is>
      </c>
      <c r="D16" s="1" t="inlineStr">
        <is>
          <t>屋根防水+塗装</t>
        </is>
      </c>
      <c r="E16" s="2" t="inlineStr">
        <is>
          <t>6月</t>
        </is>
      </c>
      <c r="F16" s="68" t="n">
        <v>3000000</v>
      </c>
      <c r="G16" s="68">
        <f>IF(B16="","",F16-I16 )</f>
        <v/>
      </c>
      <c r="H16" s="5">
        <f>IF(G16="","",G16/F16)</f>
        <v/>
      </c>
      <c r="I16" s="62">
        <f>SUM(テーブル92[[#This Row],[五大]:[工場材]])</f>
        <v/>
      </c>
      <c r="J16" s="64" t="n">
        <v>310000</v>
      </c>
      <c r="K16" s="65" t="n"/>
      <c r="L16" s="65" t="n"/>
      <c r="M16" s="64" t="n">
        <v>900000</v>
      </c>
      <c r="N16" s="65" t="n"/>
      <c r="O16" s="65" t="n"/>
      <c r="P16" s="64">
        <f>550500</f>
        <v/>
      </c>
      <c r="Q16" s="65" t="n"/>
      <c r="R16" s="65" t="n"/>
      <c r="S16" s="64">
        <f>221800+7500+8500</f>
        <v/>
      </c>
      <c r="T16" s="64" t="n"/>
      <c r="U16" s="65" t="n"/>
      <c r="V16" s="77" t="n"/>
      <c r="W16" s="65" t="n"/>
      <c r="X16" s="65" t="n"/>
      <c r="Y16" s="65" t="n"/>
      <c r="Z16" s="65" t="n"/>
      <c r="AA16" s="65" t="n"/>
      <c r="AB16" s="65" t="n"/>
      <c r="AC16" s="65" t="n"/>
      <c r="AD16" s="65" t="n"/>
      <c r="AE16" s="65" t="n"/>
      <c r="AF16" s="65" t="n"/>
      <c r="AG16" s="65" t="n"/>
      <c r="AH16" s="65" t="n"/>
      <c r="AI16" s="65" t="n"/>
      <c r="AJ16" s="65" t="n"/>
      <c r="AK16" s="65" t="n"/>
      <c r="AL16" s="65" t="n"/>
      <c r="AM16" s="65" t="n"/>
      <c r="AN16" s="65" t="n"/>
      <c r="AO16" s="65" t="n"/>
      <c r="AP16" s="65" t="n"/>
    </row>
    <row r="17" hidden="1" s="49">
      <c r="B17" s="1" t="inlineStr">
        <is>
          <t>シャーメゾングレンツ</t>
        </is>
      </c>
      <c r="D17" s="1" t="inlineStr">
        <is>
          <t>壁張替</t>
        </is>
      </c>
      <c r="E17" s="2" t="inlineStr">
        <is>
          <t>6月</t>
        </is>
      </c>
      <c r="F17" s="68">
        <f>262620*2</f>
        <v/>
      </c>
      <c r="G17" s="68">
        <f>IF(B17="","",F17-I17 )</f>
        <v/>
      </c>
      <c r="H17" s="5">
        <f>IF(G17="","",G17/F17)</f>
        <v/>
      </c>
      <c r="I17" s="62">
        <f>SUM(テーブル92[[#This Row],[五大]:[工場材]])</f>
        <v/>
      </c>
      <c r="J17" s="65" t="n"/>
      <c r="K17" s="65" t="n"/>
      <c r="L17" s="65" t="n"/>
      <c r="M17" s="65" t="n"/>
      <c r="N17" s="65" t="n"/>
      <c r="O17" s="65" t="n"/>
      <c r="P17" s="65" t="n"/>
      <c r="Q17" s="65">
        <f>14500*2</f>
        <v/>
      </c>
      <c r="R17" s="65" t="n"/>
      <c r="S17" s="64" t="n"/>
      <c r="T17" s="64" t="n"/>
      <c r="U17" s="64" t="n">
        <v>180000</v>
      </c>
      <c r="V17" s="77" t="n"/>
      <c r="W17" s="65" t="n"/>
      <c r="X17" s="65" t="n"/>
      <c r="Y17" s="65" t="n"/>
      <c r="Z17" s="65" t="n"/>
      <c r="AA17" s="65" t="n"/>
      <c r="AB17" s="65" t="n"/>
      <c r="AC17" s="64" t="n">
        <v>100000</v>
      </c>
      <c r="AD17" s="65" t="n"/>
      <c r="AE17" s="65" t="n"/>
      <c r="AF17" s="65" t="n"/>
      <c r="AG17" s="65" t="n"/>
      <c r="AH17" s="65" t="n"/>
      <c r="AI17" s="65" t="n"/>
      <c r="AJ17" s="65" t="n"/>
      <c r="AK17" s="65" t="n"/>
      <c r="AL17" s="65" t="n"/>
      <c r="AM17" s="65" t="n"/>
      <c r="AN17" s="65" t="n"/>
      <c r="AO17" s="65" t="n"/>
      <c r="AP17" s="65" t="n">
        <v>20000</v>
      </c>
    </row>
    <row r="18" hidden="1" s="49">
      <c r="B18" s="22" t="inlineStr">
        <is>
          <t>合計</t>
        </is>
      </c>
      <c r="C18" s="12" t="n"/>
      <c r="F18" s="67">
        <f>SUBTOTAL(109,F15:F17)</f>
        <v/>
      </c>
      <c r="G18" s="67">
        <f>SUBTOTAL(109,G15:G17)</f>
        <v/>
      </c>
      <c r="H18" s="14">
        <f>IF(G18="","",G18/F18)</f>
        <v/>
      </c>
      <c r="I18" s="67">
        <f>SUBTOTAL(109,I15:I17)</f>
        <v/>
      </c>
      <c r="J18" s="65" t="n"/>
      <c r="K18" s="65" t="n"/>
      <c r="L18" s="65" t="n"/>
      <c r="M18" s="65" t="n"/>
      <c r="N18" s="65" t="n"/>
      <c r="O18" s="65" t="n"/>
      <c r="P18" s="65" t="n"/>
      <c r="Q18" s="64" t="n"/>
      <c r="R18" s="65" t="n"/>
      <c r="S18" s="64" t="n"/>
      <c r="T18" s="64" t="n"/>
      <c r="U18" s="65" t="n"/>
      <c r="V18" s="77" t="n"/>
      <c r="W18" s="65" t="n"/>
      <c r="X18" s="65" t="n"/>
      <c r="Y18" s="65" t="n"/>
      <c r="Z18" s="65" t="n"/>
      <c r="AA18" s="65" t="n"/>
      <c r="AB18" s="65" t="n"/>
      <c r="AC18" s="65" t="n"/>
      <c r="AD18" s="65" t="n"/>
      <c r="AE18" s="65" t="n"/>
      <c r="AF18" s="65" t="n"/>
      <c r="AG18" s="65" t="n"/>
      <c r="AH18" s="65" t="n"/>
      <c r="AI18" s="65" t="n"/>
      <c r="AJ18" s="65" t="n"/>
      <c r="AK18" s="65" t="n"/>
      <c r="AL18" s="65" t="n"/>
      <c r="AM18" s="65" t="n"/>
      <c r="AN18" s="65" t="n"/>
      <c r="AO18" s="65" t="n"/>
      <c r="AP18" s="65" t="n"/>
    </row>
    <row r="19" hidden="1" s="49">
      <c r="F19" s="68" t="n"/>
      <c r="G19" s="68">
        <f>IF(B19="","",F19-I19 )</f>
        <v/>
      </c>
      <c r="H19" s="5">
        <f>IF(G19="","",G19/F19)</f>
        <v/>
      </c>
      <c r="J19" s="65" t="n"/>
      <c r="K19" s="65" t="n"/>
      <c r="L19" s="65" t="n"/>
      <c r="M19" s="65" t="n"/>
      <c r="N19" s="65" t="n"/>
      <c r="O19" s="65" t="n"/>
      <c r="P19" s="65" t="n"/>
      <c r="Q19" s="64" t="n"/>
      <c r="R19" s="65" t="n"/>
      <c r="S19" s="64" t="n"/>
      <c r="T19" s="64" t="n"/>
      <c r="U19" s="65" t="n"/>
      <c r="V19" s="77" t="n"/>
      <c r="W19" s="65" t="n"/>
      <c r="X19" s="65" t="n"/>
      <c r="Y19" s="65" t="n"/>
      <c r="Z19" s="65" t="n"/>
      <c r="AA19" s="65" t="n"/>
      <c r="AB19" s="65" t="n"/>
      <c r="AC19" s="65" t="n"/>
      <c r="AD19" s="65" t="n"/>
      <c r="AE19" s="65" t="n"/>
      <c r="AF19" s="65" t="n"/>
      <c r="AG19" s="65" t="n"/>
      <c r="AH19" s="65" t="n"/>
      <c r="AI19" s="65" t="n"/>
      <c r="AJ19" s="65" t="n"/>
      <c r="AK19" s="65" t="n"/>
      <c r="AL19" s="65" t="n"/>
      <c r="AM19" s="65" t="n"/>
      <c r="AN19" s="65" t="n"/>
      <c r="AO19" s="65" t="n"/>
      <c r="AP19" s="65" t="n"/>
    </row>
    <row r="20" hidden="1" s="49">
      <c r="F20" s="68" t="n"/>
      <c r="G20" s="68">
        <f>IF(B20="","",F20-I20 )</f>
        <v/>
      </c>
      <c r="H20" s="5">
        <f>IF(G20="","",G20/F20)</f>
        <v/>
      </c>
      <c r="J20" s="65" t="n"/>
      <c r="K20" s="65" t="n"/>
      <c r="L20" s="65" t="n"/>
      <c r="M20" s="65" t="n"/>
      <c r="N20" s="65" t="n"/>
      <c r="O20" s="65" t="n"/>
      <c r="P20" s="65" t="n"/>
      <c r="Q20" s="64" t="n"/>
      <c r="R20" s="65" t="n"/>
      <c r="S20" s="64" t="n"/>
      <c r="T20" s="64" t="n"/>
      <c r="U20" s="65" t="n"/>
      <c r="V20" s="77" t="n"/>
      <c r="W20" s="65" t="n"/>
      <c r="X20" s="65" t="n"/>
      <c r="Y20" s="65" t="n"/>
      <c r="Z20" s="65" t="n"/>
      <c r="AA20" s="65" t="n"/>
      <c r="AB20" s="65" t="n"/>
      <c r="AC20" s="65" t="n"/>
      <c r="AD20" s="65" t="n"/>
      <c r="AE20" s="65" t="n"/>
      <c r="AF20" s="65" t="n"/>
      <c r="AG20" s="65" t="n"/>
      <c r="AH20" s="65" t="n"/>
      <c r="AI20" s="65" t="n"/>
      <c r="AJ20" s="65" t="n"/>
      <c r="AK20" s="65" t="n"/>
      <c r="AL20" s="65" t="n"/>
      <c r="AM20" s="65" t="n"/>
      <c r="AN20" s="65" t="n"/>
      <c r="AO20" s="65" t="n"/>
      <c r="AP20" s="65" t="n"/>
    </row>
    <row r="21" hidden="1" s="49">
      <c r="A21" s="0" t="inlineStr">
        <is>
          <t>R2.8</t>
        </is>
      </c>
      <c r="B21" s="1" t="inlineStr">
        <is>
          <t>富谷 向井邸</t>
        </is>
      </c>
      <c r="D21" s="1" t="inlineStr">
        <is>
          <t>LIXIL　フェンス他多数</t>
        </is>
      </c>
      <c r="E21" s="2" t="inlineStr">
        <is>
          <t>7月</t>
        </is>
      </c>
      <c r="F21" s="68" t="n">
        <v>430000</v>
      </c>
      <c r="G21" s="68">
        <f>IF(B21="","",F21-I21 )</f>
        <v/>
      </c>
      <c r="H21" s="5">
        <f>IF(G21="","",G21/F21)</f>
        <v/>
      </c>
      <c r="I21" s="62">
        <f>SUM(テーブル92[[#This Row],[五大]:[工場材]])</f>
        <v/>
      </c>
      <c r="J21" s="65" t="n"/>
      <c r="K21" s="64" t="n"/>
      <c r="L21" s="64" t="n"/>
      <c r="M21" s="65" t="n"/>
      <c r="N21" s="65" t="n"/>
      <c r="O21" s="65" t="n"/>
      <c r="P21" s="65" t="n"/>
      <c r="Q21" s="64" t="n"/>
      <c r="R21" s="65" t="n"/>
      <c r="S21" s="64" t="n"/>
      <c r="T21" s="64" t="n"/>
      <c r="U21" s="65" t="n"/>
      <c r="V21" s="77" t="n"/>
      <c r="W21" s="65" t="n"/>
      <c r="X21" s="65" t="n"/>
      <c r="Y21" s="65" t="n"/>
      <c r="Z21" s="65" t="n"/>
      <c r="AA21" s="65" t="n"/>
      <c r="AB21" s="65" t="n">
        <v>330000</v>
      </c>
      <c r="AC21" s="65" t="n"/>
      <c r="AD21" s="65" t="n"/>
      <c r="AE21" s="65" t="n"/>
      <c r="AF21" s="65" t="n"/>
      <c r="AG21" s="65" t="n"/>
      <c r="AH21" s="65" t="n"/>
      <c r="AI21" s="65" t="n"/>
      <c r="AJ21" s="65" t="n"/>
      <c r="AK21" s="65" t="n"/>
      <c r="AL21" s="65" t="n"/>
      <c r="AM21" s="65" t="n"/>
      <c r="AN21" s="65" t="n">
        <v>5000</v>
      </c>
      <c r="AO21" s="65" t="n"/>
      <c r="AP21" s="65">
        <f>40000</f>
        <v/>
      </c>
    </row>
    <row r="22" hidden="1" s="49">
      <c r="B22" s="1" t="inlineStr">
        <is>
          <t>沼倉邸</t>
        </is>
      </c>
      <c r="D22" s="24" t="inlineStr">
        <is>
          <t>LIXILキッチン・浴室・トイレ・洗面台</t>
        </is>
      </c>
      <c r="E22" s="2" t="inlineStr">
        <is>
          <t>7月</t>
        </is>
      </c>
      <c r="F22" s="68" t="n">
        <v>690000</v>
      </c>
      <c r="G22" s="68">
        <f>IF(B22="","",F22-I22 )</f>
        <v/>
      </c>
      <c r="H22" s="5">
        <f>IF(G22="","",G22/F22)</f>
        <v/>
      </c>
      <c r="I22" s="62">
        <f>SUM(テーブル92[[#This Row],[五大]:[工場材]])</f>
        <v/>
      </c>
      <c r="J22" s="65" t="n"/>
      <c r="K22" s="64" t="n"/>
      <c r="L22" s="64" t="n"/>
      <c r="M22" s="65" t="n"/>
      <c r="N22" s="65" t="n"/>
      <c r="O22" s="65" t="n"/>
      <c r="P22" s="64" t="n"/>
      <c r="Q22" s="64" t="n"/>
      <c r="R22" s="65" t="n"/>
      <c r="S22" s="64" t="n"/>
      <c r="T22" s="64" t="n"/>
      <c r="U22" s="64" t="n">
        <v>232337</v>
      </c>
      <c r="V22" s="77" t="n"/>
      <c r="W22" s="65" t="n"/>
      <c r="X22" s="65" t="n"/>
      <c r="Y22" s="64" t="n">
        <v>120000</v>
      </c>
      <c r="Z22" s="64" t="n">
        <v>204000</v>
      </c>
      <c r="AA22" s="65" t="n"/>
      <c r="AB22" s="65" t="n"/>
      <c r="AC22" s="65" t="n"/>
      <c r="AD22" s="65" t="n"/>
      <c r="AE22" s="65" t="n"/>
      <c r="AF22" s="65" t="n"/>
      <c r="AG22" s="65" t="n"/>
      <c r="AH22" s="65" t="n"/>
      <c r="AI22" s="65" t="n"/>
      <c r="AJ22" s="65" t="n"/>
      <c r="AK22" s="65" t="n"/>
      <c r="AL22" s="65" t="n"/>
      <c r="AM22" s="65" t="n"/>
      <c r="AN22" s="65" t="n"/>
      <c r="AO22" s="65" t="n"/>
      <c r="AP22" s="65" t="n"/>
    </row>
    <row r="23">
      <c r="B23" s="1" t="inlineStr">
        <is>
          <t>アヴニール山鳥B</t>
        </is>
      </c>
      <c r="D23" s="1" t="inlineStr">
        <is>
          <t>塗装</t>
        </is>
      </c>
      <c r="E23" s="2" t="inlineStr">
        <is>
          <t>7月</t>
        </is>
      </c>
      <c r="F23" s="68" t="n">
        <v>1457000</v>
      </c>
      <c r="G23" s="68">
        <f>IF(B23="","",F23-I23 )</f>
        <v/>
      </c>
      <c r="H23" s="5">
        <f>IF(G23="","",G23/F23)</f>
        <v/>
      </c>
      <c r="I23" s="62">
        <f>SUM(テーブル92[[#This Row],[五大]:[工場材]])</f>
        <v/>
      </c>
      <c r="J23" s="65" t="n"/>
      <c r="K23" s="64" t="n"/>
      <c r="L23" s="64" t="n">
        <v>230000</v>
      </c>
      <c r="M23" s="64" t="n">
        <v>700000</v>
      </c>
      <c r="N23" s="65" t="n"/>
      <c r="O23" s="65" t="n"/>
      <c r="P23" s="64" t="n">
        <v>50000</v>
      </c>
      <c r="Q23" s="64" t="n">
        <v>35000</v>
      </c>
      <c r="R23" s="65" t="n"/>
      <c r="S23" s="64" t="n">
        <v>147400</v>
      </c>
      <c r="T23" s="64" t="n"/>
      <c r="U23" s="65" t="n"/>
      <c r="V23" s="77" t="n"/>
      <c r="W23" s="65" t="n"/>
      <c r="X23" s="65" t="n"/>
      <c r="Y23" s="64" t="n">
        <v>10000</v>
      </c>
      <c r="Z23" s="65" t="n"/>
      <c r="AA23" s="65" t="n"/>
      <c r="AB23" s="65" t="n"/>
      <c r="AC23" s="65" t="n"/>
      <c r="AD23" s="65" t="n"/>
      <c r="AE23" s="65" t="n"/>
      <c r="AF23" s="65" t="n"/>
      <c r="AG23" s="65" t="n"/>
      <c r="AH23" s="65" t="n"/>
      <c r="AI23" s="64" t="n">
        <v>15000</v>
      </c>
      <c r="AJ23" s="65" t="n"/>
      <c r="AK23" s="65" t="n"/>
      <c r="AL23" s="65" t="n"/>
      <c r="AM23" s="65" t="n"/>
      <c r="AN23" s="65" t="n"/>
      <c r="AO23" s="65" t="n"/>
      <c r="AP23" s="65" t="n"/>
    </row>
    <row r="24">
      <c r="B24" s="1" t="inlineStr">
        <is>
          <t>コージーヒルズAB</t>
        </is>
      </c>
      <c r="D24" s="1" t="inlineStr">
        <is>
          <t>塗装</t>
        </is>
      </c>
      <c r="E24" s="2" t="inlineStr">
        <is>
          <t>7月</t>
        </is>
      </c>
      <c r="F24" s="68">
        <f>1420000*2</f>
        <v/>
      </c>
      <c r="G24" s="68">
        <f>IF(B24="","",F24-I24 )</f>
        <v/>
      </c>
      <c r="H24" s="5">
        <f>IF(G24="","",G24/F24)</f>
        <v/>
      </c>
      <c r="I24" s="62">
        <f>SUM(テーブル92[[#This Row],[五大]:[工場材]])</f>
        <v/>
      </c>
      <c r="J24" s="65" t="n">
        <v>400000</v>
      </c>
      <c r="K24" s="64" t="n"/>
      <c r="L24" s="64" t="n"/>
      <c r="M24" s="65" t="n">
        <v>1200000</v>
      </c>
      <c r="N24" s="65" t="n"/>
      <c r="O24" s="65" t="n"/>
      <c r="P24" s="64" t="n">
        <v>50000</v>
      </c>
      <c r="Q24" s="64" t="n">
        <v>70000</v>
      </c>
      <c r="R24" s="65" t="n"/>
      <c r="S24" s="64">
        <f>124800+35600</f>
        <v/>
      </c>
      <c r="T24" s="64" t="n"/>
      <c r="U24" s="65" t="n"/>
      <c r="V24" s="77" t="n"/>
      <c r="W24" s="65" t="n"/>
      <c r="X24" s="65" t="n"/>
      <c r="Y24" s="65" t="n"/>
      <c r="Z24" s="65" t="n"/>
      <c r="AA24" s="65" t="n"/>
      <c r="AB24" s="65" t="n"/>
      <c r="AC24" s="65" t="n"/>
      <c r="AD24" s="65" t="n"/>
      <c r="AE24" s="65" t="n"/>
      <c r="AF24" s="65" t="n"/>
      <c r="AG24" s="65" t="n"/>
      <c r="AH24" s="65" t="n"/>
      <c r="AI24" s="65" t="n"/>
      <c r="AJ24" s="65" t="n"/>
      <c r="AK24" s="65" t="n"/>
      <c r="AL24" s="65" t="n"/>
      <c r="AM24" s="65" t="n"/>
      <c r="AN24" s="65" t="n"/>
      <c r="AO24" s="65" t="n"/>
      <c r="AP24" s="65" t="n"/>
    </row>
    <row r="25">
      <c r="F25" s="68" t="n"/>
      <c r="G25" s="68">
        <f>IF(B25="","",F25-I25 )</f>
        <v/>
      </c>
      <c r="H25" s="5">
        <f>IF(G25="","",G25/F25)</f>
        <v/>
      </c>
      <c r="J25" s="65" t="n"/>
      <c r="K25" s="64" t="n"/>
      <c r="L25" s="64" t="n"/>
      <c r="M25" s="65" t="n"/>
      <c r="N25" s="65" t="n"/>
      <c r="O25" s="65" t="n"/>
      <c r="P25" s="65" t="n"/>
      <c r="Q25" s="64" t="n"/>
      <c r="R25" s="65" t="n"/>
      <c r="S25" s="64" t="n"/>
      <c r="T25" s="64" t="n"/>
      <c r="U25" s="65" t="n"/>
      <c r="V25" s="77" t="n"/>
      <c r="W25" s="65" t="n"/>
      <c r="X25" s="65" t="n"/>
      <c r="Y25" s="65" t="n"/>
      <c r="Z25" s="65" t="n"/>
      <c r="AA25" s="65" t="n"/>
      <c r="AB25" s="65" t="n"/>
      <c r="AC25" s="65" t="n"/>
      <c r="AD25" s="65" t="n"/>
      <c r="AE25" s="65" t="n"/>
      <c r="AF25" s="65" t="n"/>
      <c r="AG25" s="65" t="n"/>
      <c r="AH25" s="65" t="n"/>
      <c r="AI25" s="65" t="n"/>
      <c r="AJ25" s="65" t="n"/>
      <c r="AK25" s="65" t="n"/>
      <c r="AL25" s="65" t="n"/>
      <c r="AM25" s="65" t="n"/>
      <c r="AN25" s="65" t="n"/>
      <c r="AO25" s="65" t="n"/>
      <c r="AP25" s="65" t="n"/>
    </row>
    <row r="26">
      <c r="F26" s="68" t="n"/>
      <c r="G26" s="68">
        <f>IF(B26="","",F26-I26 )</f>
        <v/>
      </c>
      <c r="H26" s="5">
        <f>IF(G26="","",G26/F26)</f>
        <v/>
      </c>
      <c r="J26" s="65" t="n"/>
      <c r="K26" s="64" t="n"/>
      <c r="L26" s="64" t="n"/>
      <c r="M26" s="65" t="n"/>
      <c r="N26" s="65" t="n"/>
      <c r="O26" s="65" t="n"/>
      <c r="P26" s="65" t="n"/>
      <c r="Q26" s="64" t="n"/>
      <c r="R26" s="65" t="n"/>
      <c r="S26" s="64" t="n"/>
      <c r="T26" s="64" t="n"/>
      <c r="U26" s="65" t="n"/>
      <c r="V26" s="77" t="n"/>
      <c r="W26" s="65" t="n"/>
      <c r="X26" s="65" t="n"/>
      <c r="Y26" s="65" t="n"/>
      <c r="Z26" s="65" t="n"/>
      <c r="AA26" s="65" t="n"/>
      <c r="AB26" s="65" t="n"/>
      <c r="AC26" s="65" t="n"/>
      <c r="AD26" s="65" t="n"/>
      <c r="AE26" s="65" t="n"/>
      <c r="AF26" s="65" t="n"/>
      <c r="AG26" s="65" t="n"/>
      <c r="AH26" s="65" t="n"/>
      <c r="AI26" s="65" t="n"/>
      <c r="AJ26" s="65" t="n"/>
      <c r="AK26" s="65" t="n"/>
      <c r="AL26" s="65" t="n"/>
      <c r="AM26" s="65" t="n"/>
      <c r="AN26" s="65" t="n"/>
      <c r="AO26" s="65" t="n"/>
      <c r="AP26" s="65" t="n"/>
    </row>
    <row r="27">
      <c r="A27" s="0" t="inlineStr">
        <is>
          <t>R2.9</t>
        </is>
      </c>
      <c r="B27" s="1" t="inlineStr">
        <is>
          <t>エステディアコートヤマダ</t>
        </is>
      </c>
      <c r="D27" s="1" t="inlineStr">
        <is>
          <t>塗装</t>
        </is>
      </c>
      <c r="E27" s="2" t="inlineStr">
        <is>
          <t>8月</t>
        </is>
      </c>
      <c r="F27" s="68" t="n">
        <v>2370000</v>
      </c>
      <c r="G27" s="68">
        <f>IF(B27="","",F27-I27 )</f>
        <v/>
      </c>
      <c r="H27" s="5">
        <f>IF(G27="","",G27/F27)</f>
        <v/>
      </c>
      <c r="I27" s="62">
        <f>SUM(テーブル92[[#This Row],[五大]:[工場材]])</f>
        <v/>
      </c>
      <c r="J27" s="65" t="n"/>
      <c r="K27" s="64" t="n">
        <v>234000</v>
      </c>
      <c r="L27" s="64" t="n"/>
      <c r="M27" s="65" t="n"/>
      <c r="N27" s="64" t="n">
        <v>900000</v>
      </c>
      <c r="O27" s="65" t="n"/>
      <c r="P27" s="64">
        <f>90*700</f>
        <v/>
      </c>
      <c r="Q27" s="64" t="n">
        <v>35000</v>
      </c>
      <c r="R27" s="65" t="n"/>
      <c r="S27" s="64" t="n">
        <v>161600</v>
      </c>
      <c r="T27" s="64" t="n"/>
      <c r="U27" s="64" t="n">
        <v>90000</v>
      </c>
      <c r="V27" s="77" t="n"/>
      <c r="W27" s="65" t="n"/>
      <c r="X27" s="65" t="n"/>
      <c r="Y27" s="65" t="inlineStr">
        <is>
          <t>-</t>
        </is>
      </c>
      <c r="Z27" s="65" t="n"/>
      <c r="AA27" s="65" t="n"/>
      <c r="AB27" s="65" t="n"/>
      <c r="AC27" s="65" t="n"/>
      <c r="AD27" s="65" t="n"/>
      <c r="AE27" s="65" t="n"/>
      <c r="AF27" s="65" t="n"/>
      <c r="AG27" s="65" t="n"/>
      <c r="AH27" s="65" t="n"/>
      <c r="AI27" s="64" t="n">
        <v>15000</v>
      </c>
      <c r="AJ27" s="65" t="n"/>
      <c r="AK27" s="65" t="n"/>
      <c r="AL27" s="65" t="n"/>
      <c r="AM27" s="65" t="n"/>
      <c r="AN27" s="65" t="n"/>
      <c r="AO27" s="65" t="n"/>
      <c r="AP27" s="65" t="n"/>
    </row>
    <row r="28" hidden="1" s="49">
      <c r="B28" s="1" t="inlineStr">
        <is>
          <t>大衡 斎藤邸</t>
        </is>
      </c>
      <c r="D28" s="24" t="inlineStr">
        <is>
          <t>LIXILキッチン・洗面</t>
        </is>
      </c>
      <c r="E28" s="2" t="inlineStr">
        <is>
          <t>8月</t>
        </is>
      </c>
      <c r="F28" s="68" t="n">
        <v>220000</v>
      </c>
      <c r="G28" s="68">
        <f>IF(B28="","",F28-I28 )</f>
        <v/>
      </c>
      <c r="H28" s="5">
        <f>IF(G28="","",G28/F28)</f>
        <v/>
      </c>
      <c r="I28" s="62">
        <f>SUM(テーブル92[[#This Row],[五大]:[工場材]])</f>
        <v/>
      </c>
      <c r="J28" s="65" t="n"/>
      <c r="K28" s="64" t="n"/>
      <c r="L28" s="64" t="n"/>
      <c r="M28" s="65" t="n"/>
      <c r="N28" s="65" t="n"/>
      <c r="O28" s="65" t="n"/>
      <c r="P28" s="65" t="n"/>
      <c r="Q28" s="64" t="n"/>
      <c r="R28" s="65" t="n"/>
      <c r="S28" s="64" t="n"/>
      <c r="T28" s="64" t="n"/>
      <c r="U28" s="64" t="n">
        <v>41966</v>
      </c>
      <c r="V28" s="77" t="n"/>
      <c r="W28" s="65" t="n"/>
      <c r="X28" s="65" t="n"/>
      <c r="Y28" s="64" t="n">
        <v>40000</v>
      </c>
      <c r="Z28" s="64" t="n">
        <v>82000</v>
      </c>
      <c r="AA28" s="65" t="n"/>
      <c r="AB28" s="65" t="n"/>
      <c r="AC28" s="65" t="n"/>
      <c r="AD28" s="65" t="n"/>
      <c r="AE28" s="64" t="n">
        <v>15000</v>
      </c>
      <c r="AF28" s="65" t="n"/>
      <c r="AG28" s="65" t="n"/>
      <c r="AH28" s="65" t="n"/>
      <c r="AI28" s="65" t="n"/>
      <c r="AJ28" s="65" t="n"/>
      <c r="AK28" s="65" t="n"/>
      <c r="AL28" s="65" t="n"/>
      <c r="AM28" s="65" t="n"/>
      <c r="AN28" s="65" t="n"/>
      <c r="AO28" s="65" t="n"/>
      <c r="AP28" s="65" t="n"/>
    </row>
    <row r="29" hidden="1" s="49">
      <c r="B29" s="1" t="inlineStr">
        <is>
          <t>アルファコーポ</t>
        </is>
      </c>
      <c r="D29" s="1" t="inlineStr">
        <is>
          <t>屋根塗装・内装</t>
        </is>
      </c>
      <c r="E29" s="2" t="inlineStr">
        <is>
          <t>8月</t>
        </is>
      </c>
      <c r="F29" s="68">
        <f>408440+336260</f>
        <v/>
      </c>
      <c r="G29" s="68">
        <f>IF(B29="","",F29-I29 )</f>
        <v/>
      </c>
      <c r="H29" s="5">
        <f>IF(G29="","",G29/F29)</f>
        <v/>
      </c>
      <c r="I29" s="62">
        <f>SUM(テーブル92[[#This Row],[五大]:[工場材]])</f>
        <v/>
      </c>
      <c r="J29" s="64" t="n">
        <v>170000</v>
      </c>
      <c r="K29" s="64" t="n"/>
      <c r="L29" s="64" t="n"/>
      <c r="M29" s="64" t="n">
        <v>300000</v>
      </c>
      <c r="N29" s="65" t="n"/>
      <c r="O29" s="65" t="n"/>
      <c r="P29" s="65" t="n"/>
      <c r="Q29" s="64" t="n"/>
      <c r="R29" s="65" t="n"/>
      <c r="S29" s="64" t="n">
        <v>76600</v>
      </c>
      <c r="T29" s="64" t="n"/>
      <c r="U29" s="65" t="n"/>
      <c r="V29" s="77" t="n"/>
      <c r="W29" s="65" t="n"/>
      <c r="X29" s="65" t="n"/>
      <c r="Y29" s="65" t="n"/>
      <c r="Z29" s="65" t="n"/>
      <c r="AA29" s="65" t="n"/>
      <c r="AB29" s="65" t="n"/>
      <c r="AC29" s="65" t="n"/>
      <c r="AD29" s="65" t="n"/>
      <c r="AE29" s="65" t="n"/>
      <c r="AF29" s="65" t="n"/>
      <c r="AG29" s="65" t="n"/>
      <c r="AH29" s="65" t="n"/>
      <c r="AI29" s="65" t="n"/>
      <c r="AJ29" s="65" t="n"/>
      <c r="AK29" s="65" t="n"/>
      <c r="AL29" s="65" t="n"/>
      <c r="AM29" s="65" t="n"/>
      <c r="AN29" s="65" t="n"/>
      <c r="AO29" s="65" t="n"/>
      <c r="AP29" s="65" t="n"/>
    </row>
    <row r="30" hidden="1" s="49">
      <c r="B30" s="22" t="inlineStr">
        <is>
          <t>合計</t>
        </is>
      </c>
      <c r="C30" s="12" t="n"/>
      <c r="F30" s="67">
        <f>SUBTOTAL(109,F26:F29)</f>
        <v/>
      </c>
      <c r="G30" s="67">
        <f>SUBTOTAL(109,G26:G29)</f>
        <v/>
      </c>
      <c r="H30" s="14">
        <f>IF(G30="","",G30/F30)</f>
        <v/>
      </c>
      <c r="I30" s="67">
        <f>SUBTOTAL(109,I26:I29)</f>
        <v/>
      </c>
      <c r="J30" s="65" t="n"/>
      <c r="K30" s="64" t="n"/>
      <c r="L30" s="64" t="n"/>
      <c r="M30" s="65" t="n"/>
      <c r="N30" s="65" t="n"/>
      <c r="O30" s="65" t="n"/>
      <c r="P30" s="65" t="n"/>
      <c r="Q30" s="64" t="n"/>
      <c r="R30" s="65" t="n"/>
      <c r="S30" s="64" t="n"/>
      <c r="T30" s="64" t="n"/>
      <c r="U30" s="65" t="n"/>
      <c r="V30" s="77" t="n"/>
      <c r="W30" s="65" t="n"/>
      <c r="X30" s="65" t="n"/>
      <c r="Y30" s="65" t="n"/>
      <c r="Z30" s="65" t="n"/>
      <c r="AA30" s="65" t="n"/>
      <c r="AB30" s="65" t="n"/>
      <c r="AC30" s="65" t="n"/>
      <c r="AD30" s="65" t="n"/>
      <c r="AE30" s="65" t="n"/>
      <c r="AF30" s="65" t="n"/>
      <c r="AG30" s="65" t="n"/>
      <c r="AH30" s="65" t="n"/>
      <c r="AI30" s="65" t="n"/>
      <c r="AJ30" s="65" t="n"/>
      <c r="AK30" s="65" t="n"/>
      <c r="AL30" s="65" t="n"/>
      <c r="AM30" s="65" t="n"/>
      <c r="AN30" s="65" t="n"/>
      <c r="AO30" s="65" t="n"/>
      <c r="AP30" s="65" t="n"/>
    </row>
    <row r="31" hidden="1" s="49">
      <c r="F31" s="68" t="n"/>
      <c r="G31" s="68">
        <f>IF(B31="","",F31-I31 )</f>
        <v/>
      </c>
      <c r="H31" s="5">
        <f>IF(G31="","",G31/F31)</f>
        <v/>
      </c>
      <c r="J31" s="65" t="n"/>
      <c r="K31" s="64" t="n"/>
      <c r="L31" s="64" t="n"/>
      <c r="M31" s="65" t="n"/>
      <c r="N31" s="65" t="n"/>
      <c r="O31" s="65" t="n"/>
      <c r="P31" s="65" t="n"/>
      <c r="Q31" s="64" t="n"/>
      <c r="R31" s="65" t="n"/>
      <c r="S31" s="64" t="n"/>
      <c r="T31" s="64" t="n"/>
      <c r="U31" s="65" t="n"/>
      <c r="V31" s="77" t="n"/>
      <c r="W31" s="65" t="n"/>
      <c r="X31" s="65" t="n"/>
      <c r="Y31" s="65" t="n"/>
      <c r="Z31" s="65" t="n"/>
      <c r="AA31" s="65" t="n"/>
      <c r="AB31" s="65" t="n"/>
      <c r="AC31" s="65" t="n"/>
      <c r="AD31" s="65" t="n"/>
      <c r="AE31" s="65" t="n"/>
      <c r="AF31" s="65" t="n"/>
      <c r="AG31" s="65" t="n"/>
      <c r="AH31" s="65" t="n"/>
      <c r="AI31" s="65" t="n"/>
      <c r="AJ31" s="65" t="n"/>
      <c r="AK31" s="65" t="n"/>
      <c r="AL31" s="65" t="n"/>
      <c r="AM31" s="65" t="n"/>
      <c r="AN31" s="65" t="n"/>
      <c r="AO31" s="65" t="n"/>
      <c r="AP31" s="65" t="n"/>
    </row>
    <row r="32" hidden="1" s="49">
      <c r="F32" s="68" t="n"/>
      <c r="G32" s="68">
        <f>IF(B32="","",F32-I32 )</f>
        <v/>
      </c>
      <c r="H32" s="5">
        <f>IF(G32="","",G32/F32)</f>
        <v/>
      </c>
      <c r="J32" s="65" t="n"/>
      <c r="K32" s="64" t="n"/>
      <c r="L32" s="64" t="n"/>
      <c r="M32" s="65" t="n"/>
      <c r="N32" s="65" t="n"/>
      <c r="O32" s="65" t="n"/>
      <c r="P32" s="65" t="n"/>
      <c r="Q32" s="64" t="n"/>
      <c r="R32" s="65" t="n"/>
      <c r="S32" s="64" t="n"/>
      <c r="T32" s="64" t="n"/>
      <c r="U32" s="65" t="n"/>
      <c r="V32" s="77" t="n"/>
      <c r="W32" s="65" t="n"/>
      <c r="X32" s="65" t="n"/>
      <c r="Y32" s="65" t="n"/>
      <c r="Z32" s="65" t="n"/>
      <c r="AA32" s="65" t="n"/>
      <c r="AB32" s="65" t="n"/>
      <c r="AC32" s="65" t="n"/>
      <c r="AD32" s="65" t="n"/>
      <c r="AE32" s="65" t="n"/>
      <c r="AF32" s="65" t="n"/>
      <c r="AG32" s="65" t="n"/>
      <c r="AH32" s="65" t="n"/>
      <c r="AI32" s="65" t="n"/>
      <c r="AJ32" s="65" t="n"/>
      <c r="AK32" s="65" t="n"/>
      <c r="AL32" s="65" t="n"/>
      <c r="AM32" s="65" t="n"/>
      <c r="AN32" s="65" t="n"/>
      <c r="AO32" s="65" t="n"/>
      <c r="AP32" s="65" t="n"/>
    </row>
    <row r="33" hidden="1" s="49">
      <c r="F33" s="68" t="n"/>
      <c r="G33" s="68">
        <f>IF(B33="","",F33-I33 )</f>
        <v/>
      </c>
      <c r="H33" s="5">
        <f>IF(G33="","",G33/F33)</f>
        <v/>
      </c>
      <c r="J33" s="65" t="n"/>
      <c r="K33" s="64" t="n"/>
      <c r="L33" s="64" t="n"/>
      <c r="M33" s="65" t="n"/>
      <c r="N33" s="65" t="n"/>
      <c r="O33" s="65" t="n"/>
      <c r="P33" s="65" t="n"/>
      <c r="Q33" s="64" t="n"/>
      <c r="R33" s="65" t="n"/>
      <c r="S33" s="64" t="n"/>
      <c r="T33" s="64" t="n"/>
      <c r="U33" s="65" t="n"/>
      <c r="V33" s="77" t="n"/>
      <c r="W33" s="65" t="n"/>
      <c r="X33" s="65" t="n"/>
      <c r="Y33" s="65" t="n"/>
      <c r="Z33" s="65" t="n"/>
      <c r="AA33" s="65" t="n"/>
      <c r="AB33" s="65" t="n"/>
      <c r="AC33" s="65" t="n"/>
      <c r="AD33" s="65" t="n"/>
      <c r="AE33" s="65" t="n"/>
      <c r="AF33" s="65" t="n"/>
      <c r="AG33" s="65" t="n"/>
      <c r="AH33" s="65" t="n"/>
      <c r="AI33" s="65" t="n"/>
      <c r="AJ33" s="65" t="n"/>
      <c r="AK33" s="65" t="n"/>
      <c r="AL33" s="65" t="n"/>
      <c r="AM33" s="65" t="n"/>
      <c r="AN33" s="65" t="n"/>
      <c r="AO33" s="65" t="n"/>
      <c r="AP33" s="65" t="n"/>
    </row>
    <row r="34">
      <c r="A34" s="0" t="inlineStr">
        <is>
          <t>R2.10</t>
        </is>
      </c>
      <c r="B34" s="1" t="inlineStr">
        <is>
          <t>アヴニール山鳥C</t>
        </is>
      </c>
      <c r="C34" s="2" t="inlineStr">
        <is>
          <t>積水不動産</t>
        </is>
      </c>
      <c r="D34" s="1" t="inlineStr">
        <is>
          <t>塗装</t>
        </is>
      </c>
      <c r="E34" s="2" t="inlineStr">
        <is>
          <t>9月</t>
        </is>
      </c>
      <c r="F34" s="68" t="n">
        <v>1873000</v>
      </c>
      <c r="G34" s="68">
        <f>IF(B34="","",F34-I34 )</f>
        <v/>
      </c>
      <c r="H34" s="5">
        <f>IF(G34="","",G34/F34)</f>
        <v/>
      </c>
      <c r="I34" s="62">
        <f>SUM(テーブル92[[#This Row],[五大]:[工場材]])</f>
        <v/>
      </c>
      <c r="J34" s="65" t="n"/>
      <c r="K34" s="64" t="n"/>
      <c r="L34" s="64" t="n">
        <v>280000</v>
      </c>
      <c r="M34" s="64" t="n">
        <v>800000</v>
      </c>
      <c r="N34" s="65" t="n"/>
      <c r="O34" s="65" t="n"/>
      <c r="P34" s="64" t="n">
        <v>35000</v>
      </c>
      <c r="Q34" s="64" t="n">
        <v>35000</v>
      </c>
      <c r="R34" s="65" t="n"/>
      <c r="S34" s="64">
        <f>11300+68900</f>
        <v/>
      </c>
      <c r="T34" s="64" t="n"/>
      <c r="U34" s="65" t="n"/>
      <c r="V34" s="77" t="n"/>
      <c r="W34" s="65" t="n"/>
      <c r="X34" s="65" t="n"/>
      <c r="Y34" s="65" t="n">
        <v>0</v>
      </c>
      <c r="Z34" s="65" t="n"/>
      <c r="AA34" s="65" t="n"/>
      <c r="AB34" s="65" t="n"/>
      <c r="AC34" s="65" t="n"/>
      <c r="AD34" s="65" t="n"/>
      <c r="AE34" s="65" t="n"/>
      <c r="AF34" s="65" t="n"/>
      <c r="AG34" s="65" t="n"/>
      <c r="AH34" s="65" t="n"/>
      <c r="AI34" s="65" t="n"/>
      <c r="AJ34" s="65" t="n"/>
      <c r="AK34" s="65" t="n"/>
      <c r="AL34" s="65" t="n"/>
      <c r="AM34" s="65" t="n"/>
      <c r="AN34" s="65" t="n"/>
      <c r="AO34" s="65" t="n"/>
      <c r="AP34" s="65" t="n"/>
    </row>
    <row r="35">
      <c r="B35" s="1" t="inlineStr">
        <is>
          <t>KUBO HOUSE</t>
        </is>
      </c>
      <c r="C35" s="2" t="inlineStr">
        <is>
          <t>積水不動産</t>
        </is>
      </c>
      <c r="D35" s="1" t="inlineStr">
        <is>
          <t>塗装</t>
        </is>
      </c>
      <c r="E35" s="2" t="inlineStr">
        <is>
          <t>9月</t>
        </is>
      </c>
      <c r="F35" s="68" t="n">
        <v>1453000</v>
      </c>
      <c r="G35" s="68">
        <f>IF(B35="","",F35-I35 )</f>
        <v/>
      </c>
      <c r="H35" s="5">
        <f>IF(G35="","",G35/F35)</f>
        <v/>
      </c>
      <c r="I35" s="62">
        <f>SUM(テーブル92[[#This Row],[五大]:[工場材]])</f>
        <v/>
      </c>
      <c r="J35" s="64" t="n">
        <v>220000</v>
      </c>
      <c r="K35" s="65" t="n"/>
      <c r="L35" s="65" t="n"/>
      <c r="M35" s="64" t="n">
        <v>700000</v>
      </c>
      <c r="N35" s="65" t="n"/>
      <c r="O35" s="65" t="n"/>
      <c r="P35" s="64">
        <f>53*700</f>
        <v/>
      </c>
      <c r="Q35" s="64" t="n">
        <v>35000</v>
      </c>
      <c r="R35" s="65" t="n"/>
      <c r="S35" s="64">
        <f>6400+6000+76500</f>
        <v/>
      </c>
      <c r="T35" s="64" t="n"/>
      <c r="U35" s="64" t="n"/>
      <c r="V35" s="77" t="n"/>
      <c r="W35" s="65" t="n"/>
      <c r="X35" s="65" t="n"/>
      <c r="Y35" s="64" t="n">
        <v>16000</v>
      </c>
      <c r="Z35" s="64" t="n"/>
      <c r="AA35" s="65" t="n"/>
      <c r="AB35" s="65" t="n"/>
      <c r="AC35" s="65" t="n"/>
      <c r="AD35" s="65" t="n"/>
      <c r="AE35" s="65" t="n"/>
      <c r="AF35" s="65" t="n"/>
      <c r="AG35" s="65" t="n"/>
      <c r="AH35" s="65" t="n"/>
      <c r="AI35" s="64" t="n">
        <v>15000</v>
      </c>
      <c r="AJ35" s="65" t="n"/>
      <c r="AK35" s="65" t="n"/>
      <c r="AL35" s="65" t="n"/>
      <c r="AM35" s="65" t="n"/>
      <c r="AN35" s="65" t="n"/>
      <c r="AO35" s="65" t="n"/>
      <c r="AP35" s="65" t="n"/>
    </row>
    <row r="36" hidden="1" s="49">
      <c r="B36" s="1" t="inlineStr">
        <is>
          <t>利府 安藤邸</t>
        </is>
      </c>
      <c r="C36" s="2" t="inlineStr">
        <is>
          <t>サステム</t>
        </is>
      </c>
      <c r="D36" s="1" t="inlineStr">
        <is>
          <t>サステム　UB入替</t>
        </is>
      </c>
      <c r="F36" s="68" t="n">
        <v>711000</v>
      </c>
      <c r="G36" s="68">
        <f>IF(B36="","",F36-I36 )</f>
        <v/>
      </c>
      <c r="H36" s="5">
        <f>IF(G36="","",G36/F36)</f>
        <v/>
      </c>
      <c r="I36" s="62">
        <f>SUM(テーブル92[[#This Row],[五大]:[工場材]])</f>
        <v/>
      </c>
      <c r="J36" s="64" t="n"/>
      <c r="K36" s="65" t="n"/>
      <c r="L36" s="65" t="n"/>
      <c r="M36" s="65" t="n"/>
      <c r="N36" s="65" t="n"/>
      <c r="O36" s="65" t="n"/>
      <c r="P36" s="64" t="n"/>
      <c r="Q36" s="65" t="n"/>
      <c r="R36" s="65" t="n"/>
      <c r="S36" s="64" t="n"/>
      <c r="T36" s="64" t="n"/>
      <c r="U36" s="64" t="n">
        <v>150000</v>
      </c>
      <c r="V36" s="77" t="n">
        <v>22507</v>
      </c>
      <c r="W36" s="65" t="n"/>
      <c r="X36" s="65" t="n"/>
      <c r="Y36" s="64" t="n">
        <v>90000</v>
      </c>
      <c r="Z36" s="64" t="n">
        <v>137000</v>
      </c>
      <c r="AA36" s="65" t="n"/>
      <c r="AB36" s="65" t="n"/>
      <c r="AC36" s="65" t="n"/>
      <c r="AD36" s="65" t="n"/>
      <c r="AE36" s="65" t="n">
        <v>35000</v>
      </c>
      <c r="AF36" s="65" t="n"/>
      <c r="AG36" s="65" t="n"/>
      <c r="AH36" s="65" t="n"/>
      <c r="AI36" s="65" t="n"/>
      <c r="AJ36" s="65" t="n"/>
      <c r="AK36" s="65" t="n"/>
      <c r="AL36" s="65" t="n"/>
      <c r="AM36" s="65" t="n"/>
      <c r="AN36" s="65" t="n"/>
      <c r="AO36" s="65" t="n"/>
      <c r="AP36" s="65" t="n"/>
    </row>
    <row r="37" hidden="1" s="49">
      <c r="B37" s="1" t="inlineStr">
        <is>
          <t>高森 庄子邸</t>
        </is>
      </c>
      <c r="C37" s="2" t="inlineStr">
        <is>
          <t>LIXIL</t>
        </is>
      </c>
      <c r="D37" s="1" t="inlineStr">
        <is>
          <t>和室改修</t>
        </is>
      </c>
      <c r="E37" s="2" t="inlineStr">
        <is>
          <t>10月</t>
        </is>
      </c>
      <c r="F37" s="68" t="n">
        <v>614000</v>
      </c>
      <c r="G37" s="68">
        <f>IF(B37="","",F37-I37 )</f>
        <v/>
      </c>
      <c r="H37" s="5">
        <f>IF(G37="","",G37/F37)</f>
        <v/>
      </c>
      <c r="I37" s="62">
        <f>SUM(テーブル92[[#This Row],[五大]:[工場材]])</f>
        <v/>
      </c>
      <c r="J37" s="65" t="n"/>
      <c r="K37" s="65" t="n"/>
      <c r="L37" s="65" t="n"/>
      <c r="M37" s="65" t="n"/>
      <c r="N37" s="65" t="n"/>
      <c r="O37" s="65" t="n"/>
      <c r="P37" s="65" t="n"/>
      <c r="Q37" s="65" t="n"/>
      <c r="R37" s="65" t="n"/>
      <c r="S37" s="64" t="n"/>
      <c r="T37" s="64" t="n"/>
      <c r="U37" s="64" t="n">
        <v>200000</v>
      </c>
      <c r="V37" s="77" t="n">
        <v>41555</v>
      </c>
      <c r="W37" s="64" t="n">
        <v>110000</v>
      </c>
      <c r="X37" s="65" t="n"/>
      <c r="Y37" s="65" t="n"/>
      <c r="Z37" s="65" t="n"/>
      <c r="AA37" s="65" t="n"/>
      <c r="AB37" s="65" t="n"/>
      <c r="AC37" s="65" t="n"/>
      <c r="AD37" s="65" t="n"/>
      <c r="AE37" s="65" t="n">
        <v>50000</v>
      </c>
      <c r="AF37" s="65" t="n"/>
      <c r="AG37" s="65" t="n"/>
      <c r="AH37" s="65" t="n"/>
      <c r="AI37" s="65" t="n"/>
      <c r="AJ37" s="65" t="n"/>
      <c r="AK37" s="65" t="n"/>
      <c r="AL37" s="65" t="n"/>
      <c r="AM37" s="65" t="n"/>
      <c r="AN37" s="65" t="n"/>
      <c r="AO37" s="65" t="n"/>
      <c r="AP37" s="65" t="n"/>
    </row>
    <row r="38" hidden="1" s="49">
      <c r="B38" s="22" t="inlineStr">
        <is>
          <t>合計</t>
        </is>
      </c>
      <c r="C38" s="12" t="n"/>
      <c r="F38" s="67">
        <f>SUBTOTAL(109,F34:F37)</f>
        <v/>
      </c>
      <c r="G38" s="67">
        <f>SUBTOTAL(109,G34:G37)</f>
        <v/>
      </c>
      <c r="H38" s="14">
        <f>IF(G38="","",G38/F38)</f>
        <v/>
      </c>
      <c r="I38" s="67">
        <f>SUBTOTAL(109,I34:I37)</f>
        <v/>
      </c>
      <c r="J38" s="65" t="n"/>
      <c r="K38" s="64" t="n"/>
      <c r="L38" s="64" t="n"/>
      <c r="M38" s="65" t="n"/>
      <c r="N38" s="65" t="n"/>
      <c r="O38" s="65" t="n"/>
      <c r="P38" s="65" t="n"/>
      <c r="Q38" s="64" t="n"/>
      <c r="R38" s="65" t="n"/>
      <c r="S38" s="64" t="n"/>
      <c r="T38" s="64" t="n"/>
      <c r="U38" s="65" t="n"/>
      <c r="V38" s="77" t="n"/>
      <c r="W38" s="65" t="n"/>
      <c r="X38" s="65" t="n"/>
      <c r="Y38" s="65" t="n"/>
      <c r="Z38" s="65" t="n"/>
      <c r="AA38" s="65" t="n"/>
      <c r="AB38" s="65" t="n"/>
      <c r="AC38" s="65" t="n"/>
      <c r="AD38" s="65" t="n"/>
      <c r="AE38" s="65" t="n"/>
      <c r="AF38" s="65" t="n"/>
      <c r="AG38" s="65" t="n"/>
      <c r="AH38" s="65" t="n"/>
      <c r="AI38" s="65" t="n"/>
      <c r="AJ38" s="65" t="n"/>
      <c r="AK38" s="65" t="n"/>
      <c r="AL38" s="65" t="n"/>
      <c r="AM38" s="65" t="n"/>
      <c r="AN38" s="65" t="n"/>
      <c r="AO38" s="65" t="n"/>
      <c r="AP38" s="65" t="n"/>
    </row>
    <row r="39" hidden="1" s="49">
      <c r="F39" s="68" t="n"/>
      <c r="G39" s="68">
        <f>IF(B39="","",F39-I39 )</f>
        <v/>
      </c>
      <c r="H39" s="5">
        <f>IF(G39="","",G39/F39)</f>
        <v/>
      </c>
      <c r="J39" s="65" t="n"/>
      <c r="K39" s="65" t="n"/>
      <c r="L39" s="65" t="n"/>
      <c r="M39" s="65" t="n"/>
      <c r="N39" s="65" t="n"/>
      <c r="O39" s="65" t="n"/>
      <c r="P39" s="65" t="n"/>
      <c r="Q39" s="65" t="n"/>
      <c r="R39" s="65" t="n"/>
      <c r="S39" s="64" t="n"/>
      <c r="T39" s="64" t="n"/>
      <c r="U39" s="65" t="n"/>
      <c r="V39" s="77" t="n"/>
      <c r="W39" s="65" t="n"/>
      <c r="X39" s="65" t="n"/>
      <c r="Y39" s="65" t="n"/>
      <c r="Z39" s="65" t="n"/>
      <c r="AA39" s="65" t="n"/>
      <c r="AB39" s="65" t="n"/>
      <c r="AC39" s="65" t="n"/>
      <c r="AD39" s="65" t="n"/>
      <c r="AE39" s="65" t="n"/>
      <c r="AF39" s="65" t="n"/>
      <c r="AG39" s="65" t="n"/>
      <c r="AH39" s="65" t="n"/>
      <c r="AI39" s="65" t="n"/>
      <c r="AJ39" s="65" t="n"/>
      <c r="AK39" s="65" t="n"/>
      <c r="AL39" s="65" t="n"/>
      <c r="AM39" s="65" t="n"/>
      <c r="AN39" s="65" t="n"/>
      <c r="AO39" s="65" t="n"/>
      <c r="AP39" s="65" t="n"/>
    </row>
    <row r="40" hidden="1" s="49">
      <c r="F40" s="68" t="n"/>
      <c r="G40" s="68">
        <f>IF(B40="","",F40-I40 )</f>
        <v/>
      </c>
      <c r="H40" s="5">
        <f>IF(G40="","",G40/F40)</f>
        <v/>
      </c>
      <c r="J40" s="65" t="n"/>
      <c r="K40" s="65" t="n"/>
      <c r="L40" s="65" t="n"/>
      <c r="M40" s="65" t="n"/>
      <c r="N40" s="65" t="n"/>
      <c r="O40" s="65" t="n"/>
      <c r="P40" s="65" t="n"/>
      <c r="Q40" s="65" t="n"/>
      <c r="R40" s="65" t="n"/>
      <c r="S40" s="64" t="n"/>
      <c r="T40" s="64" t="n"/>
      <c r="U40" s="65" t="n"/>
      <c r="V40" s="77" t="n"/>
      <c r="W40" s="65" t="n"/>
      <c r="X40" s="65" t="n"/>
      <c r="Y40" s="65" t="n"/>
      <c r="Z40" s="65" t="n"/>
      <c r="AA40" s="65" t="n"/>
      <c r="AB40" s="65" t="n"/>
      <c r="AC40" s="65" t="n"/>
      <c r="AD40" s="65" t="n"/>
      <c r="AE40" s="65" t="n"/>
      <c r="AF40" s="65" t="n"/>
      <c r="AG40" s="65" t="n"/>
      <c r="AH40" s="65" t="n"/>
      <c r="AI40" s="65" t="n"/>
      <c r="AJ40" s="65" t="n"/>
      <c r="AK40" s="65" t="n"/>
      <c r="AL40" s="65" t="n"/>
      <c r="AM40" s="65" t="n"/>
      <c r="AN40" s="65" t="n"/>
      <c r="AO40" s="65" t="n"/>
      <c r="AP40" s="65" t="n"/>
    </row>
    <row r="41">
      <c r="A41" s="0" t="inlineStr">
        <is>
          <t>R2.11</t>
        </is>
      </c>
      <c r="B41" s="1" t="inlineStr">
        <is>
          <t>ラフィネ萩の町</t>
        </is>
      </c>
      <c r="C41" s="2" t="inlineStr">
        <is>
          <t>積水不動産</t>
        </is>
      </c>
      <c r="D41" s="1" t="inlineStr">
        <is>
          <t>塗装</t>
        </is>
      </c>
      <c r="E41" s="2" t="inlineStr">
        <is>
          <t>10月</t>
        </is>
      </c>
      <c r="F41" s="68" t="n">
        <v>1091000</v>
      </c>
      <c r="G41" s="68">
        <f>IF(B41="","",F41-I41 )</f>
        <v/>
      </c>
      <c r="H41" s="5">
        <f>IF(G41="","",G41/F41)</f>
        <v/>
      </c>
      <c r="I41" s="62">
        <f>SUM(テーブル92[[#This Row],[五大]:[工場材]])</f>
        <v/>
      </c>
      <c r="J41" s="64" t="n"/>
      <c r="K41" s="64" t="n"/>
      <c r="L41" s="64" t="n">
        <v>209000</v>
      </c>
      <c r="M41" s="64" t="n">
        <v>550000</v>
      </c>
      <c r="N41" s="64" t="n"/>
      <c r="O41" s="65" t="n"/>
      <c r="P41" s="65" t="n">
        <v>25000</v>
      </c>
      <c r="Q41" s="65" t="n"/>
      <c r="R41" s="65" t="n"/>
      <c r="S41" s="64" t="n">
        <v>101100</v>
      </c>
      <c r="T41" s="64" t="n"/>
      <c r="U41" s="65" t="n"/>
      <c r="V41" s="77" t="n"/>
      <c r="W41" s="65" t="n"/>
      <c r="X41" s="65" t="n"/>
      <c r="Y41" s="65" t="n"/>
      <c r="Z41" s="65" t="n"/>
      <c r="AA41" s="65" t="n"/>
      <c r="AB41" s="65" t="n"/>
      <c r="AC41" s="65" t="n"/>
      <c r="AD41" s="65" t="n"/>
      <c r="AE41" s="65" t="n"/>
      <c r="AF41" s="65" t="n"/>
      <c r="AG41" s="65" t="n"/>
      <c r="AH41" s="65" t="n"/>
      <c r="AI41" s="65" t="n"/>
      <c r="AJ41" s="65" t="n"/>
      <c r="AK41" s="65" t="n"/>
      <c r="AL41" s="65" t="n"/>
      <c r="AM41" s="65" t="n"/>
      <c r="AN41" s="65" t="n"/>
      <c r="AO41" s="65" t="n"/>
      <c r="AP41" s="65" t="n"/>
    </row>
    <row r="42" hidden="1" s="49">
      <c r="B42" s="1" t="inlineStr">
        <is>
          <t>台原4貸家</t>
        </is>
      </c>
      <c r="C42" s="2" t="inlineStr">
        <is>
          <t>積水不動産</t>
        </is>
      </c>
      <c r="D42" s="1" t="inlineStr">
        <is>
          <t>リフォーム</t>
        </is>
      </c>
      <c r="E42" s="2" t="inlineStr">
        <is>
          <t>11月</t>
        </is>
      </c>
      <c r="F42" s="68" t="n">
        <v>153000</v>
      </c>
      <c r="G42" s="68">
        <f>IF(B42="","",F42-I42 )</f>
        <v/>
      </c>
      <c r="H42" s="5">
        <f>IF(G42="","",G42/F42)</f>
        <v/>
      </c>
      <c r="I42" s="62">
        <f>SUM(テーブル92[[#This Row],[五大]:[工場材]])</f>
        <v/>
      </c>
      <c r="J42" s="64" t="n"/>
      <c r="K42" s="64" t="n"/>
      <c r="L42" s="64" t="n"/>
      <c r="M42" s="64" t="n"/>
      <c r="N42" s="64" t="n"/>
      <c r="O42" s="65" t="n"/>
      <c r="P42" s="65" t="n"/>
      <c r="Q42" s="65" t="n"/>
      <c r="R42" s="65" t="n"/>
      <c r="S42" s="64" t="n"/>
      <c r="T42" s="64" t="n"/>
      <c r="U42" s="65" t="n"/>
      <c r="V42" s="77" t="n"/>
      <c r="W42" s="65" t="n"/>
      <c r="X42" s="65" t="n"/>
      <c r="Y42" s="65" t="n"/>
      <c r="Z42" s="65" t="n"/>
      <c r="AA42" s="65" t="n"/>
      <c r="AB42" s="65" t="n"/>
      <c r="AC42" s="65" t="n"/>
      <c r="AD42" s="65" t="n"/>
      <c r="AE42" s="65" t="n"/>
      <c r="AF42" s="65" t="n"/>
      <c r="AG42" s="65" t="n"/>
      <c r="AH42" s="65" t="n"/>
      <c r="AI42" s="65" t="n"/>
      <c r="AJ42" s="65" t="n"/>
      <c r="AK42" s="65" t="n"/>
      <c r="AL42" s="65" t="n"/>
      <c r="AM42" s="65" t="n"/>
      <c r="AN42" s="65" t="n"/>
      <c r="AO42" s="65" t="n"/>
      <c r="AP42" s="65" t="n"/>
    </row>
    <row r="43">
      <c r="B43" s="1" t="inlineStr">
        <is>
          <t>シャンパーニュ勝山</t>
        </is>
      </c>
      <c r="C43" s="2" t="inlineStr">
        <is>
          <t>積水不動産</t>
        </is>
      </c>
      <c r="D43" s="1" t="inlineStr">
        <is>
          <t>塗装</t>
        </is>
      </c>
      <c r="E43" s="2" t="inlineStr">
        <is>
          <t>10月</t>
        </is>
      </c>
      <c r="F43" s="68" t="n">
        <v>1540000</v>
      </c>
      <c r="G43" s="68">
        <f>IF(B43="","",F43-I43 )</f>
        <v/>
      </c>
      <c r="H43" s="5">
        <f>IF(G43="","",G43/F43)</f>
        <v/>
      </c>
      <c r="I43" s="62">
        <f>SUM(テーブル92[[#This Row],[五大]:[工場材]])</f>
        <v/>
      </c>
      <c r="J43" s="64" t="n"/>
      <c r="K43" s="64" t="n">
        <v>214500</v>
      </c>
      <c r="L43" s="64" t="n"/>
      <c r="M43" s="64" t="n"/>
      <c r="N43" s="64" t="n">
        <v>650000</v>
      </c>
      <c r="O43" s="65" t="n"/>
      <c r="P43" s="64">
        <f>67*700</f>
        <v/>
      </c>
      <c r="Q43" s="64" t="n">
        <v>35000</v>
      </c>
      <c r="R43" s="65" t="n"/>
      <c r="S43" s="64">
        <f>44000</f>
        <v/>
      </c>
      <c r="T43" s="64" t="n"/>
      <c r="U43" s="65" t="n"/>
      <c r="V43" s="77" t="n"/>
      <c r="W43" s="65" t="n"/>
      <c r="X43" s="65" t="n"/>
      <c r="Y43" s="65" t="n"/>
      <c r="Z43" s="65" t="n"/>
      <c r="AA43" s="65" t="n"/>
      <c r="AB43" s="65" t="n"/>
      <c r="AC43" s="65" t="n"/>
      <c r="AD43" s="65" t="n"/>
      <c r="AE43" s="65" t="n"/>
      <c r="AF43" s="65" t="n"/>
      <c r="AG43" s="65" t="n"/>
      <c r="AH43" s="65" t="n"/>
      <c r="AI43" s="64" t="n">
        <v>10000</v>
      </c>
      <c r="AJ43" s="65" t="n"/>
      <c r="AK43" s="65" t="n"/>
      <c r="AL43" s="65" t="n"/>
      <c r="AM43" s="65" t="n"/>
      <c r="AN43" s="65" t="n"/>
      <c r="AO43" s="65" t="n"/>
      <c r="AP43" s="65" t="n"/>
    </row>
    <row r="44" hidden="1" s="49">
      <c r="B44" s="1" t="inlineStr">
        <is>
          <t>鷹の森 戸建て</t>
        </is>
      </c>
      <c r="C44" s="2" t="inlineStr">
        <is>
          <t>積水不動産</t>
        </is>
      </c>
      <c r="D44" s="1" t="inlineStr">
        <is>
          <t>LIXIL　UB</t>
        </is>
      </c>
      <c r="E44" s="2" t="inlineStr">
        <is>
          <t>10月</t>
        </is>
      </c>
      <c r="F44" s="68" t="n">
        <v>474300</v>
      </c>
      <c r="G44" s="68">
        <f>IF(B44="","",F44-I44 )</f>
        <v/>
      </c>
      <c r="H44" s="5">
        <f>IF(G44="","",G44/F44)</f>
        <v/>
      </c>
      <c r="I44" s="62">
        <f>SUM(テーブル92[[#This Row],[五大]:[工場材]])</f>
        <v/>
      </c>
      <c r="J44" s="64" t="n"/>
      <c r="K44" s="64" t="n"/>
      <c r="L44" s="64" t="n"/>
      <c r="M44" s="64" t="n"/>
      <c r="N44" s="64" t="n"/>
      <c r="O44" s="65" t="n"/>
      <c r="P44" s="65" t="n"/>
      <c r="Q44" s="65" t="n"/>
      <c r="R44" s="65" t="n"/>
      <c r="S44" s="64" t="n"/>
      <c r="T44" s="64" t="n"/>
      <c r="U44" s="64" t="n">
        <v>150000</v>
      </c>
      <c r="V44" s="77" t="n">
        <v>22075</v>
      </c>
      <c r="W44" s="65" t="n"/>
      <c r="X44" s="65" t="n"/>
      <c r="Y44" s="64" t="n">
        <v>60000</v>
      </c>
      <c r="Z44" s="64" t="n">
        <v>130000</v>
      </c>
      <c r="AA44" s="65" t="n"/>
      <c r="AB44" s="65" t="n"/>
      <c r="AC44" s="65" t="n"/>
      <c r="AD44" s="65" t="n"/>
      <c r="AE44" s="65" t="n">
        <v>18000</v>
      </c>
      <c r="AF44" s="65" t="n"/>
      <c r="AG44" s="65" t="n"/>
      <c r="AH44" s="65" t="n"/>
      <c r="AI44" s="65" t="n"/>
      <c r="AJ44" s="65" t="n"/>
      <c r="AK44" s="65" t="n"/>
      <c r="AL44" s="65" t="n"/>
      <c r="AM44" s="65" t="n"/>
      <c r="AN44" s="65" t="n">
        <v>3000</v>
      </c>
      <c r="AO44" s="65" t="n"/>
      <c r="AP44" s="65" t="n"/>
    </row>
    <row r="45">
      <c r="B45" s="1" t="inlineStr">
        <is>
          <t>クレイヒルズ</t>
        </is>
      </c>
      <c r="C45" s="2" t="inlineStr">
        <is>
          <t>積水不動産</t>
        </is>
      </c>
      <c r="D45" s="1" t="inlineStr">
        <is>
          <t>塗装</t>
        </is>
      </c>
      <c r="E45" s="2" t="inlineStr">
        <is>
          <t>10月</t>
        </is>
      </c>
      <c r="F45" s="68" t="n">
        <v>1520000</v>
      </c>
      <c r="G45" s="68">
        <f>IF(B45="","",F45-I45 )</f>
        <v/>
      </c>
      <c r="H45" s="5">
        <f>IF(G45="","",G45/F45)</f>
        <v/>
      </c>
      <c r="I45" s="62">
        <f>SUM(テーブル92[[#This Row],[五大]:[工場材]])</f>
        <v/>
      </c>
      <c r="J45" s="64" t="n"/>
      <c r="K45" s="64" t="n">
        <v>208000</v>
      </c>
      <c r="L45" s="64" t="n"/>
      <c r="M45" s="64" t="n">
        <v>750000</v>
      </c>
      <c r="N45" s="64" t="n"/>
      <c r="O45" s="65" t="n"/>
      <c r="P45" s="64">
        <f>42*700</f>
        <v/>
      </c>
      <c r="Q45" s="64" t="n">
        <v>35000</v>
      </c>
      <c r="R45" s="65" t="n"/>
      <c r="S45" s="64">
        <f>95900+38100</f>
        <v/>
      </c>
      <c r="T45" s="64" t="n"/>
      <c r="U45" s="65" t="n"/>
      <c r="V45" s="77" t="n"/>
      <c r="W45" s="65" t="n"/>
      <c r="X45" s="65" t="n"/>
      <c r="Y45" s="65" t="n"/>
      <c r="Z45" s="65" t="n"/>
      <c r="AA45" s="65" t="n"/>
      <c r="AB45" s="65" t="n"/>
      <c r="AC45" s="65" t="n"/>
      <c r="AD45" s="65" t="n"/>
      <c r="AE45" s="65" t="n"/>
      <c r="AF45" s="65" t="n"/>
      <c r="AG45" s="65" t="n"/>
      <c r="AH45" s="65" t="n"/>
      <c r="AI45" s="65" t="n"/>
      <c r="AJ45" s="65" t="n"/>
      <c r="AK45" s="65" t="n"/>
      <c r="AL45" s="65" t="n"/>
      <c r="AM45" s="65" t="n"/>
      <c r="AN45" s="65" t="n"/>
      <c r="AO45" s="65" t="n"/>
      <c r="AP45" s="65" t="n"/>
    </row>
    <row r="46">
      <c r="B46" s="1" t="inlineStr">
        <is>
          <t>ウッディベル</t>
        </is>
      </c>
      <c r="C46" s="2" t="inlineStr">
        <is>
          <t>積水不動産</t>
        </is>
      </c>
      <c r="D46" s="1" t="inlineStr">
        <is>
          <t>塗装（吹付）</t>
        </is>
      </c>
      <c r="E46" s="2" t="inlineStr">
        <is>
          <t>10月</t>
        </is>
      </c>
      <c r="F46" s="68" t="n">
        <v>1980000</v>
      </c>
      <c r="G46" s="68">
        <f>IF(B46="","",F46-I46 )</f>
        <v/>
      </c>
      <c r="H46" s="5">
        <f>IF(G46="","",G46/F46)</f>
        <v/>
      </c>
      <c r="I46" s="62">
        <f>SUM(テーブル92[[#This Row],[五大]:[工場材]])</f>
        <v/>
      </c>
      <c r="J46" s="64" t="n">
        <v>215000</v>
      </c>
      <c r="K46" s="64" t="n"/>
      <c r="L46" s="64" t="n"/>
      <c r="M46" s="65" t="n">
        <v>850000</v>
      </c>
      <c r="N46" s="65" t="n"/>
      <c r="O46" s="65" t="n"/>
      <c r="P46" s="64">
        <f>69*700</f>
        <v/>
      </c>
      <c r="Q46" s="64" t="n">
        <v>35000</v>
      </c>
      <c r="R46" s="65" t="n"/>
      <c r="S46" s="64">
        <f>175000+95600+23900+5900+11250</f>
        <v/>
      </c>
      <c r="T46" s="64" t="n"/>
      <c r="U46" s="64" t="n">
        <v>40000</v>
      </c>
      <c r="V46" s="77" t="n"/>
      <c r="W46" s="65" t="n"/>
      <c r="X46" s="65" t="n"/>
      <c r="Y46" s="65" t="n"/>
      <c r="Z46" s="65" t="n"/>
      <c r="AA46" s="65" t="n"/>
      <c r="AB46" s="65" t="n"/>
      <c r="AC46" s="65" t="n"/>
      <c r="AD46" s="65" t="n"/>
      <c r="AE46" s="65" t="n"/>
      <c r="AF46" s="65" t="n"/>
      <c r="AG46" s="65" t="n"/>
      <c r="AH46" s="65" t="n"/>
      <c r="AI46" s="65" t="n"/>
      <c r="AJ46" s="65" t="n"/>
      <c r="AK46" s="65" t="n"/>
      <c r="AL46" s="65" t="n"/>
      <c r="AM46" s="65" t="n"/>
      <c r="AN46" s="65" t="n"/>
      <c r="AO46" s="65" t="n"/>
      <c r="AP46" s="65" t="n">
        <v>0</v>
      </c>
      <c r="AQ46" s="0" t="inlineStr">
        <is>
          <t>樋交換</t>
        </is>
      </c>
    </row>
    <row r="47" hidden="1" s="49">
      <c r="B47" s="1" t="inlineStr">
        <is>
          <t>鶴ケ谷 丹野邸</t>
        </is>
      </c>
      <c r="C47" s="2" t="inlineStr">
        <is>
          <t>サステム</t>
        </is>
      </c>
      <c r="D47" s="1" t="inlineStr">
        <is>
          <t>サステム　換気扇交換</t>
        </is>
      </c>
      <c r="E47" s="2" t="inlineStr">
        <is>
          <t>10月</t>
        </is>
      </c>
      <c r="F47" s="68" t="n">
        <v>76000</v>
      </c>
      <c r="G47" s="68">
        <f>IF(B47="","",F47-I47 )</f>
        <v/>
      </c>
      <c r="H47" s="5">
        <f>IF(G47="","",G47/F47)</f>
        <v/>
      </c>
      <c r="I47" s="62">
        <f>SUM(テーブル92[[#This Row],[五大]:[工場材]])</f>
        <v/>
      </c>
      <c r="J47" s="64" t="n"/>
      <c r="K47" s="64" t="n"/>
      <c r="L47" s="64" t="n"/>
      <c r="M47" s="65" t="n"/>
      <c r="N47" s="65" t="n"/>
      <c r="O47" s="65" t="n"/>
      <c r="P47" s="64" t="n"/>
      <c r="Q47" s="65" t="n"/>
      <c r="R47" s="65" t="n"/>
      <c r="S47" s="64" t="n"/>
      <c r="T47" s="64" t="n"/>
      <c r="U47" s="64" t="n">
        <v>20000</v>
      </c>
      <c r="V47" s="77" t="n"/>
      <c r="W47" s="64" t="n"/>
      <c r="X47" s="64" t="n"/>
      <c r="Y47" s="64" t="n">
        <v>40000</v>
      </c>
      <c r="Z47" s="65" t="n"/>
      <c r="AA47" s="65" t="n"/>
      <c r="AB47" s="65" t="n"/>
      <c r="AC47" s="65" t="n"/>
      <c r="AD47" s="65" t="n"/>
      <c r="AE47" s="65" t="n"/>
      <c r="AF47" s="65" t="n"/>
      <c r="AG47" s="65" t="n"/>
      <c r="AH47" s="65" t="n"/>
      <c r="AI47" s="65" t="n"/>
      <c r="AJ47" s="65" t="n"/>
      <c r="AK47" s="65" t="n"/>
      <c r="AL47" s="65" t="n"/>
      <c r="AM47" s="65" t="n"/>
      <c r="AN47" s="65" t="n"/>
      <c r="AO47" s="65" t="n"/>
      <c r="AP47" s="65" t="n"/>
    </row>
    <row r="48" hidden="1" s="49">
      <c r="B48" s="1" t="inlineStr">
        <is>
          <t>西ノ平 楠木亭</t>
        </is>
      </c>
      <c r="C48" s="2" t="inlineStr">
        <is>
          <t>サステム</t>
        </is>
      </c>
      <c r="D48" s="1" t="inlineStr">
        <is>
          <t>サステム　便所改造</t>
        </is>
      </c>
      <c r="E48" s="2" t="inlineStr">
        <is>
          <t>10月</t>
        </is>
      </c>
      <c r="F48" s="68" t="n">
        <v>167000</v>
      </c>
      <c r="G48" s="68">
        <f>IF(B48="","",F48-I48 )</f>
        <v/>
      </c>
      <c r="H48" s="5">
        <f>IF(G48="","",G48/F48)</f>
        <v/>
      </c>
      <c r="I48" s="62">
        <f>SUM(テーブル92[[#This Row],[五大]:[工場材]])</f>
        <v/>
      </c>
      <c r="J48" s="64" t="n"/>
      <c r="K48" s="64" t="n"/>
      <c r="L48" s="64" t="n"/>
      <c r="M48" s="65" t="n"/>
      <c r="N48" s="65" t="n"/>
      <c r="O48" s="65" t="n"/>
      <c r="P48" s="65" t="n"/>
      <c r="Q48" s="65" t="n"/>
      <c r="R48" s="65" t="n"/>
      <c r="S48" s="64" t="n"/>
      <c r="T48" s="64" t="n"/>
      <c r="U48" s="64" t="n">
        <v>90000</v>
      </c>
      <c r="V48" s="77" t="n"/>
      <c r="W48" s="65" t="n"/>
      <c r="X48" s="65" t="n"/>
      <c r="Y48" s="65" t="n"/>
      <c r="Z48" s="64" t="n">
        <v>18000</v>
      </c>
      <c r="AA48" s="65" t="n"/>
      <c r="AB48" s="65" t="n"/>
      <c r="AC48" s="65" t="n"/>
      <c r="AD48" s="65" t="n"/>
      <c r="AE48" s="65" t="n">
        <v>15000</v>
      </c>
      <c r="AF48" s="65" t="n"/>
      <c r="AG48" s="65" t="n"/>
      <c r="AH48" s="65" t="n"/>
      <c r="AI48" s="65" t="n"/>
      <c r="AJ48" s="65" t="n"/>
      <c r="AK48" s="65" t="n"/>
      <c r="AL48" s="65" t="n"/>
      <c r="AM48" s="65" t="n"/>
      <c r="AN48" s="65" t="n"/>
      <c r="AO48" s="65" t="n"/>
      <c r="AP48" s="65" t="n"/>
    </row>
    <row r="49" hidden="1" s="49">
      <c r="B49" s="22" t="inlineStr">
        <is>
          <t>合計</t>
        </is>
      </c>
      <c r="C49" s="12" t="n"/>
      <c r="F49" s="67">
        <f>SUBTOTAL(109,F45:F48)</f>
        <v/>
      </c>
      <c r="G49" s="67">
        <f>SUBTOTAL(109,G45:G48)</f>
        <v/>
      </c>
      <c r="H49" s="14">
        <f>IF(G49="","",G49/F49)</f>
        <v/>
      </c>
      <c r="I49" s="67">
        <f>SUBTOTAL(109,I45:I48)</f>
        <v/>
      </c>
      <c r="J49" s="65" t="n"/>
      <c r="K49" s="64" t="n"/>
      <c r="L49" s="64" t="n"/>
      <c r="M49" s="65" t="n"/>
      <c r="N49" s="65" t="n"/>
      <c r="O49" s="65" t="n"/>
      <c r="P49" s="65" t="n"/>
      <c r="Q49" s="64" t="n"/>
      <c r="R49" s="65" t="n"/>
      <c r="S49" s="64" t="n"/>
      <c r="T49" s="64" t="n"/>
      <c r="U49" s="65" t="n"/>
      <c r="V49" s="77" t="n"/>
      <c r="W49" s="65" t="n"/>
      <c r="X49" s="65" t="n"/>
      <c r="Y49" s="65" t="n"/>
      <c r="Z49" s="65" t="n"/>
      <c r="AA49" s="65" t="n"/>
      <c r="AB49" s="65" t="n"/>
      <c r="AC49" s="65" t="n"/>
      <c r="AD49" s="65" t="n"/>
      <c r="AE49" s="65" t="n"/>
      <c r="AF49" s="65" t="n"/>
      <c r="AG49" s="65" t="n"/>
      <c r="AH49" s="65" t="n"/>
      <c r="AI49" s="65" t="n"/>
      <c r="AJ49" s="65" t="n"/>
      <c r="AK49" s="65" t="n"/>
      <c r="AL49" s="65" t="n"/>
      <c r="AM49" s="65" t="n"/>
      <c r="AN49" s="65" t="n"/>
      <c r="AO49" s="65" t="n"/>
      <c r="AP49" s="65" t="n"/>
    </row>
    <row r="50" hidden="1" s="49">
      <c r="F50" s="68" t="n"/>
      <c r="G50" s="68">
        <f>IF(B50="","",F50-I50 )</f>
        <v/>
      </c>
      <c r="H50" s="5">
        <f>IF(G50="","",G50/F50)</f>
        <v/>
      </c>
      <c r="J50" s="64" t="n"/>
      <c r="K50" s="64" t="n"/>
      <c r="L50" s="64" t="n"/>
      <c r="M50" s="65" t="n"/>
      <c r="N50" s="65" t="n"/>
      <c r="O50" s="65" t="n"/>
      <c r="P50" s="65" t="n"/>
      <c r="Q50" s="65" t="n"/>
      <c r="R50" s="65" t="n"/>
      <c r="S50" s="64" t="n"/>
      <c r="T50" s="64" t="n"/>
      <c r="U50" s="64" t="n"/>
      <c r="V50" s="77" t="n"/>
      <c r="W50" s="65" t="n"/>
      <c r="X50" s="65" t="n"/>
      <c r="Y50" s="65" t="n"/>
      <c r="Z50" s="64" t="n"/>
      <c r="AA50" s="65" t="n"/>
      <c r="AB50" s="65" t="n"/>
      <c r="AC50" s="65" t="n"/>
      <c r="AD50" s="65" t="n"/>
      <c r="AE50" s="65" t="n"/>
      <c r="AF50" s="65" t="n"/>
      <c r="AG50" s="65" t="n"/>
      <c r="AH50" s="65" t="n"/>
      <c r="AI50" s="65" t="n"/>
      <c r="AJ50" s="65" t="n"/>
      <c r="AK50" s="65" t="n"/>
      <c r="AL50" s="65" t="n"/>
      <c r="AM50" s="65" t="n"/>
      <c r="AN50" s="65" t="n"/>
      <c r="AO50" s="65" t="n"/>
      <c r="AP50" s="65" t="n"/>
    </row>
    <row r="51" hidden="1" s="49">
      <c r="F51" s="68" t="n"/>
      <c r="G51" s="68">
        <f>IF(B51="","",F51-I51 )</f>
        <v/>
      </c>
      <c r="H51" s="5">
        <f>IF(G51="","",G51/F51)</f>
        <v/>
      </c>
      <c r="J51" s="65" t="n"/>
      <c r="K51" s="65" t="n"/>
      <c r="L51" s="65" t="n"/>
      <c r="M51" s="65" t="n"/>
      <c r="N51" s="65" t="n"/>
      <c r="O51" s="65" t="n"/>
      <c r="P51" s="65" t="n"/>
      <c r="Q51" s="65" t="n"/>
      <c r="R51" s="65" t="n"/>
      <c r="S51" s="64" t="n"/>
      <c r="T51" s="64" t="n"/>
      <c r="U51" s="65" t="n"/>
      <c r="V51" s="77" t="n"/>
      <c r="W51" s="65" t="n"/>
      <c r="X51" s="65" t="n"/>
      <c r="Y51" s="65" t="n"/>
      <c r="Z51" s="65" t="n"/>
      <c r="AA51" s="65" t="n"/>
      <c r="AB51" s="65" t="n"/>
      <c r="AC51" s="65" t="n"/>
      <c r="AD51" s="65" t="n"/>
      <c r="AE51" s="65" t="n"/>
      <c r="AF51" s="65" t="n"/>
      <c r="AG51" s="65" t="n"/>
      <c r="AH51" s="65" t="n"/>
      <c r="AI51" s="65" t="n"/>
      <c r="AJ51" s="65" t="n"/>
      <c r="AK51" s="65" t="n"/>
      <c r="AL51" s="65" t="n"/>
      <c r="AM51" s="65" t="n"/>
      <c r="AN51" s="65" t="n"/>
      <c r="AO51" s="65" t="n"/>
      <c r="AP51" s="65" t="n"/>
    </row>
    <row r="52" hidden="1" s="49">
      <c r="A52" s="0" t="inlineStr">
        <is>
          <t>R2.12</t>
        </is>
      </c>
      <c r="B52" s="1" t="inlineStr">
        <is>
          <t>名取 高橋邸</t>
        </is>
      </c>
      <c r="C52" s="2" t="inlineStr">
        <is>
          <t>サステム</t>
        </is>
      </c>
      <c r="D52" s="1" t="inlineStr">
        <is>
          <t>UB入替+外壁貼替</t>
        </is>
      </c>
      <c r="E52" s="2" t="inlineStr">
        <is>
          <t>11月</t>
        </is>
      </c>
      <c r="F52" s="68" t="n">
        <v>340000</v>
      </c>
      <c r="G52" s="68">
        <f>IF(B52="","",F52-I52 )</f>
        <v/>
      </c>
      <c r="H52" s="5">
        <f>IF(G52="","",G52/F52)</f>
        <v/>
      </c>
      <c r="I52" s="62">
        <f>SUM(テーブル92[[#This Row],[五大]:[工場材]])</f>
        <v/>
      </c>
      <c r="J52" s="65" t="n"/>
      <c r="K52" s="65" t="n"/>
      <c r="L52" s="65" t="n"/>
      <c r="M52" s="64" t="n">
        <v>40000</v>
      </c>
      <c r="N52" s="65" t="n"/>
      <c r="O52" s="65" t="n"/>
      <c r="P52" s="65" t="n"/>
      <c r="Q52" s="65" t="n"/>
      <c r="R52" s="65" t="n"/>
      <c r="S52" s="64" t="n"/>
      <c r="T52" s="64" t="n"/>
      <c r="U52" s="64" t="n">
        <v>170000</v>
      </c>
      <c r="V52" s="77" t="n">
        <v>17170</v>
      </c>
      <c r="W52" s="65" t="n"/>
      <c r="X52" s="65" t="n"/>
      <c r="Y52" s="64" t="n">
        <v>58000</v>
      </c>
      <c r="Z52" s="65" t="n"/>
      <c r="AA52" s="65" t="n"/>
      <c r="AB52" s="65" t="n"/>
      <c r="AC52" s="65" t="n"/>
      <c r="AD52" s="65" t="n"/>
      <c r="AE52" s="65" t="n"/>
      <c r="AF52" s="65" t="n"/>
      <c r="AG52" s="65" t="n"/>
      <c r="AH52" s="65" t="n"/>
      <c r="AI52" s="65" t="n"/>
      <c r="AJ52" s="65" t="n"/>
      <c r="AK52" s="64" t="n">
        <v>5000</v>
      </c>
      <c r="AL52" s="65" t="n"/>
      <c r="AM52" s="65" t="n"/>
      <c r="AN52" s="65" t="n"/>
      <c r="AO52" s="65" t="n"/>
      <c r="AP52" s="65" t="n"/>
    </row>
    <row r="53" hidden="1" s="49">
      <c r="B53" s="1" t="inlineStr">
        <is>
          <t>あけの平 今野邸</t>
        </is>
      </c>
      <c r="C53" s="2" t="inlineStr">
        <is>
          <t>LIXIL</t>
        </is>
      </c>
      <c r="D53" s="1" t="inlineStr">
        <is>
          <t>キッチン入替</t>
        </is>
      </c>
      <c r="E53" s="2" t="inlineStr">
        <is>
          <t>11月</t>
        </is>
      </c>
      <c r="F53" s="68" t="n">
        <v>216350</v>
      </c>
      <c r="G53" s="68">
        <f>IF(B53="","",F53-I53 )</f>
        <v/>
      </c>
      <c r="H53" s="5">
        <f>IF(G53="","",G53/F53)</f>
        <v/>
      </c>
      <c r="I53" s="62">
        <f>SUM(テーブル92[[#This Row],[五大]:[工場材]])</f>
        <v/>
      </c>
      <c r="J53" s="65" t="n"/>
      <c r="K53" s="65" t="n"/>
      <c r="L53" s="65" t="n"/>
      <c r="M53" s="65" t="n"/>
      <c r="N53" s="65" t="n"/>
      <c r="O53" s="65" t="n"/>
      <c r="P53" s="65" t="n"/>
      <c r="Q53" s="65" t="n"/>
      <c r="R53" s="65" t="n"/>
      <c r="S53" s="64" t="n"/>
      <c r="T53" s="64" t="n"/>
      <c r="U53" s="64" t="n">
        <v>45000</v>
      </c>
      <c r="V53" s="77" t="n">
        <v>2678</v>
      </c>
      <c r="W53" s="65" t="n"/>
      <c r="X53" s="65" t="n"/>
      <c r="Y53" s="64" t="n">
        <v>44000</v>
      </c>
      <c r="Z53" s="64" t="n">
        <v>65000</v>
      </c>
      <c r="AA53" s="65" t="n"/>
      <c r="AB53" s="65" t="n"/>
      <c r="AC53" s="65" t="n"/>
      <c r="AD53" s="65" t="n"/>
      <c r="AE53" s="65" t="n"/>
      <c r="AF53" s="65" t="n"/>
      <c r="AG53" s="65" t="n"/>
      <c r="AH53" s="65" t="n"/>
      <c r="AI53" s="65" t="n"/>
      <c r="AJ53" s="65" t="n"/>
      <c r="AK53" s="65" t="n"/>
      <c r="AL53" s="65" t="n"/>
      <c r="AM53" s="65" t="n"/>
      <c r="AN53" s="65" t="n"/>
      <c r="AO53" s="65" t="n"/>
      <c r="AP53" s="65" t="n"/>
    </row>
    <row r="54" hidden="1" s="49">
      <c r="B54" s="1" t="inlineStr">
        <is>
          <t>桂パークハウス東街区壱番館306</t>
        </is>
      </c>
      <c r="C54" s="2" t="inlineStr">
        <is>
          <t>山一</t>
        </is>
      </c>
      <c r="D54" s="1" t="inlineStr">
        <is>
          <t>UB入替</t>
        </is>
      </c>
      <c r="E54" s="2" t="inlineStr">
        <is>
          <t>11月</t>
        </is>
      </c>
      <c r="F54" s="68" t="n">
        <v>760000</v>
      </c>
      <c r="G54" s="68">
        <f>IF(B54="","",F54-I54 )</f>
        <v/>
      </c>
      <c r="H54" s="5">
        <f>IF(G54="","",G54/F54)</f>
        <v/>
      </c>
      <c r="I54" s="62">
        <f>SUM(テーブル92[[#This Row],[五大]:[工場材]])</f>
        <v/>
      </c>
      <c r="J54" s="65" t="n"/>
      <c r="K54" s="65" t="n"/>
      <c r="L54" s="65" t="n"/>
      <c r="M54" s="65" t="n"/>
      <c r="N54" s="65" t="n"/>
      <c r="O54" s="65" t="n"/>
      <c r="P54" s="65" t="n"/>
      <c r="Q54" s="65" t="n"/>
      <c r="R54" s="65" t="n"/>
      <c r="S54" s="64" t="n"/>
      <c r="T54" s="64" t="n"/>
      <c r="U54" s="64" t="n">
        <v>100000</v>
      </c>
      <c r="V54" s="77" t="n">
        <v>11719</v>
      </c>
      <c r="W54" s="65" t="n"/>
      <c r="X54" s="65" t="n"/>
      <c r="Y54" s="64" t="n">
        <v>40500</v>
      </c>
      <c r="Z54" s="64" t="n">
        <v>65000</v>
      </c>
      <c r="AA54" s="65" t="n"/>
      <c r="AB54" s="65" t="n"/>
      <c r="AC54" s="65" t="n"/>
      <c r="AD54" s="65" t="n"/>
      <c r="AE54" s="65" t="n"/>
      <c r="AF54" s="65" t="n"/>
      <c r="AG54" s="65" t="n"/>
      <c r="AH54" s="65" t="n"/>
      <c r="AI54" s="65" t="n"/>
      <c r="AJ54" s="65" t="n"/>
      <c r="AK54" s="65" t="n"/>
      <c r="AL54" s="64">
        <f>378680+66120</f>
        <v/>
      </c>
      <c r="AM54" s="65" t="n"/>
      <c r="AN54" s="65" t="n"/>
      <c r="AO54" s="65" t="n"/>
      <c r="AP54" s="65" t="n"/>
    </row>
    <row r="55" hidden="1" s="49">
      <c r="B55" s="1" t="inlineStr">
        <is>
          <t>台原4貸家</t>
        </is>
      </c>
      <c r="C55" s="2" t="inlineStr">
        <is>
          <t>積水不動産</t>
        </is>
      </c>
      <c r="D55" s="1" t="inlineStr">
        <is>
          <t>リフォーム</t>
        </is>
      </c>
      <c r="E55" s="2" t="inlineStr">
        <is>
          <t>11月</t>
        </is>
      </c>
      <c r="F55" s="68" t="n">
        <v>1510000</v>
      </c>
      <c r="G55" s="68">
        <f>IF(B55="","",F55-I55 )</f>
        <v/>
      </c>
      <c r="H55" s="5">
        <f>IF(G55="","",G55/F55)</f>
        <v/>
      </c>
      <c r="I55" s="62">
        <f>SUM(テーブル92[[#This Row],[五大]:[工場材]])</f>
        <v/>
      </c>
      <c r="J55" s="64" t="n"/>
      <c r="K55" s="64" t="n"/>
      <c r="L55" s="64" t="n"/>
      <c r="M55" s="64" t="n">
        <v>14000</v>
      </c>
      <c r="N55" s="64" t="n"/>
      <c r="O55" s="65" t="n"/>
      <c r="P55" s="65" t="n"/>
      <c r="Q55" s="65" t="n"/>
      <c r="R55" s="65" t="n"/>
      <c r="S55" s="64" t="n"/>
      <c r="T55" s="64" t="n"/>
      <c r="U55" s="64" t="n">
        <v>73000</v>
      </c>
      <c r="V55" s="77" t="n"/>
      <c r="W55" s="65" t="n"/>
      <c r="X55" s="65" t="n"/>
      <c r="Y55" s="64" t="n">
        <v>205000</v>
      </c>
      <c r="Z55" s="64" t="n">
        <v>86000</v>
      </c>
      <c r="AA55" s="64" t="n"/>
      <c r="AB55" s="64" t="n">
        <v>30000</v>
      </c>
      <c r="AC55" s="73" t="n"/>
      <c r="AD55" s="64" t="n"/>
      <c r="AE55" s="73">
        <f>168000+50000</f>
        <v/>
      </c>
      <c r="AF55" s="64" t="n">
        <v>24000</v>
      </c>
      <c r="AG55" s="64" t="n">
        <v>35000</v>
      </c>
      <c r="AH55" s="64" t="n"/>
      <c r="AI55" s="64" t="n"/>
      <c r="AJ55" s="64" t="n"/>
      <c r="AK55" s="64">
        <f>141810</f>
        <v/>
      </c>
      <c r="AL55" s="64" t="n"/>
      <c r="AM55" s="64" t="n">
        <v>45000</v>
      </c>
      <c r="AN55" s="65" t="n"/>
      <c r="AO55" s="65" t="n"/>
      <c r="AP55" s="65" t="n"/>
    </row>
    <row r="56" hidden="1" s="49">
      <c r="B56" s="1" t="inlineStr">
        <is>
          <t>東九番町パークマンション507</t>
        </is>
      </c>
      <c r="C56" s="2" t="inlineStr">
        <is>
          <t>日本ソービ</t>
        </is>
      </c>
      <c r="D56" s="1" t="inlineStr">
        <is>
          <t>リフォーム</t>
        </is>
      </c>
      <c r="E56" s="2" t="inlineStr">
        <is>
          <t>11月</t>
        </is>
      </c>
      <c r="F56" s="68" t="n">
        <v>3840000</v>
      </c>
      <c r="G56" s="68">
        <f>IF(B56="","",F56-I56 )</f>
        <v/>
      </c>
      <c r="H56" s="5">
        <f>IF(G56="","",G56/F56)</f>
        <v/>
      </c>
      <c r="I56" s="62">
        <f>SUM(テーブル92[[#This Row],[五大]:[工場材]])</f>
        <v/>
      </c>
      <c r="J56" s="64" t="n"/>
      <c r="K56" s="64" t="n"/>
      <c r="L56" s="64" t="n"/>
      <c r="M56" s="64" t="n">
        <v>41200</v>
      </c>
      <c r="N56" s="64" t="n"/>
      <c r="O56" s="65" t="n"/>
      <c r="P56" s="65" t="n"/>
      <c r="Q56" s="65" t="n"/>
      <c r="R56" s="65" t="n"/>
      <c r="S56" s="64" t="n"/>
      <c r="T56" s="64" t="n"/>
      <c r="U56" s="64" t="n">
        <v>600000</v>
      </c>
      <c r="V56" s="77" t="n">
        <v>76643</v>
      </c>
      <c r="W56" s="64" t="n">
        <v>192000</v>
      </c>
      <c r="X56" s="65" t="n"/>
      <c r="Y56" s="64" t="n">
        <v>200000</v>
      </c>
      <c r="Z56" s="64" t="n">
        <v>360000</v>
      </c>
      <c r="AA56" s="65" t="n"/>
      <c r="AB56" s="65" t="n"/>
      <c r="AC56" s="64">
        <f>152200+19250+3600+16560+17860+2000+4566+19800+6000</f>
        <v/>
      </c>
      <c r="AD56" s="65" t="n"/>
      <c r="AE56" s="65" t="n">
        <v>23000</v>
      </c>
      <c r="AF56" s="65" t="n">
        <v>18000</v>
      </c>
      <c r="AG56" s="65" t="n"/>
      <c r="AH56" s="65" t="n"/>
      <c r="AI56" s="65" t="n"/>
      <c r="AJ56" s="65" t="n"/>
      <c r="AK56" s="64">
        <f>2400+2800+5900+265000+60741+13500+115743+240000+26400+126000+2800+11835</f>
        <v/>
      </c>
      <c r="AL56" s="65" t="n"/>
      <c r="AM56" s="65" t="n"/>
      <c r="AN56" s="64">
        <f>13000*2.5</f>
        <v/>
      </c>
      <c r="AO56" s="64" t="n"/>
      <c r="AP56" s="65">
        <f>400000+384000</f>
        <v/>
      </c>
      <c r="AQ56" s="0" t="inlineStr">
        <is>
          <t>←広手間+紫原さんバック分</t>
        </is>
      </c>
    </row>
    <row r="57">
      <c r="B57" s="1" t="inlineStr">
        <is>
          <t>メゾンアサノ</t>
        </is>
      </c>
      <c r="C57" s="2" t="inlineStr">
        <is>
          <t>積水不動産</t>
        </is>
      </c>
      <c r="D57" s="1" t="inlineStr">
        <is>
          <t>塗装</t>
        </is>
      </c>
      <c r="E57" s="2" t="inlineStr">
        <is>
          <t>11月</t>
        </is>
      </c>
      <c r="F57" s="68" t="n">
        <v>965000</v>
      </c>
      <c r="G57" s="68">
        <f>IF(B57="","",F57-I57 )</f>
        <v/>
      </c>
      <c r="H57" s="5">
        <f>IF(G57="","",G57/F57)</f>
        <v/>
      </c>
      <c r="I57" s="62">
        <f>SUM(テーブル92[[#This Row],[五大]:[工場材]])</f>
        <v/>
      </c>
      <c r="J57" s="65" t="n"/>
      <c r="K57" s="64" t="n">
        <v>154000</v>
      </c>
      <c r="L57" s="65" t="n"/>
      <c r="M57" s="65" t="n"/>
      <c r="N57" s="64" t="n">
        <v>500000</v>
      </c>
      <c r="O57" s="65" t="n"/>
      <c r="P57" s="64" t="n">
        <v>35000</v>
      </c>
      <c r="Q57" s="65" t="n"/>
      <c r="R57" s="65" t="n"/>
      <c r="S57" s="64" t="n">
        <v>42200</v>
      </c>
      <c r="T57" s="64" t="n"/>
      <c r="U57" s="65" t="n"/>
      <c r="V57" s="77" t="n"/>
      <c r="W57" s="65" t="n"/>
      <c r="X57" s="65" t="n"/>
      <c r="Y57" s="64" t="n"/>
      <c r="Z57" s="65" t="n"/>
      <c r="AA57" s="65" t="n"/>
      <c r="AB57" s="65" t="n"/>
      <c r="AC57" s="65" t="n"/>
      <c r="AD57" s="65" t="n"/>
      <c r="AE57" s="65" t="n"/>
      <c r="AF57" s="65" t="n"/>
      <c r="AG57" s="65" t="n"/>
      <c r="AH57" s="65" t="n"/>
      <c r="AI57" s="65" t="n"/>
      <c r="AJ57" s="65" t="n"/>
      <c r="AK57" s="65" t="n"/>
      <c r="AL57" s="65" t="n"/>
      <c r="AM57" s="65" t="n"/>
      <c r="AN57" s="65" t="n"/>
      <c r="AO57" s="65" t="n"/>
      <c r="AP57" s="65" t="n"/>
    </row>
    <row r="58" hidden="1" s="49">
      <c r="B58" s="1" t="inlineStr">
        <is>
          <t>ろりぽっぷ保育園</t>
        </is>
      </c>
      <c r="C58" s="2" t="inlineStr">
        <is>
          <t>LIFE　UP</t>
        </is>
      </c>
      <c r="D58" s="1" t="inlineStr">
        <is>
          <t>電気工事</t>
        </is>
      </c>
      <c r="E58" s="2" t="inlineStr">
        <is>
          <t>11月</t>
        </is>
      </c>
      <c r="F58" s="68" t="n">
        <v>500000</v>
      </c>
      <c r="G58" s="68">
        <f>IF(B58="","",F58-I58 )</f>
        <v/>
      </c>
      <c r="H58" s="5">
        <f>IF(G58="","",G58/F58)</f>
        <v/>
      </c>
      <c r="I58" s="62">
        <f>SUM(テーブル92[[#This Row],[五大]:[工場材]])</f>
        <v/>
      </c>
      <c r="J58" s="65" t="n"/>
      <c r="K58" s="65" t="n"/>
      <c r="L58" s="65" t="n"/>
      <c r="M58" s="65" t="n"/>
      <c r="N58" s="65" t="n"/>
      <c r="O58" s="65" t="n"/>
      <c r="P58" s="65" t="n"/>
      <c r="Q58" s="65" t="n"/>
      <c r="R58" s="65" t="n"/>
      <c r="S58" s="64" t="n"/>
      <c r="T58" s="64" t="n"/>
      <c r="U58" s="65" t="n"/>
      <c r="V58" s="77" t="n"/>
      <c r="W58" s="65" t="n"/>
      <c r="X58" s="65" t="n"/>
      <c r="Y58" s="64" t="n">
        <v>380000</v>
      </c>
      <c r="Z58" s="65" t="n"/>
      <c r="AA58" s="65" t="n"/>
      <c r="AB58" s="65" t="n"/>
      <c r="AC58" s="65" t="n"/>
      <c r="AD58" s="65" t="n"/>
      <c r="AE58" s="65" t="n"/>
      <c r="AF58" s="65" t="n"/>
      <c r="AG58" s="65" t="n"/>
      <c r="AH58" s="65" t="n"/>
      <c r="AI58" s="65" t="n"/>
      <c r="AJ58" s="65" t="n"/>
      <c r="AK58" s="65" t="n"/>
      <c r="AL58" s="65" t="n"/>
      <c r="AM58" s="65" t="n"/>
      <c r="AN58" s="65" t="n"/>
      <c r="AO58" s="65" t="n"/>
      <c r="AP58" s="65" t="n"/>
    </row>
    <row r="59" hidden="1" s="49">
      <c r="B59" s="1" t="inlineStr">
        <is>
          <t>みやぎ台　菅野邸</t>
        </is>
      </c>
      <c r="C59" s="2" t="inlineStr">
        <is>
          <t>サステム</t>
        </is>
      </c>
      <c r="D59" s="1" t="inlineStr">
        <is>
          <t>和洋改修</t>
        </is>
      </c>
      <c r="E59" s="2" t="inlineStr">
        <is>
          <t>11月</t>
        </is>
      </c>
      <c r="F59" s="68" t="n">
        <v>554692</v>
      </c>
      <c r="G59" s="68">
        <f>IF(B59="","",F59-I59 )</f>
        <v/>
      </c>
      <c r="H59" s="5">
        <f>IF(G59="","",G59/F59)</f>
        <v/>
      </c>
      <c r="I59" s="62">
        <f>SUM(テーブル92[[#This Row],[五大]:[工場材]])</f>
        <v/>
      </c>
      <c r="J59" s="65" t="n"/>
      <c r="K59" s="65" t="n"/>
      <c r="L59" s="65" t="n"/>
      <c r="M59" s="65" t="n"/>
      <c r="N59" s="65" t="n"/>
      <c r="O59" s="65" t="n"/>
      <c r="P59" s="65" t="n"/>
      <c r="Q59" s="65" t="n"/>
      <c r="R59" s="65" t="n"/>
      <c r="S59" s="64" t="n"/>
      <c r="T59" s="64" t="n"/>
      <c r="U59" s="64" t="n">
        <v>150000</v>
      </c>
      <c r="V59" s="77" t="n">
        <v>27398</v>
      </c>
      <c r="W59" s="64" t="n"/>
      <c r="X59" s="64" t="n"/>
      <c r="Y59" s="64" t="n">
        <v>18000</v>
      </c>
      <c r="Z59" s="65" t="n"/>
      <c r="AA59" s="65" t="n"/>
      <c r="AB59" s="65" t="n"/>
      <c r="AC59" s="65" t="n"/>
      <c r="AD59" s="65" t="n"/>
      <c r="AE59" s="65" t="n">
        <v>35000</v>
      </c>
      <c r="AF59" s="65" t="n"/>
      <c r="AG59" s="65" t="n"/>
      <c r="AH59" s="65" t="n"/>
      <c r="AI59" s="65" t="n"/>
      <c r="AJ59" s="65" t="n"/>
      <c r="AK59" s="64">
        <f>45740+30000+106435</f>
        <v/>
      </c>
      <c r="AL59" s="65" t="n"/>
      <c r="AM59" s="65" t="n"/>
      <c r="AN59" s="65">
        <f>13000*1.5</f>
        <v/>
      </c>
      <c r="AO59" s="65" t="n"/>
      <c r="AP59" s="65" t="n"/>
    </row>
    <row r="60" hidden="1" s="49">
      <c r="B60" s="22" t="inlineStr">
        <is>
          <t>合計</t>
        </is>
      </c>
      <c r="C60" s="12" t="n"/>
      <c r="F60" s="67">
        <f>SUBTOTAL(109,F52:F59)</f>
        <v/>
      </c>
      <c r="G60" s="67">
        <f>SUBTOTAL(109,G52:G59)</f>
        <v/>
      </c>
      <c r="H60" s="14">
        <f>IF(G60="","",G60/F60)</f>
        <v/>
      </c>
      <c r="I60" s="67">
        <f>SUBTOTAL(109,I52:I59)</f>
        <v/>
      </c>
      <c r="J60" s="65" t="n"/>
      <c r="K60" s="64" t="n"/>
      <c r="L60" s="64" t="n"/>
      <c r="M60" s="65" t="n"/>
      <c r="N60" s="65" t="n"/>
      <c r="O60" s="65" t="n"/>
      <c r="P60" s="65" t="n"/>
      <c r="Q60" s="64" t="n"/>
      <c r="R60" s="65" t="n"/>
      <c r="S60" s="64" t="n"/>
      <c r="T60" s="64" t="n"/>
      <c r="U60" s="65" t="n"/>
      <c r="V60" s="77" t="n"/>
      <c r="W60" s="65" t="n"/>
      <c r="X60" s="65" t="n"/>
      <c r="Y60" s="65" t="n"/>
      <c r="Z60" s="65" t="n"/>
      <c r="AA60" s="65" t="n"/>
      <c r="AB60" s="65" t="n"/>
      <c r="AC60" s="65" t="n"/>
      <c r="AD60" s="65" t="n"/>
      <c r="AE60" s="65" t="n"/>
      <c r="AF60" s="65" t="n"/>
      <c r="AG60" s="65" t="n"/>
      <c r="AH60" s="65" t="n"/>
      <c r="AI60" s="65" t="n"/>
      <c r="AJ60" s="65" t="n"/>
      <c r="AK60" s="65" t="n"/>
      <c r="AL60" s="65" t="n"/>
      <c r="AM60" s="65" t="n"/>
      <c r="AN60" s="65" t="n"/>
      <c r="AO60" s="65" t="n"/>
      <c r="AP60" s="65" t="n"/>
    </row>
    <row r="61" hidden="1" s="49">
      <c r="B61" s="22" t="n"/>
      <c r="C61" s="12" t="n"/>
      <c r="F61" s="70" t="n"/>
      <c r="G61" s="70">
        <f>IF(B61="","",F61-I61 )</f>
        <v/>
      </c>
      <c r="H61" s="16">
        <f>IF(G61="","",G61/F61)</f>
        <v/>
      </c>
      <c r="I61" s="67" t="n"/>
      <c r="J61" s="65" t="n"/>
      <c r="K61" s="64" t="n"/>
      <c r="L61" s="64" t="n"/>
      <c r="M61" s="65" t="n"/>
      <c r="N61" s="65" t="n"/>
      <c r="O61" s="65" t="n"/>
      <c r="P61" s="65" t="n"/>
      <c r="Q61" s="64" t="n"/>
      <c r="R61" s="65" t="n"/>
      <c r="S61" s="64" t="n"/>
      <c r="T61" s="64" t="n"/>
      <c r="U61" s="65" t="n"/>
      <c r="V61" s="77" t="n"/>
      <c r="W61" s="65" t="n"/>
      <c r="X61" s="65" t="n"/>
      <c r="Y61" s="65" t="n"/>
      <c r="Z61" s="65" t="n"/>
      <c r="AA61" s="65" t="n"/>
      <c r="AB61" s="65" t="n"/>
      <c r="AC61" s="65" t="n"/>
      <c r="AD61" s="65" t="n"/>
      <c r="AE61" s="65" t="n"/>
      <c r="AF61" s="65" t="n"/>
      <c r="AG61" s="65" t="n"/>
      <c r="AH61" s="65" t="n"/>
      <c r="AI61" s="65" t="n"/>
      <c r="AJ61" s="65" t="n"/>
      <c r="AK61" s="65" t="n"/>
      <c r="AL61" s="65" t="n"/>
      <c r="AM61" s="65" t="n"/>
      <c r="AN61" s="65" t="n"/>
      <c r="AO61" s="65" t="n"/>
      <c r="AP61" s="65" t="n"/>
    </row>
    <row r="62" hidden="1" s="49">
      <c r="A62" s="0" t="inlineStr">
        <is>
          <t>R3.1</t>
        </is>
      </c>
      <c r="F62" s="68" t="n"/>
      <c r="G62" s="68">
        <f>IF(B62="","",F62-I62 )</f>
        <v/>
      </c>
      <c r="H62" s="5">
        <f>IF(G62="","",G62/F62)</f>
        <v/>
      </c>
      <c r="J62" s="65" t="n"/>
      <c r="K62" s="65" t="n"/>
      <c r="L62" s="65" t="n"/>
      <c r="M62" s="65" t="n"/>
      <c r="N62" s="65" t="n"/>
      <c r="O62" s="65" t="n"/>
      <c r="P62" s="65" t="n"/>
      <c r="Q62" s="65" t="n"/>
      <c r="R62" s="65" t="n"/>
      <c r="S62" s="64" t="n"/>
      <c r="T62" s="64" t="n"/>
      <c r="U62" s="65" t="n"/>
      <c r="V62" s="77" t="n"/>
      <c r="W62" s="65" t="n"/>
      <c r="X62" s="65" t="n"/>
      <c r="Y62" s="65" t="n"/>
      <c r="Z62" s="65" t="n"/>
      <c r="AA62" s="65" t="n"/>
      <c r="AB62" s="65" t="n"/>
      <c r="AC62" s="65" t="n"/>
      <c r="AD62" s="65" t="n"/>
      <c r="AE62" s="65" t="n"/>
      <c r="AF62" s="65" t="n"/>
      <c r="AG62" s="65" t="n"/>
      <c r="AH62" s="65" t="n"/>
      <c r="AI62" s="65" t="n"/>
      <c r="AJ62" s="65" t="n"/>
      <c r="AK62" s="65" t="n"/>
      <c r="AL62" s="65" t="n"/>
      <c r="AM62" s="65" t="n"/>
      <c r="AN62" s="65" t="n"/>
      <c r="AO62" s="65" t="n"/>
      <c r="AP62" s="65" t="n"/>
    </row>
    <row r="63" hidden="1" s="49">
      <c r="B63" s="1" t="inlineStr">
        <is>
          <t>ロイヤルコート河原町　緑ウイング　406</t>
        </is>
      </c>
      <c r="C63" s="2" t="inlineStr">
        <is>
          <t>LIXIL</t>
        </is>
      </c>
      <c r="D63" s="1" t="inlineStr">
        <is>
          <t>UB+トイレ+給湯器工事</t>
        </is>
      </c>
      <c r="E63" s="2" t="inlineStr">
        <is>
          <t>12月</t>
        </is>
      </c>
      <c r="F63" s="68" t="n">
        <v>323000</v>
      </c>
      <c r="G63" s="68">
        <f>IF(B63="","",F63-I63 )</f>
        <v/>
      </c>
      <c r="H63" s="5">
        <f>IF(G63="","",G63/F63)</f>
        <v/>
      </c>
      <c r="I63" s="62">
        <f>SUM(テーブル92[[#This Row],[五大]:[工場材]])</f>
        <v/>
      </c>
      <c r="J63" s="65" t="n"/>
      <c r="K63" s="65" t="n"/>
      <c r="L63" s="65" t="n"/>
      <c r="M63" s="65" t="n"/>
      <c r="N63" s="65" t="n"/>
      <c r="O63" s="65" t="n"/>
      <c r="P63" s="65" t="n"/>
      <c r="Q63" s="65" t="n"/>
      <c r="R63" s="65" t="n"/>
      <c r="S63" s="64" t="n"/>
      <c r="T63" s="64" t="n"/>
      <c r="U63" s="65" t="n">
        <v>150000</v>
      </c>
      <c r="V63" s="77" t="n"/>
      <c r="W63" s="65" t="n"/>
      <c r="X63" s="65" t="n"/>
      <c r="Y63" s="65">
        <f>50000</f>
        <v/>
      </c>
      <c r="Z63" s="65" t="n">
        <v>20000</v>
      </c>
      <c r="AA63" s="65" t="n"/>
      <c r="AB63" s="65" t="n"/>
      <c r="AC63" s="65" t="n"/>
      <c r="AD63" s="65" t="n"/>
      <c r="AE63" s="65" t="n">
        <v>25000</v>
      </c>
      <c r="AF63" s="65" t="n"/>
      <c r="AG63" s="65" t="n"/>
      <c r="AH63" s="65" t="n"/>
      <c r="AI63" s="65" t="n"/>
      <c r="AJ63" s="65" t="n"/>
      <c r="AK63" s="65" t="n"/>
      <c r="AL63" s="65" t="n"/>
      <c r="AM63" s="65" t="n"/>
      <c r="AN63" s="65" t="n"/>
      <c r="AO63" s="65" t="n"/>
      <c r="AP63" s="65" t="n">
        <v>40000</v>
      </c>
    </row>
    <row r="64" hidden="1" s="49">
      <c r="B64" s="1" t="inlineStr">
        <is>
          <t>ファミール山手町　103</t>
        </is>
      </c>
      <c r="C64" s="2" t="inlineStr">
        <is>
          <t>サステム</t>
        </is>
      </c>
      <c r="D64" s="1" t="inlineStr">
        <is>
          <t>UB交換+給湯器</t>
        </is>
      </c>
      <c r="E64" s="2" t="inlineStr">
        <is>
          <t>12月</t>
        </is>
      </c>
      <c r="F64" s="68" t="n">
        <v>846000</v>
      </c>
      <c r="G64" s="68">
        <f>IF(B64="","",F64-I64 )</f>
        <v/>
      </c>
      <c r="H64" s="5">
        <f>IF(G64="","",G64/F64)</f>
        <v/>
      </c>
      <c r="I64" s="62">
        <f>SUM(テーブル92[[#This Row],[五大]:[工場材]])</f>
        <v/>
      </c>
      <c r="J64" s="65" t="n"/>
      <c r="K64" s="65" t="n"/>
      <c r="L64" s="65" t="n"/>
      <c r="M64" s="65" t="n"/>
      <c r="N64" s="65" t="n"/>
      <c r="O64" s="65" t="n"/>
      <c r="P64" s="65" t="n"/>
      <c r="Q64" s="65" t="n"/>
      <c r="R64" s="65" t="n"/>
      <c r="S64" s="64" t="n"/>
      <c r="T64" s="64" t="n"/>
      <c r="U64" s="65" t="n"/>
      <c r="V64" s="77" t="n"/>
      <c r="W64" s="65" t="n"/>
      <c r="X64" s="65" t="n"/>
      <c r="Y64" s="65" t="n"/>
      <c r="Z64" s="65" t="n">
        <v>295000</v>
      </c>
      <c r="AA64" s="65" t="n"/>
      <c r="AB64" s="65" t="n"/>
      <c r="AC64" s="65" t="n"/>
      <c r="AD64" s="65" t="n"/>
      <c r="AE64" s="65" t="n">
        <v>25000</v>
      </c>
      <c r="AF64" s="65" t="n"/>
      <c r="AG64" s="65" t="n"/>
      <c r="AH64" s="65" t="n"/>
      <c r="AI64" s="65" t="n"/>
      <c r="AJ64" s="65" t="n"/>
      <c r="AK64" s="65" t="n"/>
      <c r="AL64" s="65" t="n"/>
      <c r="AM64" s="65" t="n"/>
      <c r="AN64" s="65" t="n"/>
      <c r="AO64" s="65" t="n"/>
      <c r="AP64" s="65" t="n"/>
    </row>
    <row r="65" hidden="1" s="49">
      <c r="B65" s="1" t="inlineStr">
        <is>
          <t>芋沢 早坂邸</t>
        </is>
      </c>
      <c r="C65" s="2" t="inlineStr">
        <is>
          <t>サステム</t>
        </is>
      </c>
      <c r="D65" s="1" t="inlineStr">
        <is>
          <t>和・洋室改修</t>
        </is>
      </c>
      <c r="E65" s="2" t="inlineStr">
        <is>
          <t>12月</t>
        </is>
      </c>
      <c r="F65" s="68" t="n">
        <v>935100</v>
      </c>
      <c r="G65" s="68">
        <f>IF(B65="","",F65-I65 )</f>
        <v/>
      </c>
      <c r="H65" s="5">
        <f>IF(G65="","",G65/F65)</f>
        <v/>
      </c>
      <c r="I65" s="62">
        <f>SUM(テーブル92[[#This Row],[五大]:[工場材]])</f>
        <v/>
      </c>
      <c r="J65" s="65" t="n"/>
      <c r="K65" s="65" t="n"/>
      <c r="L65" s="65" t="n"/>
      <c r="M65" s="65" t="n"/>
      <c r="N65" s="65" t="n"/>
      <c r="O65" s="65" t="n"/>
      <c r="P65" s="65" t="n"/>
      <c r="Q65" s="65" t="n"/>
      <c r="R65" s="65" t="n"/>
      <c r="S65" s="65" t="n"/>
      <c r="T65" s="65" t="n"/>
      <c r="U65" s="65" t="n">
        <v>150000</v>
      </c>
      <c r="V65" s="77" t="n"/>
      <c r="W65" s="65" t="n">
        <v>265000</v>
      </c>
      <c r="X65" s="65" t="n"/>
      <c r="Y65" s="65" t="n">
        <v>50000</v>
      </c>
      <c r="Z65" s="65" t="n"/>
      <c r="AA65" s="65" t="n"/>
      <c r="AB65" s="65" t="n"/>
      <c r="AC65" s="65" t="n"/>
      <c r="AD65" s="65" t="n"/>
      <c r="AE65" s="65" t="n">
        <v>20000</v>
      </c>
      <c r="AF65" s="65" t="n"/>
      <c r="AG65" s="65" t="n"/>
      <c r="AH65" s="65" t="n"/>
      <c r="AI65" s="65" t="n"/>
      <c r="AJ65" s="65" t="n"/>
      <c r="AK65" s="65" t="n">
        <v>120000</v>
      </c>
      <c r="AL65" s="65" t="n"/>
      <c r="AM65" s="65" t="n"/>
      <c r="AN65" s="65" t="n"/>
      <c r="AO65" s="65" t="n"/>
      <c r="AP65" s="65" t="n"/>
    </row>
    <row r="66" hidden="1" s="49">
      <c r="B66" s="1" t="inlineStr">
        <is>
          <t>ﾋﾞｯｸﾏﾏ　ｺｲﾝﾗﾝﾄﾞﾘｰ</t>
        </is>
      </c>
      <c r="C66" s="2" t="inlineStr">
        <is>
          <t>一心</t>
        </is>
      </c>
      <c r="D66" s="1" t="inlineStr">
        <is>
          <t>内装。大工</t>
        </is>
      </c>
      <c r="E66" s="2" t="inlineStr">
        <is>
          <t>12月</t>
        </is>
      </c>
      <c r="F66" s="68" t="n">
        <v>488000</v>
      </c>
      <c r="G66" s="68">
        <f>IF(B66="","",F66-I66 )</f>
        <v/>
      </c>
      <c r="H66" s="5">
        <f>IF(G66="","",G66/F66)</f>
        <v/>
      </c>
      <c r="I66" s="62">
        <f>SUM(テーブル92[[#This Row],[五大]:[工場材]])</f>
        <v/>
      </c>
      <c r="J66" s="65" t="n"/>
      <c r="K66" s="65" t="n"/>
      <c r="L66" s="65" t="n"/>
      <c r="M66" s="65" t="n"/>
      <c r="N66" s="65" t="n"/>
      <c r="O66" s="65" t="n"/>
      <c r="P66" s="65" t="n"/>
      <c r="Q66" s="65" t="n"/>
      <c r="R66" s="65" t="n"/>
      <c r="S66" s="65" t="n"/>
      <c r="T66" s="65" t="n"/>
      <c r="U66" s="65" t="n">
        <v>80000</v>
      </c>
      <c r="V66" s="77" t="n">
        <v>10116</v>
      </c>
      <c r="W66" s="65" t="n"/>
      <c r="X66" s="65" t="n"/>
      <c r="Y66" s="65" t="n">
        <v>161000</v>
      </c>
      <c r="Z66" s="65" t="n"/>
      <c r="AA66" s="65" t="n"/>
      <c r="AB66" s="65" t="n">
        <v>25000</v>
      </c>
      <c r="AC66" s="65" t="n"/>
      <c r="AD66" s="65" t="n"/>
      <c r="AE66" s="65" t="n">
        <v>90000</v>
      </c>
      <c r="AF66" s="65" t="n"/>
      <c r="AG66" s="65" t="n"/>
      <c r="AH66" s="65" t="n"/>
      <c r="AI66" s="65" t="n"/>
      <c r="AJ66" s="65" t="n"/>
      <c r="AK66" s="65" t="n"/>
      <c r="AL66" s="65" t="n"/>
      <c r="AM66" s="65" t="n"/>
      <c r="AN66" s="65" t="n"/>
      <c r="AO66" s="65" t="n"/>
      <c r="AP66" s="65" t="n"/>
    </row>
    <row r="67" hidden="1" s="49">
      <c r="B67" s="1" t="inlineStr">
        <is>
          <t>うさちゃんモリヤ落合</t>
        </is>
      </c>
      <c r="C67" s="2" t="inlineStr">
        <is>
          <t>一心</t>
        </is>
      </c>
      <c r="D67" s="1" t="inlineStr">
        <is>
          <t>設備配管　大工</t>
        </is>
      </c>
      <c r="E67" s="2" t="inlineStr">
        <is>
          <t>12月</t>
        </is>
      </c>
      <c r="F67" s="68" t="n">
        <v>242000</v>
      </c>
      <c r="G67" s="68">
        <f>IF(B67="","",F67-I67 )</f>
        <v/>
      </c>
      <c r="H67" s="5">
        <f>IF(G67="","",G67/F67)</f>
        <v/>
      </c>
      <c r="I67" s="62">
        <f>SUM(テーブル92[[#This Row],[五大]:[工場材]])</f>
        <v/>
      </c>
      <c r="J67" s="65" t="n"/>
      <c r="K67" s="65" t="n"/>
      <c r="L67" s="65" t="n"/>
      <c r="M67" s="65" t="n"/>
      <c r="N67" s="65" t="n"/>
      <c r="O67" s="65" t="n"/>
      <c r="P67" s="65" t="n"/>
      <c r="Q67" s="65" t="n"/>
      <c r="R67" s="65" t="n"/>
      <c r="S67" s="65" t="n"/>
      <c r="T67" s="65" t="n"/>
      <c r="U67" s="65" t="n">
        <v>25000</v>
      </c>
      <c r="V67" s="77" t="n"/>
      <c r="W67" s="65" t="n"/>
      <c r="X67" s="65" t="n"/>
      <c r="Y67" s="65" t="n">
        <v>10000</v>
      </c>
      <c r="Z67" s="65" t="n">
        <v>150000</v>
      </c>
      <c r="AA67" s="65" t="n"/>
      <c r="AB67" s="65" t="n"/>
      <c r="AC67" s="65" t="n"/>
      <c r="AD67" s="65" t="n"/>
      <c r="AE67" s="65" t="n"/>
      <c r="AF67" s="65" t="n"/>
      <c r="AG67" s="65" t="n"/>
      <c r="AH67" s="65" t="n"/>
      <c r="AI67" s="65" t="n"/>
      <c r="AJ67" s="65" t="n"/>
      <c r="AK67" s="65" t="n"/>
      <c r="AL67" s="65" t="n"/>
      <c r="AM67" s="65" t="n"/>
      <c r="AN67" s="65" t="n"/>
      <c r="AO67" s="65" t="n"/>
      <c r="AP67" s="65" t="n"/>
    </row>
    <row r="68" hidden="1" s="49">
      <c r="B68" s="1" t="inlineStr">
        <is>
          <t>コーポ白鳥　105</t>
        </is>
      </c>
      <c r="C68" s="2" t="inlineStr">
        <is>
          <t>積水不動産</t>
        </is>
      </c>
      <c r="D68" s="1" t="inlineStr">
        <is>
          <t>リフォーム</t>
        </is>
      </c>
      <c r="E68" s="2" t="inlineStr">
        <is>
          <t>12月</t>
        </is>
      </c>
      <c r="F68" s="68" t="n">
        <v>730000</v>
      </c>
      <c r="G68" s="68">
        <f>IF(B68="","",F68-I68 )</f>
        <v/>
      </c>
      <c r="H68" s="5">
        <f>IF(G68="","",G68/F68)</f>
        <v/>
      </c>
      <c r="I68" s="62">
        <f>SUM(テーブル92[[#This Row],[五大]:[工場材]])</f>
        <v/>
      </c>
      <c r="J68" s="65" t="n"/>
      <c r="K68" s="65" t="n"/>
      <c r="L68" s="65" t="n"/>
      <c r="M68" s="65" t="n">
        <v>30000</v>
      </c>
      <c r="N68" s="65" t="n"/>
      <c r="O68" s="65" t="n"/>
      <c r="P68" s="65" t="n"/>
      <c r="Q68" s="65" t="n"/>
      <c r="R68" s="65" t="n"/>
      <c r="S68" s="65" t="n"/>
      <c r="T68" s="65" t="n"/>
      <c r="U68" s="65" t="n">
        <v>180000</v>
      </c>
      <c r="V68" s="77" t="n">
        <v>40203</v>
      </c>
      <c r="W68" s="65" t="n"/>
      <c r="X68" s="65" t="n"/>
      <c r="Y68" s="65" t="n"/>
      <c r="Z68" s="65" t="n"/>
      <c r="AA68" s="65" t="n"/>
      <c r="AB68" s="65" t="n"/>
      <c r="AC68" s="65" t="n"/>
      <c r="AD68" s="65" t="n"/>
      <c r="AE68" s="65" t="n"/>
      <c r="AF68" s="65" t="n"/>
      <c r="AG68" s="65" t="n"/>
      <c r="AH68" s="65" t="n"/>
      <c r="AI68" s="65" t="n"/>
      <c r="AJ68" s="65" t="n"/>
      <c r="AK68" s="65" t="n"/>
      <c r="AL68" s="65" t="n"/>
      <c r="AM68" s="65" t="n"/>
      <c r="AN68" s="65" t="n"/>
      <c r="AO68" s="65" t="n"/>
      <c r="AP68" s="65" t="n"/>
    </row>
    <row r="69" hidden="1" s="49">
      <c r="F69" s="67">
        <f>SUBTOTAL(109,F61:F68)</f>
        <v/>
      </c>
      <c r="G69" s="67">
        <f>SUBTOTAL(109,G61:G68)</f>
        <v/>
      </c>
      <c r="H69" s="14">
        <f>IF(OR(G69="",F69=0),"",G69/F69)</f>
        <v/>
      </c>
      <c r="I69" s="67">
        <f>SUBTOTAL(109,I61:I68)</f>
        <v/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77" t="n"/>
      <c r="W69" s="65" t="n"/>
      <c r="X69" s="65" t="n"/>
      <c r="Y69" s="65" t="n"/>
      <c r="Z69" s="65" t="n"/>
      <c r="AA69" s="65" t="n"/>
      <c r="AB69" s="65" t="n"/>
      <c r="AC69" s="65" t="n"/>
      <c r="AD69" s="65" t="n"/>
      <c r="AE69" s="65" t="n"/>
      <c r="AF69" s="65" t="n"/>
      <c r="AG69" s="65" t="n"/>
      <c r="AH69" s="65" t="n"/>
      <c r="AI69" s="65" t="n"/>
      <c r="AJ69" s="65" t="n"/>
      <c r="AK69" s="65" t="n"/>
      <c r="AL69" s="65" t="n"/>
      <c r="AM69" s="65" t="n"/>
      <c r="AN69" s="65" t="n"/>
      <c r="AO69" s="65" t="n"/>
      <c r="AP69" s="65" t="n"/>
    </row>
    <row r="70" hidden="1" s="49">
      <c r="F70" s="68" t="n"/>
      <c r="G70" s="68">
        <f>IF(B70="","",F70-I70 )</f>
        <v/>
      </c>
      <c r="H70" s="5">
        <f>IF(G70="","",G70/F70)</f>
        <v/>
      </c>
      <c r="J70" s="65" t="n"/>
      <c r="K70" s="65" t="n"/>
      <c r="L70" s="65" t="n"/>
      <c r="M70" s="65" t="n"/>
      <c r="N70" s="65" t="n"/>
      <c r="O70" s="65" t="n"/>
      <c r="P70" s="65" t="n"/>
      <c r="Q70" s="65" t="n"/>
      <c r="R70" s="65" t="n"/>
      <c r="S70" s="65" t="n"/>
      <c r="T70" s="65" t="n"/>
      <c r="U70" s="65" t="n"/>
      <c r="V70" s="77" t="n"/>
      <c r="W70" s="65" t="n"/>
      <c r="X70" s="65" t="n"/>
      <c r="Y70" s="65" t="n"/>
      <c r="Z70" s="65" t="n"/>
      <c r="AA70" s="65" t="n"/>
      <c r="AB70" s="65" t="n"/>
      <c r="AC70" s="65" t="n"/>
      <c r="AD70" s="65" t="n"/>
      <c r="AE70" s="65" t="n"/>
      <c r="AF70" s="65" t="n"/>
      <c r="AG70" s="65" t="n"/>
      <c r="AH70" s="65" t="n"/>
      <c r="AI70" s="65" t="n"/>
      <c r="AJ70" s="65" t="n"/>
      <c r="AK70" s="65" t="n"/>
      <c r="AL70" s="65" t="n"/>
      <c r="AM70" s="65" t="n"/>
      <c r="AN70" s="65" t="n"/>
      <c r="AO70" s="65" t="n"/>
      <c r="AP70" s="65" t="n"/>
    </row>
    <row r="71" hidden="1" s="49">
      <c r="A71" s="0" t="inlineStr">
        <is>
          <t>R3.2</t>
        </is>
      </c>
      <c r="F71" s="68" t="n"/>
      <c r="G71" s="68">
        <f>IF(B71="","",F71-I71 )</f>
        <v/>
      </c>
      <c r="H71" s="5">
        <f>IF(G71="","",G71/F71)</f>
        <v/>
      </c>
      <c r="J71" s="65" t="n"/>
      <c r="K71" s="65" t="n"/>
      <c r="L71" s="65" t="n"/>
      <c r="M71" s="65" t="n"/>
      <c r="N71" s="65" t="n"/>
      <c r="O71" s="65" t="n"/>
      <c r="P71" s="65" t="n"/>
      <c r="Q71" s="65" t="n"/>
      <c r="R71" s="65" t="n"/>
      <c r="S71" s="65" t="n"/>
      <c r="T71" s="65" t="n"/>
      <c r="U71" s="65" t="n"/>
      <c r="V71" s="77" t="n"/>
      <c r="W71" s="65" t="n"/>
      <c r="X71" s="65" t="n"/>
      <c r="Y71" s="65" t="n"/>
      <c r="Z71" s="65" t="n"/>
      <c r="AA71" s="65" t="n"/>
      <c r="AB71" s="65" t="n"/>
      <c r="AC71" s="65" t="n"/>
      <c r="AD71" s="65" t="n"/>
      <c r="AE71" s="65" t="n"/>
      <c r="AF71" s="65" t="n"/>
      <c r="AG71" s="65" t="n"/>
      <c r="AH71" s="65" t="n"/>
      <c r="AI71" s="65" t="n"/>
      <c r="AJ71" s="65" t="n"/>
      <c r="AK71" s="65" t="n"/>
      <c r="AL71" s="65" t="n"/>
      <c r="AM71" s="65" t="n"/>
      <c r="AN71" s="65" t="n"/>
      <c r="AO71" s="65" t="n"/>
      <c r="AP71" s="65" t="n"/>
    </row>
    <row r="72" hidden="1" s="49">
      <c r="B72" s="1" t="inlineStr">
        <is>
          <t>うさちゃんYM住吉台</t>
        </is>
      </c>
      <c r="C72" s="2" t="inlineStr">
        <is>
          <t>一心</t>
        </is>
      </c>
      <c r="D72" s="1" t="inlineStr">
        <is>
          <t>壁下地張替+店舗改装</t>
        </is>
      </c>
      <c r="E72" s="2" t="inlineStr">
        <is>
          <t>1月</t>
        </is>
      </c>
      <c r="F72" s="68">
        <f>268000+449000</f>
        <v/>
      </c>
      <c r="G72" s="68">
        <f>IF(B72="","",F72-I72 )</f>
        <v/>
      </c>
      <c r="H72" s="5">
        <f>IF(G72="","",G72/F72)</f>
        <v/>
      </c>
      <c r="I72" s="62">
        <f>SUM(テーブル92[[#This Row],[五大]:[工場材]])</f>
        <v/>
      </c>
      <c r="J72" s="65" t="n"/>
      <c r="K72" s="65" t="n"/>
      <c r="L72" s="65" t="n"/>
      <c r="M72" s="65" t="n"/>
      <c r="N72" s="65" t="n"/>
      <c r="O72" s="65" t="n"/>
      <c r="P72" s="65" t="n"/>
      <c r="Q72" s="65" t="n"/>
      <c r="R72" s="65" t="n"/>
      <c r="S72" s="65" t="n"/>
      <c r="T72" s="65" t="n"/>
      <c r="U72" s="64" t="n">
        <v>100000</v>
      </c>
      <c r="V72" s="77">
        <f>45000+17156</f>
        <v/>
      </c>
      <c r="W72" s="65" t="n"/>
      <c r="X72" s="65" t="n"/>
      <c r="Y72" s="65" t="n">
        <v>25000</v>
      </c>
      <c r="Z72" s="65" t="n"/>
      <c r="AA72" s="65" t="n"/>
      <c r="AB72" s="65" t="n">
        <v>120000</v>
      </c>
      <c r="AC72" s="65" t="n"/>
      <c r="AD72" s="65" t="n"/>
      <c r="AE72" s="65" t="n">
        <v>120000</v>
      </c>
      <c r="AF72" s="65" t="n"/>
      <c r="AG72" s="65" t="n"/>
      <c r="AH72" s="65" t="n"/>
      <c r="AI72" s="65" t="n"/>
      <c r="AJ72" s="65" t="n"/>
      <c r="AK72" s="65" t="n"/>
      <c r="AL72" s="65" t="n"/>
      <c r="AM72" s="65" t="n"/>
      <c r="AN72" s="65">
        <f>13000*3</f>
        <v/>
      </c>
      <c r="AO72" s="65" t="n"/>
      <c r="AP72" s="65" t="n"/>
    </row>
    <row r="73" hidden="1" s="49">
      <c r="B73" s="1" t="inlineStr">
        <is>
          <t>うさちゃんYB真美沢</t>
        </is>
      </c>
      <c r="C73" s="2" t="inlineStr">
        <is>
          <t>一心</t>
        </is>
      </c>
      <c r="D73" s="1" t="inlineStr">
        <is>
          <t>店舗改装</t>
        </is>
      </c>
      <c r="E73" s="2" t="inlineStr">
        <is>
          <t>1月</t>
        </is>
      </c>
      <c r="F73" s="68" t="n">
        <v>388000</v>
      </c>
      <c r="G73" s="68">
        <f>IF(B73="","",F73-I73 )</f>
        <v/>
      </c>
      <c r="H73" s="5">
        <f>IF(G73="","",G73/F73)</f>
        <v/>
      </c>
      <c r="I73" s="62">
        <f>SUM(テーブル92[[#This Row],[五大]:[工場材]])</f>
        <v/>
      </c>
      <c r="J73" s="65" t="n"/>
      <c r="K73" s="65" t="n"/>
      <c r="L73" s="65" t="n"/>
      <c r="M73" s="65" t="n">
        <v>20000</v>
      </c>
      <c r="N73" s="65" t="n"/>
      <c r="O73" s="65" t="n"/>
      <c r="P73" s="65" t="n"/>
      <c r="Q73" s="65" t="n"/>
      <c r="R73" s="65" t="n"/>
      <c r="S73" s="65" t="n"/>
      <c r="T73" s="65" t="n"/>
      <c r="U73" s="65" t="n"/>
      <c r="V73" s="77" t="n"/>
      <c r="W73" s="65" t="n"/>
      <c r="X73" s="65" t="n"/>
      <c r="Y73" s="65" t="n">
        <v>69920</v>
      </c>
      <c r="Z73" s="65" t="n"/>
      <c r="AA73" s="65" t="n"/>
      <c r="AB73" s="65" t="n">
        <v>120000</v>
      </c>
      <c r="AC73" s="65" t="n"/>
      <c r="AD73" s="65" t="n"/>
      <c r="AE73" s="65" t="n">
        <v>25000</v>
      </c>
      <c r="AF73" s="65" t="n"/>
      <c r="AG73" s="65" t="n"/>
      <c r="AH73" s="65" t="n"/>
      <c r="AI73" s="65" t="n"/>
      <c r="AJ73" s="65" t="n"/>
      <c r="AK73" s="65" t="n"/>
      <c r="AL73" s="65" t="n"/>
      <c r="AM73" s="65" t="n"/>
      <c r="AN73" s="65" t="n"/>
      <c r="AO73" s="65" t="n"/>
      <c r="AP73" s="65" t="n"/>
    </row>
    <row r="74" hidden="1" s="49">
      <c r="B74" s="1" t="inlineStr">
        <is>
          <t>うさちゃんYB愛島</t>
        </is>
      </c>
      <c r="C74" s="2" t="inlineStr">
        <is>
          <t>一心</t>
        </is>
      </c>
      <c r="D74" s="1" t="inlineStr">
        <is>
          <t>新築</t>
        </is>
      </c>
      <c r="E74" s="2" t="inlineStr">
        <is>
          <t>2月</t>
        </is>
      </c>
      <c r="F74" s="68" t="n">
        <v>422000</v>
      </c>
      <c r="G74" s="68">
        <f>IF(B74="","",F74-I74 )</f>
        <v/>
      </c>
      <c r="H74" s="5">
        <f>IF(G74="","",G74/F74)</f>
        <v/>
      </c>
      <c r="I74" s="62">
        <f>SUM(テーブル92[[#This Row],[五大]:[工場材]])</f>
        <v/>
      </c>
      <c r="J74" s="65" t="n"/>
      <c r="K74" s="65" t="n"/>
      <c r="L74" s="65" t="n"/>
      <c r="M74" s="65" t="n"/>
      <c r="N74" s="65" t="n"/>
      <c r="O74" s="65" t="n"/>
      <c r="P74" s="65" t="n"/>
      <c r="Q74" s="65" t="n"/>
      <c r="R74" s="65" t="n"/>
      <c r="S74" s="65" t="n"/>
      <c r="T74" s="65" t="n"/>
      <c r="U74" s="65" t="n"/>
      <c r="V74" s="77" t="n"/>
      <c r="W74" s="65" t="n"/>
      <c r="X74" s="65" t="n"/>
      <c r="Y74" s="64" t="n">
        <v>100000</v>
      </c>
      <c r="Z74" s="65" t="n"/>
      <c r="AA74" s="65" t="n"/>
      <c r="AB74" s="65" t="n">
        <v>130000</v>
      </c>
      <c r="AC74" s="65" t="n"/>
      <c r="AD74" s="65" t="n"/>
      <c r="AE74" s="64" t="n">
        <v>25000</v>
      </c>
      <c r="AF74" s="65" t="n"/>
      <c r="AG74" s="65" t="n"/>
      <c r="AH74" s="65" t="n"/>
      <c r="AI74" s="65" t="n"/>
      <c r="AJ74" s="65" t="n"/>
      <c r="AK74" s="65" t="n"/>
      <c r="AL74" s="65" t="n"/>
      <c r="AM74" s="65" t="n"/>
      <c r="AN74" s="65" t="n"/>
      <c r="AO74" s="65" t="n"/>
      <c r="AP74" s="65" t="n"/>
    </row>
    <row r="75" hidden="1" s="49">
      <c r="B75" s="1" t="inlineStr">
        <is>
          <t>セジュールつかさA102</t>
        </is>
      </c>
      <c r="C75" s="2" t="inlineStr">
        <is>
          <t>ビルクラ</t>
        </is>
      </c>
      <c r="D75" s="1" t="inlineStr">
        <is>
          <t>改修工事</t>
        </is>
      </c>
      <c r="E75" s="2" t="inlineStr">
        <is>
          <t>1月</t>
        </is>
      </c>
      <c r="F75" s="68" t="n">
        <v>1092281</v>
      </c>
      <c r="G75" s="68">
        <f>IF(B75="","",F75-I75 )</f>
        <v/>
      </c>
      <c r="H75" s="5">
        <f>IF(G75="","",G75/F75)</f>
        <v/>
      </c>
      <c r="I75" s="62">
        <f>SUM(テーブル92[[#This Row],[五大]:[工場材]])</f>
        <v/>
      </c>
      <c r="J75" s="65" t="n"/>
      <c r="K75" s="65" t="n"/>
      <c r="L75" s="65" t="n"/>
      <c r="M75" s="65">
        <f>12000+8000+55000</f>
        <v/>
      </c>
      <c r="N75" s="65" t="n"/>
      <c r="O75" s="65" t="n"/>
      <c r="P75" s="65" t="n"/>
      <c r="Q75" s="65" t="n"/>
      <c r="R75" s="65" t="n"/>
      <c r="S75" s="65" t="n"/>
      <c r="T75" s="65" t="n"/>
      <c r="U75" s="64">
        <f>20000+20000+10000+3000+15000+3000+10000</f>
        <v/>
      </c>
      <c r="V75" s="77" t="n">
        <v>41493</v>
      </c>
      <c r="W75" s="65" t="n"/>
      <c r="X75" s="65" t="n"/>
      <c r="Y75" s="65" t="n"/>
      <c r="Z75" s="65" t="n">
        <v>15000</v>
      </c>
      <c r="AA75" s="65" t="n"/>
      <c r="AB75" s="65" t="n">
        <v>80000</v>
      </c>
      <c r="AC75" s="65" t="n"/>
      <c r="AD75" s="65">
        <f>10800+25200+4550+5460+2500+8640+5760+2730+5760+11520+16560+6000+4000+29000+29000+66700+3500+3500+3500+1750+2000</f>
        <v/>
      </c>
      <c r="AE75" s="65" t="n"/>
      <c r="AF75" s="65" t="n"/>
      <c r="AG75" s="65">
        <f>8000+17500</f>
        <v/>
      </c>
      <c r="AH75" s="65" t="n"/>
      <c r="AI75" s="65" t="n"/>
      <c r="AJ75" s="65" t="n"/>
      <c r="AK75" s="65" t="n"/>
      <c r="AL75" s="65" t="n"/>
      <c r="AM75" s="65" t="n">
        <v>50000</v>
      </c>
      <c r="AN75" s="65" t="n"/>
      <c r="AO75" s="65" t="n"/>
      <c r="AP75" s="65" t="n"/>
    </row>
    <row r="76" hidden="1" s="49">
      <c r="B76" s="1" t="inlineStr">
        <is>
          <t>ティエラU102</t>
        </is>
      </c>
      <c r="D76" s="1" t="inlineStr">
        <is>
          <t>漏水事故</t>
        </is>
      </c>
      <c r="E76" s="2" t="inlineStr">
        <is>
          <t>1月</t>
        </is>
      </c>
      <c r="F76" s="68" t="n">
        <v>0</v>
      </c>
      <c r="G76" s="68">
        <f>IF(B76="","",F76-I76 )</f>
        <v/>
      </c>
      <c r="H76" s="5">
        <f>IF(OR(G76="",F76=0),"",G76/F76)</f>
        <v/>
      </c>
      <c r="I76" s="62">
        <f>SUM(テーブル92[[#This Row],[五大]:[工場材]])</f>
        <v/>
      </c>
      <c r="J76" s="65" t="n"/>
      <c r="K76" s="65" t="n"/>
      <c r="L76" s="65" t="n"/>
      <c r="M76" s="65" t="n"/>
      <c r="N76" s="65" t="n"/>
      <c r="O76" s="65" t="n"/>
      <c r="P76" s="65" t="n"/>
      <c r="Q76" s="65" t="n"/>
      <c r="R76" s="65" t="n"/>
      <c r="S76" s="65" t="n"/>
      <c r="T76" s="65" t="n"/>
      <c r="U76" s="64" t="n">
        <v>50000</v>
      </c>
      <c r="V76" s="77" t="n"/>
      <c r="W76" s="65" t="n"/>
      <c r="X76" s="65" t="n"/>
      <c r="Y76" s="65" t="n"/>
      <c r="Z76" s="65" t="n"/>
      <c r="AA76" s="65" t="n"/>
      <c r="AB76" s="65" t="n"/>
      <c r="AC76" s="65" t="n"/>
      <c r="AD76" s="65" t="n"/>
      <c r="AE76" s="65" t="n"/>
      <c r="AF76" s="65" t="n"/>
      <c r="AG76" s="65" t="n"/>
      <c r="AH76" s="65" t="n"/>
      <c r="AI76" s="65" t="n"/>
      <c r="AJ76" s="65" t="n"/>
      <c r="AK76" s="65" t="n"/>
      <c r="AL76" s="65" t="n"/>
      <c r="AM76" s="65" t="n"/>
      <c r="AN76" s="65" t="n"/>
      <c r="AO76" s="65" t="n"/>
      <c r="AP76" s="65" t="n"/>
    </row>
    <row r="77" hidden="1" s="49">
      <c r="B77" s="1" t="inlineStr">
        <is>
          <t>大町テナント</t>
        </is>
      </c>
      <c r="F77" s="68" t="n">
        <v>790000</v>
      </c>
      <c r="G77" s="68">
        <f>IF(B77="","",F77-I77 )</f>
        <v/>
      </c>
      <c r="H77" s="5">
        <f>IF(G77="","",G77/F77)</f>
        <v/>
      </c>
      <c r="I77" s="62">
        <f>SUM(テーブル92[[#This Row],[五大]:[工場材]])</f>
        <v/>
      </c>
      <c r="J77" s="65" t="n"/>
      <c r="K77" s="65" t="n"/>
      <c r="L77" s="65" t="n"/>
      <c r="M77" s="65" t="n">
        <v>70000</v>
      </c>
      <c r="N77" s="65" t="n"/>
      <c r="O77" s="65" t="n"/>
      <c r="P77" s="65" t="n"/>
      <c r="Q77" s="65" t="n"/>
      <c r="R77" s="65" t="n"/>
      <c r="S77" s="65" t="n"/>
      <c r="T77" s="65" t="n"/>
      <c r="U77" s="65" t="n">
        <v>25000</v>
      </c>
      <c r="V77" s="77" t="n">
        <v>42000</v>
      </c>
      <c r="W77" s="65" t="n"/>
      <c r="X77" s="65" t="n"/>
      <c r="Y77" s="65" t="n">
        <v>18000</v>
      </c>
      <c r="Z77" s="65" t="n"/>
      <c r="AA77" s="65" t="n"/>
      <c r="AB77" s="65" t="n"/>
      <c r="AC77" s="65" t="n"/>
      <c r="AD77" s="65" t="n"/>
      <c r="AE77" s="26" t="n">
        <v>112250</v>
      </c>
      <c r="AF77" s="65" t="n"/>
      <c r="AG77" s="65" t="n"/>
      <c r="AH77" s="65" t="n"/>
      <c r="AI77" s="65" t="n"/>
      <c r="AJ77" s="65" t="n"/>
      <c r="AK77" s="65" t="n"/>
      <c r="AL77" s="65" t="n"/>
      <c r="AM77" s="65" t="n">
        <v>203900</v>
      </c>
      <c r="AN77" s="65" t="n"/>
      <c r="AO77" s="65" t="n"/>
      <c r="AP77" s="65" t="n"/>
    </row>
    <row r="78" hidden="1" s="49">
      <c r="F78" s="67">
        <f>SUBTOTAL(109,F70:F77)</f>
        <v/>
      </c>
      <c r="G78" s="67">
        <f>SUBTOTAL(109,G70:G77)</f>
        <v/>
      </c>
      <c r="H78" s="14">
        <f>IF(OR(G78="",F78=0),"",G78/F78)</f>
        <v/>
      </c>
      <c r="I78" s="67">
        <f>SUBTOTAL(109,I70:I77)</f>
        <v/>
      </c>
      <c r="J78" s="64" t="n"/>
      <c r="K78" s="64" t="n"/>
      <c r="L78" s="64" t="n"/>
      <c r="M78" s="73" t="n"/>
      <c r="N78" s="73" t="n"/>
      <c r="O78" s="73" t="n"/>
      <c r="P78" s="73" t="n"/>
      <c r="Q78" s="73" t="n"/>
      <c r="R78" s="73" t="n"/>
      <c r="S78" s="73" t="n"/>
      <c r="T78" s="73" t="n"/>
      <c r="U78" s="73" t="n"/>
      <c r="V78" s="77" t="n"/>
      <c r="W78" s="73" t="n"/>
      <c r="X78" s="73" t="n"/>
      <c r="Y78" s="73" t="n"/>
      <c r="Z78" s="73" t="n"/>
      <c r="AA78" s="73" t="n"/>
      <c r="AB78" s="73" t="n"/>
      <c r="AC78" s="73" t="n"/>
      <c r="AD78" s="73" t="n"/>
      <c r="AE78" s="26" t="n"/>
      <c r="AF78" s="65" t="n"/>
      <c r="AG78" s="65" t="n"/>
      <c r="AH78" s="65" t="n"/>
      <c r="AI78" s="65" t="n"/>
      <c r="AJ78" s="65" t="n"/>
      <c r="AK78" s="64" t="n"/>
      <c r="AL78" s="65" t="n"/>
      <c r="AM78" s="65" t="n"/>
      <c r="AN78" s="64" t="n"/>
      <c r="AO78" s="64" t="n"/>
      <c r="AP78" s="65" t="n"/>
    </row>
    <row r="79" hidden="1" s="49">
      <c r="F79" s="68" t="n"/>
      <c r="G79" s="68">
        <f>IF(B79="","",F79-I79 )</f>
        <v/>
      </c>
      <c r="H79" s="5">
        <f>IF(G79="","",G79/F79)</f>
        <v/>
      </c>
      <c r="J79" s="64" t="n"/>
      <c r="K79" s="64" t="n"/>
      <c r="L79" s="64" t="n"/>
      <c r="M79" s="73" t="n"/>
      <c r="N79" s="73" t="n"/>
      <c r="O79" s="73" t="n"/>
      <c r="P79" s="73" t="n"/>
      <c r="Q79" s="73" t="n"/>
      <c r="R79" s="73" t="n"/>
      <c r="S79" s="73" t="n"/>
      <c r="T79" s="73" t="n"/>
      <c r="U79" s="73" t="n"/>
      <c r="V79" s="77" t="n"/>
      <c r="W79" s="73" t="n"/>
      <c r="X79" s="73" t="n"/>
      <c r="Y79" s="73" t="n"/>
      <c r="Z79" s="73" t="n"/>
      <c r="AA79" s="73" t="n"/>
      <c r="AB79" s="73" t="n"/>
      <c r="AC79" s="73" t="n"/>
      <c r="AD79" s="73" t="n"/>
      <c r="AE79" s="74" t="n"/>
      <c r="AF79" s="65" t="n"/>
      <c r="AG79" s="65" t="n"/>
      <c r="AH79" s="65" t="n"/>
      <c r="AI79" s="65" t="n"/>
      <c r="AJ79" s="65" t="n"/>
      <c r="AK79" s="64" t="n"/>
      <c r="AL79" s="65" t="n"/>
      <c r="AM79" s="65" t="n"/>
      <c r="AN79" s="64" t="n"/>
      <c r="AO79" s="64" t="n"/>
      <c r="AP79" s="65" t="n"/>
    </row>
    <row r="80" hidden="1" s="49">
      <c r="A80" s="0" t="inlineStr">
        <is>
          <t>R3.3</t>
        </is>
      </c>
      <c r="F80" s="68" t="n"/>
      <c r="G80" s="68">
        <f>IF(B80="","",F80-I80 )</f>
        <v/>
      </c>
      <c r="H80" s="5">
        <f>IF(G80="","",G80/F80)</f>
        <v/>
      </c>
      <c r="J80" s="64" t="n"/>
      <c r="K80" s="64" t="n"/>
      <c r="L80" s="64" t="n"/>
      <c r="M80" s="73" t="n"/>
      <c r="N80" s="73" t="n"/>
      <c r="O80" s="73" t="n"/>
      <c r="P80" s="73" t="n"/>
      <c r="Q80" s="73" t="n"/>
      <c r="R80" s="73" t="n"/>
      <c r="S80" s="73" t="n"/>
      <c r="T80" s="73" t="n"/>
      <c r="U80" s="73" t="n"/>
      <c r="V80" s="77" t="n"/>
      <c r="W80" s="73" t="n"/>
      <c r="X80" s="73" t="n"/>
      <c r="Y80" s="73" t="n"/>
      <c r="Z80" s="73" t="n"/>
      <c r="AA80" s="73" t="n"/>
      <c r="AB80" s="73" t="n"/>
      <c r="AC80" s="73" t="n"/>
      <c r="AD80" s="73" t="n"/>
      <c r="AE80" s="74" t="n"/>
      <c r="AF80" s="65" t="n"/>
      <c r="AG80" s="65" t="n"/>
      <c r="AH80" s="65" t="n"/>
      <c r="AI80" s="65" t="n"/>
      <c r="AJ80" s="65" t="n"/>
      <c r="AK80" s="64" t="n"/>
      <c r="AL80" s="65" t="n"/>
      <c r="AM80" s="65" t="n"/>
      <c r="AN80" s="64" t="n"/>
      <c r="AO80" s="64" t="n"/>
      <c r="AP80" s="65" t="n"/>
    </row>
    <row r="81" hidden="1" s="49">
      <c r="B81" s="1" t="inlineStr">
        <is>
          <t>チサンマンション富沢駅前Ⅲ403</t>
        </is>
      </c>
      <c r="C81" s="2" t="inlineStr">
        <is>
          <t>サステム</t>
        </is>
      </c>
      <c r="D81" s="1" t="inlineStr">
        <is>
          <t>全室クロス+畳+収納取付け</t>
        </is>
      </c>
      <c r="E81" s="2" t="inlineStr">
        <is>
          <t>2月</t>
        </is>
      </c>
      <c r="F81" s="68" t="n">
        <v>1120000</v>
      </c>
      <c r="G81" s="68">
        <f>IF(B81="","",F81-I81 )</f>
        <v/>
      </c>
      <c r="H81" s="5">
        <f>IF(G81="","",G81/F81)</f>
        <v/>
      </c>
      <c r="I81" s="62">
        <f>SUM(テーブル92[[#This Row],[五大]:[工場材]])</f>
        <v/>
      </c>
      <c r="J81" s="65" t="n"/>
      <c r="K81" s="65" t="n"/>
      <c r="L81" s="65" t="n"/>
      <c r="M81" s="65" t="n"/>
      <c r="N81" s="65" t="n"/>
      <c r="O81" s="65" t="n"/>
      <c r="P81" s="65" t="n"/>
      <c r="Q81" s="65" t="n"/>
      <c r="R81" s="65" t="n"/>
      <c r="S81" s="65" t="n"/>
      <c r="T81" s="65" t="n"/>
      <c r="U81" s="64" t="n">
        <v>250000</v>
      </c>
      <c r="V81" s="77" t="n">
        <v>53371</v>
      </c>
      <c r="W81" s="65" t="n"/>
      <c r="X81" s="65" t="n"/>
      <c r="Y81" s="64" t="n">
        <v>90000</v>
      </c>
      <c r="Z81" s="64" t="n">
        <v>70000</v>
      </c>
      <c r="AA81" s="65" t="n"/>
      <c r="AB81" s="64" t="n">
        <v>6000</v>
      </c>
      <c r="AC81" s="65" t="n"/>
      <c r="AD81" s="65" t="n"/>
      <c r="AE81" s="65" t="n">
        <v>300000</v>
      </c>
      <c r="AF81" s="65">
        <f>54000+6600+24000+4800</f>
        <v/>
      </c>
      <c r="AG81" s="65" t="n"/>
      <c r="AH81" s="65" t="n"/>
      <c r="AI81" s="65" t="n"/>
      <c r="AJ81" s="65" t="n"/>
      <c r="AK81" s="65" t="n"/>
      <c r="AL81" s="65" t="n"/>
      <c r="AM81" s="65" t="n"/>
      <c r="AN81" s="65" t="n"/>
      <c r="AO81" s="65" t="n"/>
      <c r="AP81" s="65" t="n"/>
    </row>
    <row r="82" hidden="1" s="49">
      <c r="B82" s="1" t="inlineStr">
        <is>
          <t>サンハイツ</t>
        </is>
      </c>
      <c r="C82" s="2" t="inlineStr">
        <is>
          <t>JA</t>
        </is>
      </c>
      <c r="D82" s="1" t="inlineStr">
        <is>
          <t>外壁塗装　外壁交換</t>
        </is>
      </c>
      <c r="E82" s="2" t="inlineStr">
        <is>
          <t>3月</t>
        </is>
      </c>
      <c r="F82" s="68" t="n">
        <v>2565000</v>
      </c>
      <c r="G82" s="68">
        <f>IF(B82="","",F82-I82 )</f>
        <v/>
      </c>
      <c r="H82" s="5">
        <f>IF(G82="","",G82/F82)</f>
        <v/>
      </c>
      <c r="I82" s="62">
        <f>SUM(テーブル92[[#This Row],[五大]:[工場材]])</f>
        <v/>
      </c>
      <c r="J82" s="64" t="n">
        <v>270000</v>
      </c>
      <c r="K82" s="65" t="n"/>
      <c r="L82" s="65" t="n"/>
      <c r="M82" s="64" t="n">
        <v>900000</v>
      </c>
      <c r="N82" s="65" t="n"/>
      <c r="O82" s="65" t="n"/>
      <c r="P82" s="64" t="n">
        <v>250000</v>
      </c>
      <c r="Q82" s="65" t="n"/>
      <c r="R82" s="65" t="n"/>
      <c r="S82" s="64" t="n">
        <v>133950</v>
      </c>
      <c r="T82" s="64" t="n"/>
      <c r="U82" s="64" t="n">
        <v>250000</v>
      </c>
      <c r="V82" s="77" t="n">
        <v>14434</v>
      </c>
      <c r="W82" s="65" t="n"/>
      <c r="X82" s="65" t="n"/>
      <c r="Y82" s="64" t="n">
        <v>20000</v>
      </c>
      <c r="Z82" s="65" t="n"/>
      <c r="AA82" s="65" t="n"/>
      <c r="AB82" s="65" t="n"/>
      <c r="AC82" s="65" t="n"/>
      <c r="AD82" s="65" t="n"/>
      <c r="AE82" s="65" t="n"/>
      <c r="AF82" s="65" t="n"/>
      <c r="AG82" s="65" t="n"/>
      <c r="AH82" s="65" t="n"/>
      <c r="AI82" s="65" t="n"/>
      <c r="AJ82" s="65" t="n"/>
      <c r="AK82" s="64">
        <f>41400+8000+5760+5760</f>
        <v/>
      </c>
      <c r="AL82" s="65" t="n"/>
      <c r="AM82" s="65" t="n"/>
      <c r="AN82" s="64" t="n">
        <v>32500</v>
      </c>
      <c r="AO82" s="64" t="n"/>
      <c r="AP82" s="65" t="n"/>
    </row>
    <row r="83" hidden="1" s="49">
      <c r="B83" s="1" t="inlineStr">
        <is>
          <t>東九番町ﾊﾟｰｸﾏﾝｼｮﾝ703</t>
        </is>
      </c>
      <c r="C83" s="2" t="inlineStr">
        <is>
          <t>日本ソービ</t>
        </is>
      </c>
      <c r="E83" s="2" t="inlineStr">
        <is>
          <t>3月</t>
        </is>
      </c>
      <c r="F83" s="68" t="n">
        <v>3800000</v>
      </c>
      <c r="G83" s="68">
        <f>IF(B83="","",F83-I83 )</f>
        <v/>
      </c>
      <c r="H83" s="5">
        <f>IF(G83="","",G83/F83)</f>
        <v/>
      </c>
      <c r="I83" s="62">
        <f>SUM(テーブル92[[#This Row],[五大]:[工場材]])</f>
        <v/>
      </c>
      <c r="J83" s="65" t="n"/>
      <c r="K83" s="65" t="n"/>
      <c r="L83" s="65" t="n"/>
      <c r="M83" s="65" t="n"/>
      <c r="N83" s="65" t="n"/>
      <c r="O83" s="65" t="n"/>
      <c r="P83" s="65" t="n"/>
      <c r="Q83" s="65" t="n"/>
      <c r="R83" s="65" t="n"/>
      <c r="S83" s="65" t="n"/>
      <c r="T83" s="65" t="n"/>
      <c r="U83" s="64" t="n">
        <v>650000</v>
      </c>
      <c r="V83" s="77" t="n">
        <v>97897</v>
      </c>
      <c r="W83" s="64" t="n">
        <v>133000</v>
      </c>
      <c r="X83" s="65" t="n"/>
      <c r="Y83" s="64" t="n">
        <v>220000</v>
      </c>
      <c r="Z83" s="64" t="n">
        <v>405000</v>
      </c>
      <c r="AA83" s="65" t="n"/>
      <c r="AB83" s="65" t="n"/>
      <c r="AC83" s="64">
        <f>114000+7000+12160+2000+5400+8400+5400+2000+1200+7200</f>
        <v/>
      </c>
      <c r="AD83" s="65" t="n"/>
      <c r="AE83" s="64" t="n">
        <v>23000</v>
      </c>
      <c r="AF83" s="65" t="n"/>
      <c r="AG83" s="65" t="n"/>
      <c r="AH83" s="65" t="n"/>
      <c r="AI83" s="65" t="n"/>
      <c r="AJ83" s="65" t="n"/>
      <c r="AK83" s="64">
        <f>148772+65590+34000+126498+164200+198000+2100+260000+2580</f>
        <v/>
      </c>
      <c r="AL83" s="65" t="n"/>
      <c r="AM83" s="65" t="n"/>
      <c r="AN83" s="64" t="n">
        <v>32500</v>
      </c>
      <c r="AO83" s="64" t="n"/>
      <c r="AP83" s="65">
        <f>400000+380000</f>
        <v/>
      </c>
    </row>
    <row r="84" hidden="1" s="49">
      <c r="B84" s="1" t="inlineStr">
        <is>
          <t>荒巻中央パークマンション306</t>
        </is>
      </c>
      <c r="C84" s="2" t="inlineStr">
        <is>
          <t>LIXIL</t>
        </is>
      </c>
      <c r="D84" s="1" t="inlineStr">
        <is>
          <t>キッチン入替</t>
        </is>
      </c>
      <c r="E84" s="2" t="inlineStr">
        <is>
          <t>3月</t>
        </is>
      </c>
      <c r="F84" s="68" t="n">
        <v>338000</v>
      </c>
      <c r="G84" s="68">
        <f>IF(B84="","",F84-I84 )</f>
        <v/>
      </c>
      <c r="H84" s="5">
        <f>IF(G84="","",G84/F84)</f>
        <v/>
      </c>
      <c r="I84" s="62">
        <f>SUM(テーブル92[[#This Row],[五大]:[工場材]])</f>
        <v/>
      </c>
      <c r="J84" s="65" t="n"/>
      <c r="K84" s="65" t="n"/>
      <c r="L84" s="65" t="n"/>
      <c r="M84" s="65" t="n"/>
      <c r="N84" s="65" t="n"/>
      <c r="O84" s="65" t="n"/>
      <c r="P84" s="65" t="n"/>
      <c r="Q84" s="65" t="n"/>
      <c r="R84" s="65" t="n"/>
      <c r="S84" s="65" t="n"/>
      <c r="T84" s="65" t="n"/>
      <c r="U84" s="64" t="n">
        <v>30000</v>
      </c>
      <c r="V84" s="77" t="n">
        <v>6241</v>
      </c>
      <c r="W84" s="64" t="n"/>
      <c r="X84" s="65" t="n"/>
      <c r="Y84" s="64" t="n">
        <v>20000</v>
      </c>
      <c r="Z84" s="64" t="n"/>
      <c r="AA84" s="64" t="n">
        <v>59000</v>
      </c>
      <c r="AB84" s="65" t="n"/>
      <c r="AC84" s="65" t="n"/>
      <c r="AD84" s="65" t="n"/>
      <c r="AE84" s="64" t="n">
        <v>50000</v>
      </c>
      <c r="AF84" s="65" t="n"/>
      <c r="AG84" s="65" t="n"/>
      <c r="AH84" s="65" t="n"/>
      <c r="AI84" s="65" t="n"/>
      <c r="AJ84" s="65" t="n"/>
      <c r="AK84" s="65" t="n"/>
      <c r="AL84" s="65" t="n"/>
      <c r="AM84" s="65" t="n"/>
      <c r="AN84" s="65" t="n"/>
      <c r="AO84" s="65" t="n"/>
      <c r="AP84" s="65" t="n"/>
    </row>
    <row r="85" hidden="1" s="49">
      <c r="B85" s="1" t="inlineStr">
        <is>
          <t>ネバーランド</t>
        </is>
      </c>
      <c r="C85" s="2" t="inlineStr">
        <is>
          <t>積水不動産</t>
        </is>
      </c>
      <c r="D85" s="1" t="inlineStr">
        <is>
          <t>アスロック交換</t>
        </is>
      </c>
      <c r="E85" s="2" t="inlineStr">
        <is>
          <t>3月</t>
        </is>
      </c>
      <c r="F85" s="68" t="n">
        <v>453200</v>
      </c>
      <c r="G85" s="68">
        <f>IF(B85="","",F85-I85 )</f>
        <v/>
      </c>
      <c r="H85" s="5">
        <f>IF(G85="","",G85/F85)</f>
        <v/>
      </c>
      <c r="I85" s="62">
        <f>SUM(テーブル92[[#This Row],[五大]:[工場材]])</f>
        <v/>
      </c>
      <c r="J85" s="65" t="n"/>
      <c r="K85" s="65" t="n"/>
      <c r="L85" s="65" t="n"/>
      <c r="M85" s="65" t="n"/>
      <c r="N85" s="65" t="n">
        <v>20000</v>
      </c>
      <c r="O85" s="65" t="n"/>
      <c r="P85" s="64">
        <f>700*57.5</f>
        <v/>
      </c>
      <c r="Q85" s="65" t="n"/>
      <c r="R85" s="65" t="n"/>
      <c r="S85" s="65" t="n"/>
      <c r="T85" s="65" t="n"/>
      <c r="U85" s="65" t="n"/>
      <c r="V85" s="77" t="n">
        <v>15000</v>
      </c>
      <c r="W85" s="65" t="n"/>
      <c r="X85" s="65" t="n"/>
      <c r="Y85" s="65" t="n"/>
      <c r="Z85" s="65" t="n"/>
      <c r="AA85" s="65" t="n"/>
      <c r="AB85" s="65" t="n"/>
      <c r="AC85" s="65" t="n"/>
      <c r="AD85" s="65" t="n"/>
      <c r="AE85" s="65" t="n"/>
      <c r="AF85" s="65" t="n"/>
      <c r="AG85" s="65" t="n"/>
      <c r="AH85" s="65" t="n"/>
      <c r="AI85" s="65" t="n"/>
      <c r="AJ85" s="65" t="n"/>
      <c r="AK85" s="65" t="n"/>
      <c r="AL85" s="65" t="n"/>
      <c r="AM85" s="65" t="n"/>
      <c r="AN85" s="65" t="n"/>
      <c r="AO85" s="65" t="n"/>
      <c r="AP85" s="64" t="n">
        <v>102015</v>
      </c>
    </row>
    <row r="86" hidden="1" s="49">
      <c r="B86" s="1" t="inlineStr">
        <is>
          <t>松森　テナント</t>
        </is>
      </c>
      <c r="C86" s="2" t="inlineStr">
        <is>
          <t>山田</t>
        </is>
      </c>
      <c r="D86" s="1" t="inlineStr">
        <is>
          <t>テナント改修工事</t>
        </is>
      </c>
      <c r="E86" s="2" t="inlineStr">
        <is>
          <t>3月</t>
        </is>
      </c>
      <c r="F86" s="68">
        <f>740910+1460000+60000+632200</f>
        <v/>
      </c>
      <c r="G86" s="68">
        <f>IF(B86="","",F86-I86 )</f>
        <v/>
      </c>
      <c r="H86" s="5">
        <f>IF(G86="","",G86/F86)</f>
        <v/>
      </c>
      <c r="I86" s="62">
        <f>SUM(テーブル92[[#This Row],[五大]:[工場材]])</f>
        <v/>
      </c>
      <c r="J86" s="64" t="n"/>
      <c r="K86" s="65" t="n"/>
      <c r="L86" s="65" t="n"/>
      <c r="M86" s="65" t="n"/>
      <c r="N86" s="65" t="n"/>
      <c r="O86" s="65" t="n"/>
      <c r="P86" s="65" t="n"/>
      <c r="Q86" s="65" t="n"/>
      <c r="R86" s="65" t="n"/>
      <c r="S86" s="65" t="n"/>
      <c r="T86" s="65" t="n"/>
      <c r="U86" s="65" t="n">
        <v>400000</v>
      </c>
      <c r="V86" s="77" t="n">
        <v>66922</v>
      </c>
      <c r="W86" s="65" t="n"/>
      <c r="X86" s="65" t="n"/>
      <c r="Y86" s="64" t="n">
        <v>453500</v>
      </c>
      <c r="Z86" s="64" t="n">
        <v>235000</v>
      </c>
      <c r="AA86" s="65" t="n"/>
      <c r="AB86" s="65" t="n"/>
      <c r="AC86" s="65" t="n"/>
      <c r="AD86" s="64" t="n">
        <v>683600</v>
      </c>
      <c r="AE86" s="65" t="n"/>
      <c r="AF86" s="65" t="n"/>
      <c r="AG86" s="65" t="n"/>
      <c r="AH86" s="65" t="n"/>
      <c r="AI86" s="65" t="n"/>
      <c r="AJ86" s="65" t="n"/>
      <c r="AK86" s="65" t="n"/>
      <c r="AL86" s="65" t="n"/>
      <c r="AM86" s="65" t="n"/>
      <c r="AN86" s="65" t="n"/>
      <c r="AO86" s="65" t="n"/>
      <c r="AP86" s="65" t="n"/>
    </row>
    <row r="87" hidden="1" s="49">
      <c r="B87" s="1" t="inlineStr">
        <is>
          <t>うさちゃん長命ヶ丘</t>
        </is>
      </c>
      <c r="C87" s="2" t="inlineStr">
        <is>
          <t>一心</t>
        </is>
      </c>
      <c r="D87" s="1" t="inlineStr">
        <is>
          <t>テナント改修工事（事故）</t>
        </is>
      </c>
      <c r="E87" s="2" t="inlineStr">
        <is>
          <t>3月</t>
        </is>
      </c>
      <c r="F87" s="68">
        <f>254000+447000+1631000+118000+816630</f>
        <v/>
      </c>
      <c r="G87" s="68">
        <f>IF(B87="","",F87-I87 )</f>
        <v/>
      </c>
      <c r="H87" s="5">
        <f>IF(G87="","",G87/F87)</f>
        <v/>
      </c>
      <c r="I87" s="62">
        <f>SUM(テーブル92[[#This Row],[五大]:[工場材]])</f>
        <v/>
      </c>
      <c r="J87" s="64" t="n"/>
      <c r="K87" s="65" t="n"/>
      <c r="L87" s="65" t="n"/>
      <c r="M87" s="65" t="n">
        <v>60000</v>
      </c>
      <c r="N87" s="65" t="n"/>
      <c r="O87" s="65" t="n"/>
      <c r="P87" s="65" t="n"/>
      <c r="Q87" s="65" t="n"/>
      <c r="R87" s="65" t="n"/>
      <c r="S87" s="65" t="n"/>
      <c r="T87" s="65" t="n"/>
      <c r="U87" s="65" t="n"/>
      <c r="V87" s="77" t="n"/>
      <c r="W87" s="65" t="n"/>
      <c r="X87" s="65" t="n"/>
      <c r="Y87" s="64" t="n">
        <v>25000</v>
      </c>
      <c r="Z87" s="65" t="n"/>
      <c r="AA87" s="65" t="n"/>
      <c r="AB87" s="64" t="n">
        <v>2575000</v>
      </c>
      <c r="AC87" s="65" t="n"/>
      <c r="AD87" s="65" t="n"/>
      <c r="AE87" s="65" t="n"/>
      <c r="AF87" s="65" t="n"/>
      <c r="AG87" s="65" t="n"/>
      <c r="AH87" s="65" t="n"/>
      <c r="AI87" s="65" t="n"/>
      <c r="AJ87" s="65" t="n"/>
      <c r="AK87" s="65" t="n"/>
      <c r="AL87" s="65" t="n"/>
      <c r="AM87" s="65" t="n"/>
      <c r="AN87" s="65" t="n"/>
      <c r="AO87" s="65" t="n"/>
      <c r="AP87" s="65" t="n"/>
    </row>
    <row r="88" hidden="1" s="49">
      <c r="B88" s="1" t="inlineStr">
        <is>
          <t xml:space="preserve">　うさちゃん住吉台工場</t>
        </is>
      </c>
      <c r="C88" s="2" t="inlineStr">
        <is>
          <t>一心</t>
        </is>
      </c>
      <c r="E88" s="2" t="inlineStr">
        <is>
          <t>3月</t>
        </is>
      </c>
      <c r="F88" s="68" t="n">
        <v>288000</v>
      </c>
      <c r="G88" s="68">
        <f>IF(B88="","",F88-I88 )</f>
        <v/>
      </c>
      <c r="H88" s="5">
        <f>IF(G88="","",G88/F88)</f>
        <v/>
      </c>
      <c r="I88" s="62">
        <f>SUM(テーブル92[[#This Row],[五大]:[工場材]])</f>
        <v/>
      </c>
      <c r="J88" s="64" t="n"/>
      <c r="K88" s="65" t="n"/>
      <c r="L88" s="65" t="n"/>
      <c r="M88" s="65" t="n"/>
      <c r="N88" s="65" t="n"/>
      <c r="O88" s="65" t="n"/>
      <c r="P88" s="65" t="n"/>
      <c r="Q88" s="65" t="n"/>
      <c r="R88" s="65" t="n"/>
      <c r="S88" s="65" t="n"/>
      <c r="T88" s="65" t="n"/>
      <c r="U88" s="65" t="n"/>
      <c r="V88" s="77" t="n"/>
      <c r="W88" s="65" t="n"/>
      <c r="X88" s="65" t="n"/>
      <c r="Y88" s="64" t="n"/>
      <c r="Z88" s="65" t="n"/>
      <c r="AA88" s="65" t="n"/>
      <c r="AB88" s="65" t="n">
        <v>150000</v>
      </c>
      <c r="AC88" s="65" t="n"/>
      <c r="AD88" s="65" t="n"/>
      <c r="AE88" s="65" t="n"/>
      <c r="AF88" s="65" t="n"/>
      <c r="AG88" s="65" t="n"/>
      <c r="AH88" s="65" t="n"/>
      <c r="AI88" s="65" t="n"/>
      <c r="AJ88" s="65" t="n"/>
      <c r="AK88" s="65" t="n"/>
      <c r="AL88" s="65" t="n"/>
      <c r="AM88" s="65" t="n"/>
      <c r="AN88" s="65" t="n">
        <v>39000</v>
      </c>
      <c r="AO88" s="65" t="n"/>
      <c r="AP88" s="65" t="n"/>
    </row>
    <row r="89" hidden="1" s="49">
      <c r="B89" s="1" t="inlineStr">
        <is>
          <t>ベルージュ</t>
        </is>
      </c>
      <c r="C89" s="2" t="inlineStr">
        <is>
          <t>積水不動産</t>
        </is>
      </c>
      <c r="D89" s="1" t="inlineStr">
        <is>
          <t>塗装</t>
        </is>
      </c>
      <c r="E89" s="2" t="inlineStr">
        <is>
          <t>3月</t>
        </is>
      </c>
      <c r="F89" s="68" t="n">
        <v>2485000</v>
      </c>
      <c r="G89" s="68">
        <f>IF(B89="","",F89-I89 )</f>
        <v/>
      </c>
      <c r="H89" s="5">
        <f>IF(G89="","",G89/F89)</f>
        <v/>
      </c>
      <c r="I89" s="62">
        <f>SUM(テーブル92[[#This Row],[五大]:[工場材]])</f>
        <v/>
      </c>
      <c r="J89" s="64" t="n">
        <v>350000</v>
      </c>
      <c r="K89" s="65" t="n"/>
      <c r="L89" s="65" t="n"/>
      <c r="M89" s="64" t="n">
        <v>1000000</v>
      </c>
      <c r="N89" s="65" t="n"/>
      <c r="O89" s="65" t="n"/>
      <c r="P89" s="64">
        <f>21000+37100</f>
        <v/>
      </c>
      <c r="Q89" s="64" t="n">
        <v>35000</v>
      </c>
      <c r="R89" s="65" t="n"/>
      <c r="S89" s="64">
        <f>195300</f>
        <v/>
      </c>
      <c r="T89" s="64" t="n"/>
      <c r="U89" s="65" t="n"/>
      <c r="V89" s="77" t="n"/>
      <c r="W89" s="65" t="n"/>
      <c r="X89" s="65" t="n"/>
      <c r="Y89" s="64" t="n">
        <v>35000</v>
      </c>
      <c r="Z89" s="65" t="n"/>
      <c r="AA89" s="65" t="n"/>
      <c r="AB89" s="65" t="n"/>
      <c r="AC89" s="65" t="n"/>
      <c r="AD89" s="65" t="n"/>
      <c r="AE89" s="65" t="n"/>
      <c r="AF89" s="65" t="n"/>
      <c r="AG89" s="65" t="n"/>
      <c r="AH89" s="65" t="n"/>
      <c r="AI89" s="65" t="n"/>
      <c r="AJ89" s="65" t="n"/>
      <c r="AK89" s="65" t="n"/>
      <c r="AL89" s="65" t="n"/>
      <c r="AM89" s="65" t="n"/>
      <c r="AN89" s="65" t="n"/>
      <c r="AO89" s="65" t="n"/>
      <c r="AP89" s="65" t="n"/>
    </row>
    <row r="90" hidden="1" s="49">
      <c r="B90" s="1" t="inlineStr">
        <is>
          <t>泉ヶ丘戸建て</t>
        </is>
      </c>
      <c r="C90" s="2" t="inlineStr">
        <is>
          <t>積水不動産</t>
        </is>
      </c>
      <c r="D90" s="1" t="inlineStr">
        <is>
          <t>フェンス・土間洗浄</t>
        </is>
      </c>
      <c r="E90" s="2" t="inlineStr">
        <is>
          <t>3月</t>
        </is>
      </c>
      <c r="F90" s="68" t="n">
        <v>595000</v>
      </c>
      <c r="G90" s="68">
        <f>IF(B90="","",F90-I90 )</f>
        <v/>
      </c>
      <c r="H90" s="5">
        <f>IF(G90="","",G90/F90)</f>
        <v/>
      </c>
      <c r="I90" s="62">
        <f>SUM(テーブル92[[#This Row],[五大]:[工場材]])</f>
        <v/>
      </c>
      <c r="J90" s="64" t="n"/>
      <c r="K90" s="65" t="n"/>
      <c r="L90" s="65" t="n"/>
      <c r="M90" s="64" t="n">
        <v>25000</v>
      </c>
      <c r="N90" s="65" t="n"/>
      <c r="O90" s="65" t="n"/>
      <c r="P90" s="65" t="n"/>
      <c r="Q90" s="65" t="n"/>
      <c r="R90" s="65" t="n"/>
      <c r="S90" s="65" t="n"/>
      <c r="T90" s="65" t="n"/>
      <c r="U90" s="65" t="n"/>
      <c r="V90" s="77" t="n"/>
      <c r="W90" s="65" t="n"/>
      <c r="X90" s="65" t="n"/>
      <c r="Y90" s="65" t="n"/>
      <c r="Z90" s="65" t="n"/>
      <c r="AA90" s="65" t="n"/>
      <c r="AB90" s="64" t="n">
        <v>370000</v>
      </c>
      <c r="AC90" s="65" t="n"/>
      <c r="AD90" s="65" t="n"/>
      <c r="AE90" s="65" t="n"/>
      <c r="AF90" s="65" t="n"/>
      <c r="AG90" s="65" t="n"/>
      <c r="AH90" s="65" t="n"/>
      <c r="AI90" s="65" t="n"/>
      <c r="AJ90" s="65" t="n"/>
      <c r="AK90" s="65" t="n"/>
      <c r="AL90" s="65" t="n"/>
      <c r="AM90" s="65" t="n"/>
      <c r="AN90" s="65" t="n">
        <v>20000</v>
      </c>
      <c r="AO90" s="65" t="n"/>
      <c r="AP90" s="65" t="n"/>
    </row>
    <row r="91" hidden="1" s="49">
      <c r="B91" s="1" t="inlineStr">
        <is>
          <t>宮城スバル</t>
        </is>
      </c>
      <c r="C91" s="2" t="inlineStr">
        <is>
          <t>一心</t>
        </is>
      </c>
      <c r="D91" s="1" t="inlineStr">
        <is>
          <t>ランドリー室工事+防炎仕様</t>
        </is>
      </c>
      <c r="E91" s="2" t="inlineStr">
        <is>
          <t>3月</t>
        </is>
      </c>
      <c r="F91" s="68">
        <f>965000+394000</f>
        <v/>
      </c>
      <c r="G91" s="68">
        <f>IF(B91="","",F91-I91 )</f>
        <v/>
      </c>
      <c r="H91" s="5">
        <f>IF(G91="","",G91/F91)</f>
        <v/>
      </c>
      <c r="I91" s="62">
        <f>SUM(テーブル92[[#This Row],[五大]:[工場材]])</f>
        <v/>
      </c>
      <c r="J91" s="64" t="n"/>
      <c r="K91" s="65" t="n"/>
      <c r="L91" s="65" t="n"/>
      <c r="M91" s="65" t="n">
        <v>28000</v>
      </c>
      <c r="N91" s="65" t="n"/>
      <c r="O91" s="65" t="n"/>
      <c r="P91" s="65" t="n"/>
      <c r="Q91" s="65" t="n"/>
      <c r="R91" s="65" t="n"/>
      <c r="S91" s="65" t="n"/>
      <c r="T91" s="65" t="n"/>
      <c r="U91" s="65" t="n"/>
      <c r="V91" s="77" t="n">
        <v>59734</v>
      </c>
      <c r="W91" s="65" t="n"/>
      <c r="X91" s="65" t="n"/>
      <c r="Y91" s="64" t="n">
        <v>278000</v>
      </c>
      <c r="Z91" s="64" t="n">
        <v>135400</v>
      </c>
      <c r="AA91" s="65" t="n"/>
      <c r="AB91" s="64">
        <f>70000+206490</f>
        <v/>
      </c>
      <c r="AC91" s="65" t="n"/>
      <c r="AD91" s="65" t="n"/>
      <c r="AE91" s="65" t="n"/>
      <c r="AF91" s="65" t="n"/>
      <c r="AG91" s="65" t="n"/>
      <c r="AH91" s="65" t="n"/>
      <c r="AI91" s="65" t="n"/>
      <c r="AJ91" s="65" t="n"/>
      <c r="AK91" s="65" t="n"/>
      <c r="AL91" s="65" t="n"/>
      <c r="AM91" s="65" t="n"/>
      <c r="AN91" s="65" t="n"/>
      <c r="AO91" s="65" t="n"/>
      <c r="AP91" s="65" t="n"/>
    </row>
    <row r="92">
      <c r="B92" s="1" t="inlineStr">
        <is>
          <t>グリンヒルズCHIDA</t>
        </is>
      </c>
      <c r="E92" s="2" t="inlineStr">
        <is>
          <t>3月</t>
        </is>
      </c>
      <c r="F92" s="68" t="n">
        <v>173000</v>
      </c>
      <c r="G92" s="68">
        <f>IF(B92="","",F92-I92 )</f>
        <v/>
      </c>
      <c r="H92" s="5">
        <f>IF(G92="","",G92/F92)</f>
        <v/>
      </c>
      <c r="I92" s="62">
        <f>SUM(テーブル92[[#This Row],[五大]:[工場材]])</f>
        <v/>
      </c>
      <c r="J92" s="64" t="n">
        <v>80000</v>
      </c>
      <c r="K92" s="65" t="n"/>
      <c r="L92" s="65" t="n"/>
      <c r="M92" s="65" t="n"/>
      <c r="N92" s="65" t="n"/>
      <c r="O92" s="65" t="n"/>
      <c r="P92" s="64" t="n">
        <v>30000</v>
      </c>
      <c r="Q92" s="65" t="n"/>
      <c r="R92" s="65" t="n"/>
      <c r="S92" s="65" t="n"/>
      <c r="T92" s="65" t="n"/>
      <c r="U92" s="65" t="n"/>
      <c r="V92" s="77" t="n"/>
      <c r="W92" s="65" t="n"/>
      <c r="X92" s="65" t="n"/>
      <c r="Y92" s="65" t="n"/>
      <c r="Z92" s="65" t="n"/>
      <c r="AA92" s="65" t="n"/>
      <c r="AB92" s="65" t="n"/>
      <c r="AC92" s="65" t="n"/>
      <c r="AD92" s="65" t="n"/>
      <c r="AE92" s="65" t="n"/>
      <c r="AF92" s="65" t="n"/>
      <c r="AG92" s="65" t="n"/>
      <c r="AH92" s="65" t="n"/>
      <c r="AI92" s="65" t="n"/>
      <c r="AJ92" s="65" t="n"/>
      <c r="AK92" s="65" t="n"/>
      <c r="AL92" s="65" t="n"/>
      <c r="AM92" s="65" t="n"/>
      <c r="AN92" s="65" t="n"/>
      <c r="AO92" s="65" t="n"/>
      <c r="AP92" s="65" t="n"/>
    </row>
    <row r="93" hidden="1" s="49">
      <c r="B93" s="1" t="inlineStr">
        <is>
          <t>南光台　佐々木邸</t>
        </is>
      </c>
      <c r="C93" s="2" t="inlineStr">
        <is>
          <t>光和工業</t>
        </is>
      </c>
      <c r="E93" s="2" t="inlineStr">
        <is>
          <t>3月</t>
        </is>
      </c>
      <c r="F93" s="68" t="n">
        <v>170000</v>
      </c>
      <c r="G93" s="68">
        <f>IF(B93="","",F93-I93 )</f>
        <v/>
      </c>
      <c r="H93" s="5">
        <f>IF(G93="","",G93/F93)</f>
        <v/>
      </c>
      <c r="I93" s="62">
        <f>SUM(テーブル92[[#This Row],[五大]:[工場材]])</f>
        <v/>
      </c>
      <c r="J93" s="64" t="n">
        <v>40000</v>
      </c>
      <c r="K93" s="65" t="n"/>
      <c r="L93" s="65" t="n"/>
      <c r="M93" s="64" t="n">
        <v>25000</v>
      </c>
      <c r="N93" s="65" t="n"/>
      <c r="O93" s="65" t="n"/>
      <c r="P93" s="65" t="n"/>
      <c r="Q93" s="65" t="n"/>
      <c r="R93" s="65" t="n"/>
      <c r="S93" s="65" t="n"/>
      <c r="T93" s="65" t="n"/>
      <c r="U93" s="65" t="n"/>
      <c r="V93" s="77" t="n"/>
      <c r="W93" s="65" t="n"/>
      <c r="X93" s="65" t="n"/>
      <c r="Y93" s="64" t="n">
        <v>54000</v>
      </c>
      <c r="Z93" s="65" t="n"/>
      <c r="AA93" s="65" t="n"/>
      <c r="AB93" s="65" t="n"/>
      <c r="AC93" s="65" t="n"/>
      <c r="AD93" s="65" t="n"/>
      <c r="AE93" s="65" t="n"/>
      <c r="AF93" s="65" t="n"/>
      <c r="AG93" s="65" t="n"/>
      <c r="AH93" s="65" t="n"/>
      <c r="AI93" s="65" t="n"/>
      <c r="AJ93" s="65" t="n"/>
      <c r="AK93" s="65" t="n"/>
      <c r="AL93" s="65" t="n"/>
      <c r="AM93" s="65" t="n"/>
      <c r="AN93" s="65" t="n"/>
      <c r="AO93" s="65" t="n"/>
      <c r="AP93" s="65" t="n"/>
    </row>
    <row r="94" hidden="1" s="49">
      <c r="B94" s="1" t="inlineStr">
        <is>
          <t>ハイツミカミ</t>
        </is>
      </c>
      <c r="C94" s="2" t="inlineStr">
        <is>
          <t>光和工業</t>
        </is>
      </c>
      <c r="D94" s="1" t="inlineStr">
        <is>
          <t>フェンス工事</t>
        </is>
      </c>
      <c r="E94" s="2" t="inlineStr">
        <is>
          <t>3月</t>
        </is>
      </c>
      <c r="F94" s="68" t="n">
        <v>410000</v>
      </c>
      <c r="G94" s="68">
        <f>IF(B94="","",F94-I94 )</f>
        <v/>
      </c>
      <c r="H94" s="5">
        <f>IF(G94="","",G94/F94)</f>
        <v/>
      </c>
      <c r="I94" s="62">
        <f>SUM(テーブル92[[#This Row],[五大]:[工場材]])</f>
        <v/>
      </c>
      <c r="J94" s="64" t="n"/>
      <c r="K94" s="65" t="n"/>
      <c r="L94" s="65" t="n"/>
      <c r="M94" s="65" t="n"/>
      <c r="N94" s="65" t="n"/>
      <c r="O94" s="65" t="n"/>
      <c r="P94" s="65" t="n"/>
      <c r="Q94" s="65" t="n"/>
      <c r="R94" s="65" t="n"/>
      <c r="S94" s="65" t="n"/>
      <c r="T94" s="65" t="n"/>
      <c r="U94" s="65" t="n"/>
      <c r="V94" s="77" t="n"/>
      <c r="W94" s="65" t="n"/>
      <c r="X94" s="65" t="n"/>
      <c r="Y94" s="65" t="n"/>
      <c r="Z94" s="65" t="n"/>
      <c r="AA94" s="65" t="n"/>
      <c r="AB94" s="65" t="n"/>
      <c r="AC94" s="65" t="n"/>
      <c r="AD94" s="65" t="n"/>
      <c r="AE94" s="65" t="n"/>
      <c r="AF94" s="65" t="n"/>
      <c r="AG94" s="65" t="n"/>
      <c r="AH94" s="65" t="n"/>
      <c r="AI94" s="65" t="n"/>
      <c r="AJ94" s="65" t="n"/>
      <c r="AK94" s="65" t="n"/>
      <c r="AL94" s="65" t="n"/>
      <c r="AM94" s="65" t="n"/>
      <c r="AN94" s="65" t="n"/>
      <c r="AO94" s="64" t="n">
        <v>330000</v>
      </c>
      <c r="AP94" s="65" t="n"/>
    </row>
    <row r="95" hidden="1" s="49">
      <c r="B95" s="1" t="inlineStr">
        <is>
          <t>アリストコート小田原801</t>
        </is>
      </c>
      <c r="C95" s="2" t="inlineStr">
        <is>
          <t>山一</t>
        </is>
      </c>
      <c r="D95" s="1" t="inlineStr">
        <is>
          <t>キッチン入替</t>
        </is>
      </c>
      <c r="E95" s="2" t="inlineStr">
        <is>
          <t>3月</t>
        </is>
      </c>
      <c r="F95" s="68" t="n">
        <v>390000</v>
      </c>
      <c r="G95" s="68">
        <f>IF(B95="","",F95-I95 )</f>
        <v/>
      </c>
      <c r="H95" s="5">
        <f>IF(G95="","",G95/F95)</f>
        <v/>
      </c>
      <c r="I95" s="62">
        <f>SUM(テーブル92[[#This Row],[五大]:[工場材]])</f>
        <v/>
      </c>
      <c r="J95" s="64" t="n"/>
      <c r="K95" s="65" t="n"/>
      <c r="L95" s="65" t="n"/>
      <c r="M95" s="65" t="n"/>
      <c r="N95" s="65" t="n"/>
      <c r="O95" s="65" t="n"/>
      <c r="P95" s="65" t="n"/>
      <c r="Q95" s="65" t="n"/>
      <c r="R95" s="65" t="n"/>
      <c r="S95" s="65" t="n"/>
      <c r="T95" s="65" t="n"/>
      <c r="U95" s="64" t="n">
        <v>25000</v>
      </c>
      <c r="V95" s="77" t="n"/>
      <c r="W95" s="65" t="n"/>
      <c r="X95" s="65" t="n"/>
      <c r="Y95" s="65" t="n"/>
      <c r="Z95" s="64">
        <f>52000-15000</f>
        <v/>
      </c>
      <c r="AA95" s="64" t="n">
        <v>18000</v>
      </c>
      <c r="AB95" s="65" t="n"/>
      <c r="AC95" s="65" t="n"/>
      <c r="AD95" s="65" t="n"/>
      <c r="AE95" s="65" t="n"/>
      <c r="AF95" s="65" t="n"/>
      <c r="AG95" s="65" t="n"/>
      <c r="AH95" s="65" t="n"/>
      <c r="AI95" s="65" t="n"/>
      <c r="AJ95" s="65" t="n"/>
      <c r="AK95" s="65" t="n"/>
      <c r="AL95" s="64">
        <f>153576+58000+15000</f>
        <v/>
      </c>
      <c r="AM95" s="65" t="n"/>
      <c r="AN95" s="65" t="n"/>
      <c r="AO95" s="65" t="n"/>
      <c r="AP95" s="65" t="n">
        <v>13000</v>
      </c>
    </row>
    <row r="96" hidden="1" s="49">
      <c r="B96" s="1" t="inlineStr">
        <is>
          <t>八木山　　小野邸</t>
        </is>
      </c>
      <c r="C96" s="2" t="inlineStr">
        <is>
          <t>LIXIL</t>
        </is>
      </c>
      <c r="D96" s="1" t="inlineStr">
        <is>
          <t>キッチン下地・設備工事</t>
        </is>
      </c>
      <c r="E96" s="2" t="inlineStr">
        <is>
          <t>3月</t>
        </is>
      </c>
      <c r="F96" s="68">
        <f>186600+9000</f>
        <v/>
      </c>
      <c r="G96" s="68">
        <f>IF(B96="","",F96-I96 )</f>
        <v/>
      </c>
      <c r="H96" s="5">
        <f>IF(G96="","",G96/F96)</f>
        <v/>
      </c>
      <c r="I96" s="62">
        <f>SUM(テーブル92[[#This Row],[五大]:[工場材]])</f>
        <v/>
      </c>
      <c r="J96" s="64" t="n"/>
      <c r="K96" s="65" t="n"/>
      <c r="L96" s="65" t="n"/>
      <c r="M96" s="65" t="n"/>
      <c r="N96" s="65" t="n"/>
      <c r="O96" s="65" t="n"/>
      <c r="P96" s="65" t="n"/>
      <c r="Q96" s="65" t="n"/>
      <c r="R96" s="65" t="n"/>
      <c r="S96" s="65" t="n"/>
      <c r="T96" s="65" t="n"/>
      <c r="U96" s="64" t="n">
        <v>45000</v>
      </c>
      <c r="V96" s="77" t="n">
        <v>9589</v>
      </c>
      <c r="W96" s="65" t="n"/>
      <c r="X96" s="65" t="n"/>
      <c r="Y96" s="65" t="n"/>
      <c r="Z96" s="64" t="n">
        <v>85000</v>
      </c>
      <c r="AA96" s="65" t="n"/>
      <c r="AB96" s="65" t="n"/>
      <c r="AC96" s="65" t="n"/>
      <c r="AD96" s="65" t="n"/>
      <c r="AE96" s="65" t="n"/>
      <c r="AF96" s="65" t="n"/>
      <c r="AG96" s="65" t="n"/>
      <c r="AH96" s="65" t="n"/>
      <c r="AI96" s="65" t="n"/>
      <c r="AJ96" s="65" t="n"/>
      <c r="AK96" s="65" t="n"/>
      <c r="AL96" s="65" t="n"/>
      <c r="AM96" s="65" t="n"/>
      <c r="AN96" s="65" t="n"/>
      <c r="AO96" s="65" t="n"/>
      <c r="AP96" s="65" t="n"/>
    </row>
    <row r="97" hidden="1" s="49">
      <c r="F97" s="67">
        <f>SUBTOTAL(109,F81:F96)</f>
        <v/>
      </c>
      <c r="G97" s="67">
        <f>SUBTOTAL(109,G81:G96)</f>
        <v/>
      </c>
      <c r="H97" s="14">
        <f>IF(G97="","",G97/F97)</f>
        <v/>
      </c>
      <c r="I97" s="67">
        <f>SUBTOTAL(109,I81:I96)</f>
        <v/>
      </c>
      <c r="J97" s="64" t="n"/>
      <c r="K97" s="65" t="n"/>
      <c r="L97" s="65" t="n"/>
      <c r="M97" s="65" t="n"/>
      <c r="N97" s="65" t="n"/>
      <c r="O97" s="65" t="n"/>
      <c r="P97" s="65" t="n"/>
      <c r="Q97" s="65" t="n"/>
      <c r="R97" s="65" t="n"/>
      <c r="S97" s="65" t="n"/>
      <c r="T97" s="65" t="n"/>
      <c r="U97" s="65" t="n"/>
      <c r="V97" s="77" t="n"/>
      <c r="W97" s="65" t="n"/>
      <c r="X97" s="65" t="n"/>
      <c r="Y97" s="65" t="n"/>
      <c r="Z97" s="65" t="n"/>
      <c r="AA97" s="65" t="n"/>
      <c r="AB97" s="65" t="n"/>
      <c r="AC97" s="65" t="n"/>
      <c r="AD97" s="65" t="n"/>
      <c r="AE97" s="65" t="n"/>
      <c r="AF97" s="65" t="n"/>
      <c r="AG97" s="65" t="n"/>
      <c r="AH97" s="65" t="n"/>
      <c r="AI97" s="65" t="n"/>
      <c r="AJ97" s="65" t="n"/>
      <c r="AK97" s="65" t="n"/>
      <c r="AL97" s="65" t="n"/>
      <c r="AM97" s="65" t="n"/>
      <c r="AN97" s="65" t="n"/>
      <c r="AO97" s="65" t="n"/>
      <c r="AP97" s="65" t="n"/>
    </row>
    <row r="98" hidden="1" s="49">
      <c r="F98" s="68" t="n"/>
      <c r="G98" s="68">
        <f>IF(B98="","",F98-I98 )</f>
        <v/>
      </c>
      <c r="H98" s="5">
        <f>IF(G98="","",G98/F98)</f>
        <v/>
      </c>
      <c r="I98" s="62">
        <f>SUM(テーブル92[[#This Row],[五大]:[工場材]])</f>
        <v/>
      </c>
      <c r="J98" s="64" t="n"/>
      <c r="K98" s="65" t="n"/>
      <c r="L98" s="65" t="n"/>
      <c r="M98" s="65" t="n"/>
      <c r="N98" s="65" t="n"/>
      <c r="O98" s="65" t="n"/>
      <c r="P98" s="65" t="n"/>
      <c r="Q98" s="65" t="n"/>
      <c r="R98" s="65" t="n"/>
      <c r="S98" s="65" t="n"/>
      <c r="T98" s="65" t="n"/>
      <c r="U98" s="65" t="n"/>
      <c r="V98" s="77" t="n"/>
      <c r="W98" s="65" t="n"/>
      <c r="X98" s="65" t="n"/>
      <c r="Y98" s="65" t="n"/>
      <c r="Z98" s="65" t="n"/>
      <c r="AA98" s="65" t="n"/>
      <c r="AB98" s="65" t="n"/>
      <c r="AC98" s="65" t="n"/>
      <c r="AD98" s="65" t="n"/>
      <c r="AE98" s="65" t="n"/>
      <c r="AF98" s="65" t="n"/>
      <c r="AG98" s="65" t="n"/>
      <c r="AH98" s="65" t="n"/>
      <c r="AI98" s="65" t="n"/>
      <c r="AJ98" s="65" t="n"/>
      <c r="AK98" s="65" t="n"/>
      <c r="AL98" s="65" t="n"/>
      <c r="AM98" s="65" t="n"/>
      <c r="AN98" s="65" t="n"/>
      <c r="AO98" s="65" t="n"/>
      <c r="AP98" s="65" t="n"/>
    </row>
    <row r="99" hidden="1" s="49">
      <c r="F99" s="68" t="n"/>
      <c r="G99" s="68">
        <f>IF(B99="","",F99-I99 )</f>
        <v/>
      </c>
      <c r="H99" s="5">
        <f>IF(G99="","",G99/F99)</f>
        <v/>
      </c>
      <c r="I99" s="62">
        <f>SUM(テーブル92[[#This Row],[五大]:[工場材]])</f>
        <v/>
      </c>
      <c r="J99" s="64" t="n"/>
      <c r="K99" s="65" t="n"/>
      <c r="L99" s="65" t="n"/>
      <c r="M99" s="65" t="n"/>
      <c r="N99" s="65" t="n"/>
      <c r="O99" s="65" t="n"/>
      <c r="P99" s="65" t="n"/>
      <c r="Q99" s="65" t="n"/>
      <c r="R99" s="65" t="n"/>
      <c r="S99" s="65" t="n"/>
      <c r="T99" s="65" t="n"/>
      <c r="U99" s="65" t="n"/>
      <c r="V99" s="77" t="n"/>
      <c r="W99" s="65" t="n"/>
      <c r="X99" s="65" t="n"/>
      <c r="Y99" s="65" t="n"/>
      <c r="Z99" s="65" t="n"/>
      <c r="AA99" s="65" t="n"/>
      <c r="AB99" s="65" t="n"/>
      <c r="AC99" s="65" t="n"/>
      <c r="AD99" s="65" t="n"/>
      <c r="AE99" s="65" t="n"/>
      <c r="AF99" s="65" t="n"/>
      <c r="AG99" s="65" t="n"/>
      <c r="AH99" s="65" t="n"/>
      <c r="AI99" s="65" t="n"/>
      <c r="AJ99" s="65" t="n"/>
      <c r="AK99" s="65" t="n"/>
      <c r="AL99" s="65" t="n"/>
      <c r="AM99" s="65" t="n"/>
      <c r="AN99" s="65" t="n"/>
      <c r="AO99" s="65" t="n"/>
      <c r="AP99" s="65" t="n"/>
    </row>
    <row r="100" hidden="1" s="49">
      <c r="B100" s="1" t="inlineStr">
        <is>
          <t>グランドール小松島</t>
        </is>
      </c>
      <c r="C100" s="2" t="inlineStr">
        <is>
          <t>積水不動産</t>
        </is>
      </c>
      <c r="D100" s="1" t="inlineStr">
        <is>
          <t>天井断熱材入替+消臭</t>
        </is>
      </c>
      <c r="E100" s="2" t="inlineStr">
        <is>
          <t>4月</t>
        </is>
      </c>
      <c r="F100" s="68" t="n">
        <v>795000</v>
      </c>
      <c r="G100" s="68">
        <f>IF(B100="","",F100-I100 )</f>
        <v/>
      </c>
      <c r="H100" s="5">
        <f>IF(G100="","",G100/F100)</f>
        <v/>
      </c>
      <c r="I100" s="62">
        <f>SUM(テーブル92[[#This Row],[五大]:[工場材]])</f>
        <v/>
      </c>
      <c r="J100" s="65" t="n"/>
      <c r="K100" s="65" t="n"/>
      <c r="L100" s="65" t="n"/>
      <c r="M100" s="65" t="n"/>
      <c r="N100" s="65" t="n"/>
      <c r="O100" s="65" t="n"/>
      <c r="P100" s="65" t="n"/>
      <c r="Q100" s="65" t="n"/>
      <c r="R100" s="65" t="n"/>
      <c r="S100" s="65" t="n"/>
      <c r="T100" s="64" t="n">
        <v>50000</v>
      </c>
      <c r="U100" s="64" t="n">
        <v>150000</v>
      </c>
      <c r="V100" s="77" t="n"/>
      <c r="W100" s="65" t="n"/>
      <c r="X100" s="65" t="n"/>
      <c r="Y100" s="65" t="n"/>
      <c r="Z100" s="65" t="n"/>
      <c r="AA100" s="65" t="n"/>
      <c r="AB100" s="65" t="n"/>
      <c r="AC100" s="65" t="n"/>
      <c r="AD100" s="65" t="n"/>
      <c r="AE100" s="65" t="n"/>
      <c r="AF100" s="65" t="n"/>
      <c r="AG100" s="65" t="n"/>
      <c r="AH100" s="65" t="n"/>
      <c r="AI100" s="65" t="n"/>
      <c r="AJ100" s="65" t="n"/>
      <c r="AK100" s="65">
        <f>8250*10+72800</f>
        <v/>
      </c>
      <c r="AL100" s="65" t="n"/>
      <c r="AM100" s="65" t="n"/>
      <c r="AN100" s="65" t="n"/>
      <c r="AO100" s="65" t="n"/>
      <c r="AP100" s="65" t="n"/>
    </row>
    <row r="101" hidden="1" s="49">
      <c r="B101" s="1" t="inlineStr">
        <is>
          <t>大和町　三橋邸</t>
        </is>
      </c>
      <c r="C101" s="2" t="inlineStr">
        <is>
          <t>JA</t>
        </is>
      </c>
      <c r="D101" s="1" t="inlineStr">
        <is>
          <t>樋交換+塗装+桝設置</t>
        </is>
      </c>
      <c r="E101" s="2" t="inlineStr">
        <is>
          <t>4月</t>
        </is>
      </c>
      <c r="F101" s="68" t="n">
        <v>599000</v>
      </c>
      <c r="G101" s="68">
        <f>IF(B101="","",F101-I101 )</f>
        <v/>
      </c>
      <c r="H101" s="5">
        <f>IF(G101="","",G101/F101)</f>
        <v/>
      </c>
      <c r="I101" s="62">
        <f>SUM(テーブル92[[#This Row],[五大]:[工場材]])</f>
        <v/>
      </c>
      <c r="J101" s="64" t="n">
        <v>120000</v>
      </c>
      <c r="K101" s="65" t="n"/>
      <c r="L101" s="65" t="n"/>
      <c r="M101" s="64" t="n">
        <v>40000</v>
      </c>
      <c r="N101" s="65" t="n"/>
      <c r="O101" s="65" t="n"/>
      <c r="P101" s="65" t="n"/>
      <c r="Q101" s="65" t="n"/>
      <c r="R101" s="65" t="n"/>
      <c r="S101" s="65" t="n"/>
      <c r="T101" s="65" t="n"/>
      <c r="U101" s="64" t="n">
        <v>80000</v>
      </c>
      <c r="V101" s="77" t="n">
        <v>7504</v>
      </c>
      <c r="W101" s="65" t="n"/>
      <c r="X101" s="65" t="n"/>
      <c r="Y101" s="65" t="n"/>
      <c r="Z101" s="64" t="n">
        <v>79000</v>
      </c>
      <c r="AA101" s="65" t="n"/>
      <c r="AB101" s="65" t="n">
        <v>8800</v>
      </c>
      <c r="AC101" s="65" t="n"/>
      <c r="AD101" s="65" t="n"/>
      <c r="AE101" s="64" t="n"/>
      <c r="AF101" s="65" t="n"/>
      <c r="AG101" s="65" t="n"/>
      <c r="AH101" s="65" t="n"/>
      <c r="AI101" s="65" t="n"/>
      <c r="AJ101" s="65" t="n"/>
      <c r="AK101" s="65" t="n"/>
      <c r="AL101" s="65" t="n">
        <v>43892</v>
      </c>
      <c r="AM101" s="65" t="n"/>
      <c r="AN101" s="65">
        <f>30000</f>
        <v/>
      </c>
      <c r="AO101" s="65" t="n"/>
      <c r="AP101" s="65" t="n"/>
    </row>
    <row r="102" hidden="1" s="49">
      <c r="B102" s="1" t="inlineStr">
        <is>
          <t>吉岡 和泉様邸</t>
        </is>
      </c>
      <c r="C102" s="2" t="inlineStr">
        <is>
          <t>LIXIL</t>
        </is>
      </c>
      <c r="D102" s="1" t="inlineStr">
        <is>
          <t>タイル→UB　キッチントイレ交換</t>
        </is>
      </c>
      <c r="E102" s="2" t="inlineStr">
        <is>
          <t>4月</t>
        </is>
      </c>
      <c r="F102" s="68">
        <f>340000+135000+320000</f>
        <v/>
      </c>
      <c r="G102" s="68">
        <f>IF(B102="","",F102-I102 )</f>
        <v/>
      </c>
      <c r="H102" s="5">
        <f>IF(G102="","",G102/F102)</f>
        <v/>
      </c>
      <c r="I102" s="62">
        <f>SUM(テーブル92[[#This Row],[五大]:[工場材]])</f>
        <v/>
      </c>
      <c r="J102" s="65" t="n"/>
      <c r="K102" s="65" t="n"/>
      <c r="L102" s="65" t="n"/>
      <c r="M102" s="65" t="n"/>
      <c r="N102" s="65" t="n"/>
      <c r="O102" s="65" t="n"/>
      <c r="P102" s="65" t="n"/>
      <c r="Q102" s="65" t="n"/>
      <c r="R102" s="65" t="n"/>
      <c r="S102" s="65" t="n"/>
      <c r="T102" s="65" t="n"/>
      <c r="U102" s="64" t="n">
        <v>200000</v>
      </c>
      <c r="V102" s="77" t="n">
        <v>58693</v>
      </c>
      <c r="W102" s="65" t="n"/>
      <c r="X102" s="65" t="n"/>
      <c r="Y102" s="64" t="n">
        <v>140000</v>
      </c>
      <c r="Z102" s="64" t="n">
        <v>235000</v>
      </c>
      <c r="AA102" s="65" t="n"/>
      <c r="AB102" s="65" t="n"/>
      <c r="AC102" s="65" t="n"/>
      <c r="AD102" s="65" t="n"/>
      <c r="AE102" s="64" t="n">
        <v>80000</v>
      </c>
      <c r="AF102" s="65" t="n"/>
      <c r="AG102" s="65" t="n"/>
      <c r="AH102" s="65" t="n"/>
      <c r="AI102" s="65" t="n"/>
      <c r="AJ102" s="65" t="n"/>
      <c r="AK102" s="65" t="n"/>
      <c r="AL102" s="65" t="n"/>
      <c r="AM102" s="65" t="n"/>
      <c r="AN102" s="65" t="n"/>
      <c r="AO102" s="65" t="n"/>
      <c r="AP102" s="65" t="n"/>
    </row>
    <row r="103" hidden="1" s="49">
      <c r="B103" s="1" t="inlineStr">
        <is>
          <t>八乙女 コインランドリー</t>
        </is>
      </c>
      <c r="C103" s="2" t="inlineStr">
        <is>
          <t>一心</t>
        </is>
      </c>
      <c r="D103" s="1" t="inlineStr">
        <is>
          <t>内装工事</t>
        </is>
      </c>
      <c r="E103" s="2" t="inlineStr">
        <is>
          <t>4月</t>
        </is>
      </c>
      <c r="F103" s="68" t="n">
        <v>403000</v>
      </c>
      <c r="G103" s="68">
        <f>IF(B103="","",F103-I103 )</f>
        <v/>
      </c>
      <c r="H103" s="5">
        <f>IF(G103="","",G103/F103)</f>
        <v/>
      </c>
      <c r="I103" s="62">
        <f>SUM(テーブル92[[#This Row],[五大]:[工場材]])</f>
        <v/>
      </c>
      <c r="J103" s="65" t="n"/>
      <c r="K103" s="65" t="n"/>
      <c r="L103" s="65" t="n"/>
      <c r="M103" s="65" t="n"/>
      <c r="N103" s="65" t="n"/>
      <c r="O103" s="65" t="n"/>
      <c r="P103" s="65" t="n"/>
      <c r="Q103" s="65" t="n"/>
      <c r="R103" s="65" t="n"/>
      <c r="S103" s="65" t="n"/>
      <c r="T103" s="65" t="n"/>
      <c r="U103" s="65" t="n"/>
      <c r="V103" s="77" t="n"/>
      <c r="W103" s="65" t="n"/>
      <c r="X103" s="65" t="n"/>
      <c r="Y103" s="65" t="n"/>
      <c r="Z103" s="65" t="n"/>
      <c r="AA103" s="65" t="n"/>
      <c r="AB103" s="65" t="n"/>
      <c r="AC103" s="65" t="n"/>
      <c r="AD103" s="65" t="n"/>
      <c r="AE103" s="64" t="n"/>
      <c r="AF103" s="65" t="n"/>
      <c r="AG103" s="65" t="n"/>
      <c r="AH103" s="65" t="n"/>
      <c r="AI103" s="65" t="n"/>
      <c r="AJ103" s="65" t="n">
        <v>38000</v>
      </c>
      <c r="AK103" s="65" t="n"/>
      <c r="AL103" s="65" t="n"/>
      <c r="AM103" s="65" t="n"/>
      <c r="AN103" s="65" t="n"/>
      <c r="AO103" s="65" t="n"/>
      <c r="AP103" s="65" t="n"/>
    </row>
    <row r="104" hidden="1" s="49">
      <c r="F104" s="68" t="n"/>
      <c r="G104" s="68">
        <f>IF(B104="","",F104-I104 )</f>
        <v/>
      </c>
      <c r="H104" s="5">
        <f>IF(G104="","",G104/F104)</f>
        <v/>
      </c>
      <c r="I104" s="62">
        <f>SUM(テーブル92[[#This Row],[五大]:[工場材]])</f>
        <v/>
      </c>
      <c r="J104" s="65" t="n"/>
      <c r="K104" s="65" t="n"/>
      <c r="L104" s="65" t="n"/>
      <c r="M104" s="65" t="n"/>
      <c r="N104" s="65" t="n"/>
      <c r="O104" s="65" t="n"/>
      <c r="P104" s="65" t="n"/>
      <c r="Q104" s="65" t="n"/>
      <c r="R104" s="65" t="n"/>
      <c r="S104" s="65" t="n"/>
      <c r="T104" s="65" t="n"/>
      <c r="U104" s="64" t="n"/>
      <c r="V104" s="77" t="n"/>
      <c r="W104" s="65" t="n"/>
      <c r="X104" s="65" t="n"/>
      <c r="Y104" s="65" t="n"/>
      <c r="Z104" s="65" t="n"/>
      <c r="AA104" s="65" t="n"/>
      <c r="AB104" s="65" t="n"/>
      <c r="AC104" s="65" t="n"/>
      <c r="AD104" s="65" t="n"/>
      <c r="AE104" s="64" t="n"/>
      <c r="AF104" s="65" t="n"/>
      <c r="AG104" s="65" t="n"/>
      <c r="AH104" s="65" t="n"/>
      <c r="AI104" s="65" t="n"/>
      <c r="AJ104" s="65" t="n"/>
      <c r="AK104" s="65" t="n"/>
      <c r="AL104" s="65" t="n"/>
      <c r="AM104" s="65" t="n"/>
      <c r="AN104" s="65" t="n"/>
      <c r="AO104" s="65" t="n"/>
      <c r="AP104" s="65" t="n"/>
    </row>
    <row r="105" hidden="1" s="49">
      <c r="B105" s="1" t="inlineStr">
        <is>
          <t>鶴ケ谷 菊池邸</t>
        </is>
      </c>
      <c r="C105" s="2" t="inlineStr">
        <is>
          <t>LIXIL</t>
        </is>
      </c>
      <c r="D105" s="1" t="inlineStr">
        <is>
          <t>トイレ交換 建具交換　手すり取付け</t>
        </is>
      </c>
      <c r="E105" s="2" t="inlineStr">
        <is>
          <t>5月</t>
        </is>
      </c>
      <c r="F105" s="68" t="n">
        <v>176570</v>
      </c>
      <c r="G105" s="68">
        <f>IF(B105="","",F105-I105 )</f>
        <v/>
      </c>
      <c r="H105" s="5">
        <f>IF(G105="","",G105/F105)</f>
        <v/>
      </c>
      <c r="I105" s="62">
        <f>SUM(テーブル92[[#This Row],[五大]:[工場材]])</f>
        <v/>
      </c>
      <c r="J105" s="65" t="n"/>
      <c r="K105" s="65" t="n"/>
      <c r="L105" s="65" t="n"/>
      <c r="M105" s="65" t="n"/>
      <c r="N105" s="65" t="n"/>
      <c r="O105" s="65" t="n"/>
      <c r="P105" s="65" t="n"/>
      <c r="Q105" s="65" t="n"/>
      <c r="R105" s="65" t="n"/>
      <c r="S105" s="65" t="n"/>
      <c r="T105" s="65" t="n"/>
      <c r="U105" s="64" t="n">
        <v>50000</v>
      </c>
      <c r="V105" s="77" t="n">
        <v>7719</v>
      </c>
      <c r="W105" s="65" t="n"/>
      <c r="X105" s="65" t="n"/>
      <c r="Y105" s="65" t="n">
        <v>33000</v>
      </c>
      <c r="Z105" s="65" t="n">
        <v>19000</v>
      </c>
      <c r="AA105" s="65" t="n"/>
      <c r="AB105" s="65" t="n"/>
      <c r="AC105" s="65" t="n"/>
      <c r="AD105" s="65" t="n"/>
      <c r="AE105" s="64" t="n">
        <v>20000</v>
      </c>
      <c r="AF105" s="65" t="n"/>
      <c r="AG105" s="65" t="n"/>
      <c r="AH105" s="65" t="n"/>
      <c r="AI105" s="65" t="n"/>
      <c r="AJ105" s="65" t="n"/>
      <c r="AK105" s="65" t="n"/>
      <c r="AL105" s="65" t="n"/>
      <c r="AM105" s="65" t="n"/>
      <c r="AN105" s="65" t="n"/>
      <c r="AO105" s="65" t="n"/>
      <c r="AP105" s="65" t="n"/>
    </row>
    <row r="106" hidden="1" s="49">
      <c r="F106" s="68" t="n"/>
      <c r="G106" s="68">
        <f>IF(B106="","",F106-I106 )</f>
        <v/>
      </c>
      <c r="H106" s="5">
        <f>IF(G106="","",G106/F106)</f>
        <v/>
      </c>
      <c r="I106" s="62">
        <f>SUM(テーブル92[[#This Row],[五大]:[工場材]])</f>
        <v/>
      </c>
      <c r="J106" s="65" t="n"/>
      <c r="K106" s="65" t="n"/>
      <c r="L106" s="65" t="n"/>
      <c r="M106" s="65" t="n"/>
      <c r="N106" s="65" t="n"/>
      <c r="O106" s="65" t="n"/>
      <c r="P106" s="65" t="n"/>
      <c r="Q106" s="65" t="n"/>
      <c r="R106" s="65" t="n"/>
      <c r="S106" s="65" t="n"/>
      <c r="T106" s="65" t="n"/>
      <c r="U106" s="64" t="n"/>
      <c r="V106" s="77" t="n"/>
      <c r="W106" s="65" t="n"/>
      <c r="X106" s="65" t="n"/>
      <c r="Y106" s="65" t="n"/>
      <c r="Z106" s="65" t="n"/>
      <c r="AA106" s="65" t="n"/>
      <c r="AB106" s="65" t="n"/>
      <c r="AC106" s="65" t="n"/>
      <c r="AD106" s="65" t="n"/>
      <c r="AE106" s="64" t="n"/>
      <c r="AF106" s="65" t="n"/>
      <c r="AG106" s="65" t="n"/>
      <c r="AH106" s="65" t="n"/>
      <c r="AI106" s="65" t="n"/>
      <c r="AJ106" s="65" t="n"/>
      <c r="AK106" s="65" t="n"/>
      <c r="AL106" s="65" t="n"/>
      <c r="AM106" s="65" t="n"/>
      <c r="AN106" s="65" t="n"/>
      <c r="AO106" s="65" t="n"/>
      <c r="AP106" s="65" t="n"/>
    </row>
    <row r="107" hidden="1" s="49">
      <c r="B107" s="1" t="inlineStr">
        <is>
          <t>利府 遠藤邸</t>
        </is>
      </c>
      <c r="C107" s="2" t="inlineStr">
        <is>
          <t>光和工業</t>
        </is>
      </c>
      <c r="D107" s="1" t="inlineStr">
        <is>
          <t>押入改修</t>
        </is>
      </c>
      <c r="E107" s="2" t="inlineStr">
        <is>
          <t>5月</t>
        </is>
      </c>
      <c r="F107" s="68" t="n">
        <v>168000</v>
      </c>
      <c r="G107" s="68">
        <f>IF(B107="","",F107-I107 )</f>
        <v/>
      </c>
      <c r="H107" s="5">
        <f>IF(G107="","",G107/F107)</f>
        <v/>
      </c>
      <c r="I107" s="62">
        <f>SUM(テーブル92[[#This Row],[五大]:[工場材]])</f>
        <v/>
      </c>
      <c r="J107" s="65" t="n"/>
      <c r="K107" s="65" t="n"/>
      <c r="L107" s="65" t="n"/>
      <c r="M107" s="65" t="n"/>
      <c r="N107" s="65" t="n"/>
      <c r="O107" s="65" t="n"/>
      <c r="P107" s="65" t="n"/>
      <c r="Q107" s="65" t="n"/>
      <c r="R107" s="65" t="n"/>
      <c r="S107" s="65" t="n"/>
      <c r="T107" s="65" t="n"/>
      <c r="U107" s="64" t="n">
        <v>40000</v>
      </c>
      <c r="V107" s="77" t="n">
        <v>18499</v>
      </c>
      <c r="W107" s="65" t="n"/>
      <c r="X107" s="65" t="n"/>
      <c r="Y107" s="65" t="n"/>
      <c r="Z107" s="65" t="n"/>
      <c r="AA107" s="65" t="n"/>
      <c r="AB107" s="65" t="n"/>
      <c r="AC107" s="65" t="n"/>
      <c r="AD107" s="65" t="n"/>
      <c r="AE107" s="64" t="n">
        <v>20000</v>
      </c>
      <c r="AF107" s="65" t="n"/>
      <c r="AG107" s="65" t="n"/>
      <c r="AH107" s="65" t="n"/>
      <c r="AI107" s="65" t="n"/>
      <c r="AJ107" s="65" t="n"/>
      <c r="AK107" s="65" t="n"/>
      <c r="AL107" s="65" t="n"/>
      <c r="AM107" s="65" t="n"/>
      <c r="AN107" s="65" t="n"/>
      <c r="AO107" s="65" t="n"/>
      <c r="AP107" s="65" t="n"/>
    </row>
    <row r="108" hidden="1" s="49">
      <c r="B108" s="1" t="inlineStr">
        <is>
          <t>利府 遠藤邸</t>
        </is>
      </c>
      <c r="C108" s="2" t="inlineStr">
        <is>
          <t>光和工業</t>
        </is>
      </c>
      <c r="D108" s="1" t="inlineStr">
        <is>
          <t>床の間改修</t>
        </is>
      </c>
      <c r="E108" s="2" t="inlineStr">
        <is>
          <t>6月</t>
        </is>
      </c>
      <c r="F108" s="68" t="n">
        <v>153000</v>
      </c>
      <c r="G108" s="68">
        <f>IF(B108="","",F108-I108 )</f>
        <v/>
      </c>
      <c r="H108" s="5">
        <f>IF(G108="","",G108/F108)</f>
        <v/>
      </c>
      <c r="I108" s="62">
        <f>SUM(テーブル92[[#This Row],[五大]:[工場材]])</f>
        <v/>
      </c>
      <c r="J108" s="65" t="n"/>
      <c r="K108" s="65" t="n"/>
      <c r="L108" s="65" t="n"/>
      <c r="M108" s="65" t="n"/>
      <c r="N108" s="65" t="n"/>
      <c r="O108" s="65" t="n"/>
      <c r="P108" s="65" t="n"/>
      <c r="Q108" s="65" t="n"/>
      <c r="R108" s="65" t="n"/>
      <c r="S108" s="65" t="n"/>
      <c r="T108" s="65" t="n"/>
      <c r="U108" s="64" t="n">
        <v>40000</v>
      </c>
      <c r="V108" s="77" t="n"/>
      <c r="W108" s="65" t="n">
        <v>40000</v>
      </c>
      <c r="X108" s="65" t="n"/>
      <c r="Y108" s="65" t="n">
        <v>8000</v>
      </c>
      <c r="Z108" s="65" t="n"/>
      <c r="AA108" s="65" t="n"/>
      <c r="AB108" s="65" t="n"/>
      <c r="AC108" s="65" t="n"/>
      <c r="AD108" s="65" t="n"/>
      <c r="AE108" s="64" t="n">
        <v>30000</v>
      </c>
      <c r="AF108" s="65" t="n"/>
      <c r="AG108" s="65" t="n"/>
      <c r="AH108" s="65" t="n"/>
      <c r="AI108" s="65" t="n"/>
      <c r="AJ108" s="65" t="n"/>
      <c r="AK108" s="65" t="n"/>
      <c r="AL108" s="65" t="n"/>
      <c r="AM108" s="65" t="n"/>
      <c r="AN108" s="65" t="n"/>
      <c r="AO108" s="65" t="n"/>
      <c r="AP108" s="65" t="n"/>
    </row>
    <row r="109" hidden="1" s="49">
      <c r="B109" s="1" t="inlineStr">
        <is>
          <t>アービス向陽台</t>
        </is>
      </c>
      <c r="C109" s="2" t="inlineStr">
        <is>
          <t>積水不動産</t>
        </is>
      </c>
      <c r="D109" s="1" t="inlineStr">
        <is>
          <t>101漏水工事</t>
        </is>
      </c>
      <c r="E109" s="2" t="inlineStr">
        <is>
          <t>5月</t>
        </is>
      </c>
      <c r="F109" s="68" t="n">
        <v>163000</v>
      </c>
      <c r="G109" s="68">
        <f>IF(B109="","",F109-I109 )</f>
        <v/>
      </c>
      <c r="H109" s="5">
        <f>IF(G109="","",G109/F109)</f>
        <v/>
      </c>
      <c r="I109" s="62">
        <f>SUM(テーブル92[[#This Row],[五大]:[工場材]])</f>
        <v/>
      </c>
      <c r="J109" s="65" t="n"/>
      <c r="K109" s="65" t="n"/>
      <c r="L109" s="65" t="n"/>
      <c r="M109" s="65" t="n"/>
      <c r="N109" s="65" t="n"/>
      <c r="O109" s="65" t="n"/>
      <c r="P109" s="65" t="n"/>
      <c r="Q109" s="65" t="n"/>
      <c r="R109" s="65" t="n"/>
      <c r="S109" s="65" t="n"/>
      <c r="T109" s="65" t="n"/>
      <c r="U109" s="64" t="n">
        <v>30000</v>
      </c>
      <c r="V109" s="77" t="n">
        <v>8872</v>
      </c>
      <c r="W109" s="65" t="n"/>
      <c r="X109" s="65" t="n"/>
      <c r="Y109" s="65" t="n"/>
      <c r="Z109" s="65" t="n">
        <v>10000</v>
      </c>
      <c r="AA109" s="65" t="n"/>
      <c r="AB109" s="65" t="n"/>
      <c r="AC109" s="65" t="n"/>
      <c r="AD109" s="65" t="n"/>
      <c r="AE109" s="64" t="n">
        <v>28000</v>
      </c>
      <c r="AF109" s="65" t="n"/>
      <c r="AG109" s="65" t="n"/>
      <c r="AH109" s="65" t="n"/>
      <c r="AI109" s="65" t="n"/>
      <c r="AJ109" s="65" t="n"/>
      <c r="AK109" s="65" t="n"/>
      <c r="AL109" s="65" t="n"/>
      <c r="AM109" s="65" t="n"/>
      <c r="AN109" s="65" t="n"/>
      <c r="AO109" s="65" t="n"/>
      <c r="AP109" s="65" t="n"/>
    </row>
    <row r="110" hidden="1" s="49">
      <c r="F110" s="68" t="n"/>
      <c r="G110" s="68">
        <f>IF(B110="","",F110-I110 )</f>
        <v/>
      </c>
      <c r="H110" s="5">
        <f>IF(G110="","",G110/F110)</f>
        <v/>
      </c>
      <c r="I110" s="62">
        <f>SUM(テーブル92[[#This Row],[五大]:[工場材]])</f>
        <v/>
      </c>
      <c r="J110" s="64" t="n"/>
      <c r="K110" s="65" t="n"/>
      <c r="L110" s="65" t="n"/>
      <c r="M110" s="64" t="n"/>
      <c r="N110" s="64" t="n"/>
      <c r="O110" s="64" t="n"/>
      <c r="P110" s="64" t="n"/>
      <c r="Q110" s="65" t="n"/>
      <c r="R110" s="65" t="n"/>
      <c r="S110" s="65" t="n"/>
      <c r="T110" s="65" t="n"/>
      <c r="U110" s="64" t="n"/>
      <c r="V110" s="77" t="n"/>
      <c r="W110" s="65" t="n"/>
      <c r="X110" s="65" t="n"/>
      <c r="Y110" s="65" t="n"/>
      <c r="Z110" s="65" t="n"/>
      <c r="AA110" s="65" t="n"/>
      <c r="AB110" s="65" t="n"/>
      <c r="AC110" s="65" t="n"/>
      <c r="AD110" s="65" t="n"/>
      <c r="AE110" s="64" t="n"/>
      <c r="AF110" s="65" t="n"/>
      <c r="AG110" s="65" t="n"/>
      <c r="AH110" s="65" t="n"/>
      <c r="AI110" s="65" t="n"/>
      <c r="AJ110" s="65" t="n"/>
      <c r="AK110" s="65" t="n"/>
      <c r="AL110" s="65" t="n"/>
      <c r="AM110" s="65" t="n"/>
      <c r="AN110" s="65" t="n"/>
      <c r="AO110" s="65" t="n"/>
      <c r="AP110" s="65" t="n"/>
    </row>
    <row r="111">
      <c r="B111" s="1" t="inlineStr">
        <is>
          <t>シャーメゾンドルチェ</t>
        </is>
      </c>
      <c r="C111" s="2" t="inlineStr">
        <is>
          <t>積水不動産</t>
        </is>
      </c>
      <c r="D111" s="1" t="inlineStr">
        <is>
          <t>塗装</t>
        </is>
      </c>
      <c r="E111" s="2" t="inlineStr">
        <is>
          <t>5月</t>
        </is>
      </c>
      <c r="F111" s="68" t="n">
        <v>2400000</v>
      </c>
      <c r="G111" s="68">
        <f>IF(B111="","",F111-I111 )</f>
        <v/>
      </c>
      <c r="H111" s="5">
        <f>IF(G111="","",G111/F111)</f>
        <v/>
      </c>
      <c r="I111" s="62">
        <f>SUM(テーブル92[[#This Row],[五大]:[工場材]])</f>
        <v/>
      </c>
      <c r="J111" s="64" t="n">
        <v>360000</v>
      </c>
      <c r="K111" s="65" t="n"/>
      <c r="L111" s="65" t="n"/>
      <c r="M111" s="64" t="n">
        <v>800000</v>
      </c>
      <c r="N111" s="64" t="n"/>
      <c r="O111" s="64" t="n"/>
      <c r="P111" s="64">
        <f>75*700</f>
        <v/>
      </c>
      <c r="Q111" s="65" t="n"/>
      <c r="R111" s="65" t="n"/>
      <c r="S111" s="64" t="n">
        <v>146800</v>
      </c>
      <c r="T111" s="65" t="n"/>
      <c r="U111" s="65" t="n"/>
      <c r="V111" s="77" t="n"/>
      <c r="W111" s="65" t="n"/>
      <c r="X111" s="65" t="n"/>
      <c r="Y111" s="65" t="n"/>
      <c r="Z111" s="65" t="n"/>
      <c r="AA111" s="65" t="n"/>
      <c r="AB111" s="65" t="n">
        <v>51400</v>
      </c>
      <c r="AC111" s="65" t="n"/>
      <c r="AD111" s="65" t="n"/>
      <c r="AE111" s="64" t="n"/>
      <c r="AF111" s="65" t="n"/>
      <c r="AG111" s="65" t="n"/>
      <c r="AH111" s="65" t="n"/>
      <c r="AI111" s="64" t="n">
        <v>15000</v>
      </c>
      <c r="AJ111" s="65" t="n"/>
      <c r="AK111" s="65" t="n"/>
      <c r="AL111" s="65" t="n"/>
      <c r="AM111" s="65" t="n"/>
      <c r="AN111" s="65" t="n"/>
      <c r="AO111" s="65" t="n"/>
      <c r="AP111" s="65" t="n"/>
    </row>
    <row r="112" hidden="1" s="49">
      <c r="B112" s="1" t="inlineStr">
        <is>
          <t>ウエストフレグランスD102</t>
        </is>
      </c>
      <c r="C112" s="2" t="inlineStr">
        <is>
          <t>積水不動産</t>
        </is>
      </c>
      <c r="D112" s="1" t="inlineStr">
        <is>
          <t>リノベーション</t>
        </is>
      </c>
      <c r="E112" s="2" t="inlineStr">
        <is>
          <t>5月</t>
        </is>
      </c>
      <c r="F112" s="68" t="n">
        <v>1190000</v>
      </c>
      <c r="G112" s="68">
        <f>IF(B112="","",F112-I112 )</f>
        <v/>
      </c>
      <c r="H112" s="5">
        <f>IF(G112="","",G112/F112)</f>
        <v/>
      </c>
      <c r="I112" s="62">
        <f>SUM(テーブル92[[#This Row],[五大]:[工場材]])</f>
        <v/>
      </c>
      <c r="J112" s="64" t="n"/>
      <c r="K112" s="65" t="n"/>
      <c r="L112" s="65" t="n"/>
      <c r="M112" s="65" t="n"/>
      <c r="N112" s="65" t="n"/>
      <c r="O112" s="65" t="n"/>
      <c r="P112" s="65" t="n"/>
      <c r="Q112" s="65" t="n"/>
      <c r="R112" s="65" t="n"/>
      <c r="S112" s="65" t="n"/>
      <c r="T112" s="65" t="n"/>
      <c r="U112" s="65" t="n"/>
      <c r="V112" s="77" t="n"/>
      <c r="W112" s="65" t="n"/>
      <c r="X112" s="65" t="n"/>
      <c r="Y112" s="65" t="n">
        <v>70000</v>
      </c>
      <c r="Z112" s="65" t="n"/>
      <c r="AA112" s="65" t="n"/>
      <c r="AB112" s="65" t="n"/>
      <c r="AC112" s="65" t="n"/>
      <c r="AD112" s="65" t="n"/>
      <c r="AE112" s="64" t="n">
        <v>70000</v>
      </c>
      <c r="AF112" s="65" t="n"/>
      <c r="AG112" s="65" t="n"/>
      <c r="AH112" s="65" t="n"/>
      <c r="AI112" s="65" t="n"/>
      <c r="AJ112" s="65" t="n"/>
      <c r="AK112" s="65" t="n"/>
      <c r="AL112" s="65" t="n"/>
      <c r="AM112" s="65" t="n"/>
      <c r="AN112" s="65" t="n"/>
      <c r="AO112" s="65" t="n"/>
      <c r="AP112" s="65" t="n">
        <v>170000</v>
      </c>
    </row>
    <row r="113" hidden="1" s="49">
      <c r="B113" s="1" t="inlineStr">
        <is>
          <t>ウエストフレグランスB202</t>
        </is>
      </c>
      <c r="C113" s="2" t="inlineStr">
        <is>
          <t>積水不動産</t>
        </is>
      </c>
      <c r="D113" s="1" t="inlineStr">
        <is>
          <t>リノベーション</t>
        </is>
      </c>
      <c r="E113" s="2" t="inlineStr">
        <is>
          <t>5月</t>
        </is>
      </c>
      <c r="F113" s="68" t="n">
        <v>900000</v>
      </c>
      <c r="G113" s="68">
        <f>IF(B113="","",F113-I113 )</f>
        <v/>
      </c>
      <c r="H113" s="5">
        <f>IF(G113="","",G113/F113)</f>
        <v/>
      </c>
      <c r="I113" s="62">
        <f>SUM(テーブル92[[#This Row],[五大]:[工場材]])</f>
        <v/>
      </c>
      <c r="J113" s="64" t="n"/>
      <c r="K113" s="65" t="n"/>
      <c r="L113" s="65" t="n"/>
      <c r="M113" s="65" t="n"/>
      <c r="N113" s="65" t="n"/>
      <c r="O113" s="65" t="n"/>
      <c r="P113" s="65" t="n"/>
      <c r="Q113" s="65" t="n"/>
      <c r="R113" s="65" t="n"/>
      <c r="S113" s="65" t="n"/>
      <c r="T113" s="65" t="n"/>
      <c r="U113" s="65" t="n"/>
      <c r="V113" s="77" t="n"/>
      <c r="W113" s="65" t="n"/>
      <c r="X113" s="65" t="n"/>
      <c r="Y113" s="65" t="n">
        <v>105000</v>
      </c>
      <c r="Z113" s="65" t="n"/>
      <c r="AA113" s="65" t="n"/>
      <c r="AB113" s="65" t="n"/>
      <c r="AC113" s="65" t="n"/>
      <c r="AD113" s="65" t="n"/>
      <c r="AE113" s="64" t="n">
        <v>65000</v>
      </c>
      <c r="AF113" s="65" t="n"/>
      <c r="AG113" s="65" t="n"/>
      <c r="AH113" s="65" t="n"/>
      <c r="AI113" s="65" t="n"/>
      <c r="AJ113" s="65" t="n"/>
      <c r="AK113" s="65" t="n"/>
      <c r="AL113" s="65" t="n"/>
      <c r="AM113" s="65" t="n"/>
      <c r="AN113" s="65" t="n"/>
      <c r="AO113" s="65" t="n"/>
      <c r="AP113" s="65" t="n">
        <v>180000</v>
      </c>
    </row>
    <row r="114" hidden="1" s="49">
      <c r="B114" s="1" t="inlineStr">
        <is>
          <t>大郷 村山邸</t>
        </is>
      </c>
      <c r="C114" s="2" t="inlineStr">
        <is>
          <t>JA</t>
        </is>
      </c>
      <c r="D114" s="1" t="inlineStr">
        <is>
          <t>内装・外装工事</t>
        </is>
      </c>
      <c r="E114" s="2" t="inlineStr">
        <is>
          <t>5月</t>
        </is>
      </c>
      <c r="F114" s="68" t="n">
        <v>401000</v>
      </c>
      <c r="G114" s="68">
        <f>IF(B114="","",F114-I114 )</f>
        <v/>
      </c>
      <c r="H114" s="5">
        <f>IF(G114="","",G114/F114)</f>
        <v/>
      </c>
      <c r="I114" s="62">
        <f>SUM(テーブル92[[#This Row],[五大]:[工場材]])</f>
        <v/>
      </c>
      <c r="J114" s="64" t="n"/>
      <c r="K114" s="65" t="n"/>
      <c r="L114" s="65" t="n"/>
      <c r="M114" s="65" t="n"/>
      <c r="N114" s="65" t="n"/>
      <c r="O114" s="65" t="n"/>
      <c r="P114" s="65" t="n"/>
      <c r="Q114" s="65" t="n"/>
      <c r="R114" s="65" t="n"/>
      <c r="S114" s="65" t="n"/>
      <c r="T114" s="65" t="n"/>
      <c r="U114" s="77" t="n">
        <v>5000</v>
      </c>
      <c r="V114" s="77" t="n"/>
      <c r="W114" s="77" t="n">
        <v>146500</v>
      </c>
      <c r="X114" s="77" t="n"/>
      <c r="Y114" s="77" t="n"/>
      <c r="Z114" s="77" t="n"/>
      <c r="AA114" s="65" t="n"/>
      <c r="AB114" s="65" t="n"/>
      <c r="AC114" s="65" t="n"/>
      <c r="AD114" s="65" t="n">
        <v>50000</v>
      </c>
      <c r="AE114" s="64" t="n">
        <v>38000</v>
      </c>
      <c r="AF114" s="65" t="n"/>
      <c r="AG114" s="65" t="n"/>
      <c r="AH114" s="65" t="n"/>
      <c r="AI114" s="65" t="n"/>
      <c r="AJ114" s="65" t="n"/>
      <c r="AK114" s="65" t="n"/>
      <c r="AL114" s="65" t="n"/>
      <c r="AM114" s="65" t="n"/>
      <c r="AN114" s="65" t="n">
        <v>10000</v>
      </c>
      <c r="AO114" s="65" t="n"/>
      <c r="AP114" s="65" t="n"/>
    </row>
    <row r="115" hidden="1" s="49">
      <c r="B115" s="1" t="inlineStr">
        <is>
          <t>柴田 高橋様邸</t>
        </is>
      </c>
      <c r="C115" s="2" t="inlineStr">
        <is>
          <t>LIXIL</t>
        </is>
      </c>
      <c r="D115" s="1" t="inlineStr">
        <is>
          <t>UB交換</t>
        </is>
      </c>
      <c r="F115" s="68">
        <f>20000+22000+30000+57000+274500</f>
        <v/>
      </c>
      <c r="G115" s="68">
        <f>IF(B115="","",F115-I115 )</f>
        <v/>
      </c>
      <c r="H115" s="5">
        <f>IF(G115="","",G115/F115)</f>
        <v/>
      </c>
      <c r="I115" s="62">
        <f>SUM(テーブル92[[#This Row],[五大]:[工場材]])</f>
        <v/>
      </c>
      <c r="J115" s="64" t="n"/>
      <c r="K115" s="65" t="n"/>
      <c r="L115" s="65" t="n"/>
      <c r="M115" s="64" t="n">
        <v>40000</v>
      </c>
      <c r="N115" s="65" t="n"/>
      <c r="O115" s="65" t="n"/>
      <c r="P115" s="65" t="n"/>
      <c r="Q115" s="65" t="n"/>
      <c r="R115" s="65" t="n"/>
      <c r="S115" s="65" t="n"/>
      <c r="T115" s="65" t="n"/>
      <c r="U115" s="77" t="n">
        <v>150000</v>
      </c>
      <c r="V115" s="77" t="n">
        <v>15000</v>
      </c>
      <c r="W115" s="77" t="n"/>
      <c r="X115" s="77" t="n"/>
      <c r="Y115" s="77" t="n">
        <v>55000</v>
      </c>
      <c r="Z115" s="77" t="n">
        <v>65000</v>
      </c>
      <c r="AA115" s="65" t="n"/>
      <c r="AB115" s="65" t="n"/>
      <c r="AC115" s="65" t="n"/>
      <c r="AD115" s="65" t="n"/>
      <c r="AE115" s="64" t="n"/>
      <c r="AF115" s="65" t="n"/>
      <c r="AG115" s="65" t="n"/>
      <c r="AH115" s="65" t="n"/>
      <c r="AI115" s="65" t="n"/>
      <c r="AJ115" s="65" t="n"/>
      <c r="AK115" s="65" t="n"/>
      <c r="AL115" s="65" t="n"/>
      <c r="AM115" s="65" t="n"/>
      <c r="AN115" s="65" t="n"/>
      <c r="AO115" s="65" t="n"/>
      <c r="AP115" s="65" t="n"/>
    </row>
    <row r="116" hidden="1" s="49">
      <c r="F116" s="68" t="n"/>
      <c r="G116" s="68">
        <f>IF(B116="","",F116-I116 )</f>
        <v/>
      </c>
      <c r="H116" s="5">
        <f>IF(G116="","",G116/F116)</f>
        <v/>
      </c>
      <c r="J116" s="64" t="n"/>
      <c r="K116" s="65" t="n"/>
      <c r="L116" s="65" t="n"/>
      <c r="M116" s="65" t="n"/>
      <c r="N116" s="65" t="n"/>
      <c r="O116" s="65" t="n"/>
      <c r="P116" s="65" t="n"/>
      <c r="Q116" s="65" t="n"/>
      <c r="R116" s="65" t="n"/>
      <c r="S116" s="65" t="n"/>
      <c r="T116" s="65" t="n"/>
      <c r="U116" s="65" t="n"/>
      <c r="V116" s="77" t="n"/>
      <c r="W116" s="65" t="n"/>
      <c r="X116" s="65" t="n"/>
      <c r="Y116" s="65" t="n"/>
      <c r="Z116" s="65" t="n"/>
      <c r="AA116" s="65" t="n"/>
      <c r="AB116" s="65" t="n"/>
      <c r="AC116" s="65" t="n"/>
      <c r="AD116" s="65" t="n"/>
      <c r="AE116" s="64" t="n"/>
      <c r="AF116" s="65" t="n"/>
      <c r="AG116" s="65" t="n"/>
      <c r="AH116" s="65" t="n"/>
      <c r="AI116" s="65" t="n"/>
      <c r="AJ116" s="65" t="n"/>
      <c r="AK116" s="65" t="n"/>
      <c r="AL116" s="65" t="n"/>
      <c r="AM116" s="65" t="n"/>
      <c r="AN116" s="65" t="n"/>
      <c r="AO116" s="65" t="n"/>
      <c r="AP116" s="65" t="n"/>
    </row>
    <row r="117">
      <c r="B117" s="1" t="inlineStr">
        <is>
          <t>杜の丘　斎藤邸</t>
        </is>
      </c>
      <c r="C117" s="2" t="inlineStr">
        <is>
          <t>光和工業</t>
        </is>
      </c>
      <c r="D117" s="1" t="inlineStr">
        <is>
          <t>屋根塗装+シーリング</t>
        </is>
      </c>
      <c r="E117" s="2" t="inlineStr">
        <is>
          <t>7月</t>
        </is>
      </c>
      <c r="F117" s="68" t="n">
        <v>890000</v>
      </c>
      <c r="G117" s="68">
        <f>IF(B117="","",F117-I117 )</f>
        <v/>
      </c>
      <c r="H117" s="5">
        <f>IF(G117="","",G117/F117)</f>
        <v/>
      </c>
      <c r="I117" s="62">
        <f>SUM(テーブル92[[#This Row],[五大]:[工場材]])</f>
        <v/>
      </c>
      <c r="J117" s="64" t="n">
        <v>130000</v>
      </c>
      <c r="K117" s="65" t="n"/>
      <c r="L117" s="65" t="n"/>
      <c r="M117" s="64" t="n">
        <v>250000</v>
      </c>
      <c r="N117" s="65" t="n"/>
      <c r="O117" s="65" t="n"/>
      <c r="P117" s="65" t="n"/>
      <c r="Q117" s="65" t="n"/>
      <c r="R117" s="65" t="n"/>
      <c r="S117" s="65" t="n"/>
      <c r="T117" s="65" t="n"/>
      <c r="U117" s="65" t="n"/>
      <c r="V117" s="77" t="n"/>
      <c r="W117" s="65" t="n"/>
      <c r="X117" s="65" t="n"/>
      <c r="Y117" s="65" t="n"/>
      <c r="Z117" s="65" t="n"/>
      <c r="AA117" s="65" t="n"/>
      <c r="AB117" s="65" t="n"/>
      <c r="AC117" s="65" t="n"/>
      <c r="AD117" s="65" t="n"/>
      <c r="AE117" s="64" t="n"/>
      <c r="AF117" s="65" t="n"/>
      <c r="AG117" s="65" t="n"/>
      <c r="AH117" s="65" t="n"/>
      <c r="AI117" s="65" t="n"/>
      <c r="AJ117" s="65" t="n"/>
      <c r="AK117" s="65" t="n"/>
      <c r="AL117" s="65" t="n"/>
      <c r="AM117" s="65" t="n"/>
      <c r="AN117" s="65" t="n"/>
      <c r="AO117" s="65" t="n"/>
      <c r="AP117" s="65" t="n"/>
    </row>
    <row r="118">
      <c r="B118" s="1" t="inlineStr">
        <is>
          <t>利府花園　熊谷邸</t>
        </is>
      </c>
      <c r="C118" s="2" t="inlineStr">
        <is>
          <t>LIXIL</t>
        </is>
      </c>
      <c r="D118" s="1" t="inlineStr">
        <is>
          <t>屋根塗装+内部改修</t>
        </is>
      </c>
      <c r="E118" s="2" t="inlineStr">
        <is>
          <t>7月</t>
        </is>
      </c>
      <c r="F118" s="68" t="n">
        <v>1434550</v>
      </c>
      <c r="G118" s="68">
        <f>IF(B118="","",F118-I118 )</f>
        <v/>
      </c>
      <c r="H118" s="5">
        <f>IF(G118="","",G118/F118)</f>
        <v/>
      </c>
      <c r="I118" s="62">
        <f>SUM(テーブル92[[#This Row],[五大]:[工場材]])</f>
        <v/>
      </c>
      <c r="J118" s="64" t="n">
        <v>130000</v>
      </c>
      <c r="K118" s="65" t="n"/>
      <c r="L118" s="65" t="n"/>
      <c r="M118" s="64" t="n">
        <v>200000</v>
      </c>
      <c r="N118" s="65" t="n"/>
      <c r="O118" s="65" t="n"/>
      <c r="P118" s="65" t="n"/>
      <c r="Q118" s="65" t="n"/>
      <c r="R118" s="65" t="n"/>
      <c r="S118" s="64">
        <f>25300+28000+9900</f>
        <v/>
      </c>
      <c r="T118" s="65" t="n"/>
      <c r="U118" s="64" t="n">
        <v>300000</v>
      </c>
      <c r="V118" s="77" t="n">
        <v>106912</v>
      </c>
      <c r="W118" s="65" t="n"/>
      <c r="X118" s="65" t="n"/>
      <c r="Y118" s="64" t="n">
        <v>200000</v>
      </c>
      <c r="Z118" s="64" t="n">
        <v>230000</v>
      </c>
      <c r="AA118" s="65" t="n"/>
      <c r="AB118" s="65" t="n"/>
      <c r="AC118" s="65" t="n"/>
      <c r="AD118" s="65" t="n"/>
      <c r="AE118" s="65" t="n">
        <v>30000</v>
      </c>
      <c r="AF118" s="65" t="n"/>
      <c r="AG118" s="65" t="n"/>
      <c r="AH118" s="65" t="n"/>
      <c r="AI118" s="65" t="n"/>
      <c r="AJ118" s="65" t="n"/>
      <c r="AK118" s="65" t="n"/>
      <c r="AL118" s="65" t="n"/>
      <c r="AM118" s="65" t="n"/>
      <c r="AN118" s="65" t="n"/>
      <c r="AO118" s="65" t="n"/>
      <c r="AP118" s="65" t="n"/>
    </row>
    <row r="119" hidden="1" s="49">
      <c r="B119" s="1" t="inlineStr">
        <is>
          <t>利府青山　鈴木邸</t>
        </is>
      </c>
      <c r="C119" s="2" t="inlineStr">
        <is>
          <t>LIXIL</t>
        </is>
      </c>
      <c r="D119" s="1" t="inlineStr">
        <is>
          <t>浴室改修工事</t>
        </is>
      </c>
      <c r="E119" s="2" t="inlineStr">
        <is>
          <t>7月</t>
        </is>
      </c>
      <c r="F119" s="68">
        <f>176500+40500+67500+30000+66000</f>
        <v/>
      </c>
      <c r="G119" s="68">
        <f>IF(B119="","",F119-I119 )</f>
        <v/>
      </c>
      <c r="H119" s="5">
        <f>IF(G119="","",G119/F119)</f>
        <v/>
      </c>
      <c r="I119" s="62">
        <f>SUM(テーブル92[[#This Row],[五大]:[工場材]])</f>
        <v/>
      </c>
      <c r="J119" s="64" t="n"/>
      <c r="K119" s="65" t="n"/>
      <c r="L119" s="65" t="n"/>
      <c r="M119" s="65" t="n"/>
      <c r="N119" s="65" t="n"/>
      <c r="O119" s="65" t="n"/>
      <c r="P119" s="64" t="n"/>
      <c r="Q119" s="64" t="n"/>
      <c r="R119" s="65" t="n"/>
      <c r="S119" s="64" t="n"/>
      <c r="T119" s="64" t="n"/>
      <c r="U119" s="64" t="n">
        <v>150000</v>
      </c>
      <c r="V119" s="77" t="n">
        <v>16830</v>
      </c>
      <c r="W119" s="65" t="n"/>
      <c r="X119" s="65" t="n"/>
      <c r="Y119" s="64" t="n">
        <v>40000</v>
      </c>
      <c r="Z119" s="64" t="n">
        <v>70000</v>
      </c>
      <c r="AA119" s="65" t="n"/>
      <c r="AB119" s="65" t="n"/>
      <c r="AC119" s="65" t="n"/>
      <c r="AD119" s="65" t="n"/>
      <c r="AE119" s="65" t="n">
        <v>18000</v>
      </c>
      <c r="AF119" s="65" t="n"/>
      <c r="AG119" s="65" t="n"/>
      <c r="AH119" s="65" t="n"/>
      <c r="AI119" s="65" t="n"/>
      <c r="AJ119" s="65" t="n"/>
      <c r="AK119" s="65" t="n"/>
      <c r="AL119" s="65" t="n"/>
      <c r="AM119" s="65" t="n"/>
      <c r="AN119" s="65" t="n"/>
      <c r="AO119" s="65" t="n"/>
      <c r="AP119" s="65" t="n"/>
    </row>
    <row r="120">
      <c r="B120" s="1" t="inlineStr">
        <is>
          <t>ディアス四季C</t>
        </is>
      </c>
      <c r="C120" s="2" t="inlineStr">
        <is>
          <t>積水不動産</t>
        </is>
      </c>
      <c r="D120" s="1" t="inlineStr">
        <is>
          <t>塗装</t>
        </is>
      </c>
      <c r="E120" s="2" t="inlineStr">
        <is>
          <t>7月</t>
        </is>
      </c>
      <c r="F120" s="68" t="n">
        <v>2050000</v>
      </c>
      <c r="G120" s="68">
        <f>IF(B120="","",F120-I120 )</f>
        <v/>
      </c>
      <c r="H120" s="5">
        <f>IF(G120="","",G120/F120)</f>
        <v/>
      </c>
      <c r="I120" s="62">
        <f>SUM(テーブル92[[#This Row],[五大]:[工場材]])</f>
        <v/>
      </c>
      <c r="J120" s="64" t="n">
        <v>450000</v>
      </c>
      <c r="K120" s="65" t="n"/>
      <c r="L120" s="65" t="n"/>
      <c r="M120" s="64" t="n">
        <v>800000</v>
      </c>
      <c r="N120" s="65" t="n"/>
      <c r="O120" s="65" t="n"/>
      <c r="P120" s="64" t="n">
        <v>70000</v>
      </c>
      <c r="Q120" s="64" t="n">
        <v>35000</v>
      </c>
      <c r="R120" s="65" t="n"/>
      <c r="S120" s="64" t="n">
        <v>106000</v>
      </c>
      <c r="T120" s="64" t="n">
        <v>179180</v>
      </c>
      <c r="U120" s="65" t="n"/>
      <c r="V120" s="77" t="n"/>
      <c r="W120" s="65" t="n"/>
      <c r="X120" s="65" t="n"/>
      <c r="Y120" s="65" t="n"/>
      <c r="Z120" s="65" t="n"/>
      <c r="AA120" s="65" t="n"/>
      <c r="AB120" s="65" t="n"/>
      <c r="AC120" s="65" t="n"/>
      <c r="AD120" s="65" t="n"/>
      <c r="AE120" s="65" t="n"/>
      <c r="AF120" s="65" t="n"/>
      <c r="AG120" s="65" t="n"/>
      <c r="AH120" s="65" t="n"/>
      <c r="AI120" s="65" t="n"/>
      <c r="AJ120" s="65" t="n"/>
      <c r="AK120" s="65" t="n"/>
      <c r="AL120" s="65" t="n"/>
      <c r="AM120" s="65" t="n"/>
      <c r="AN120" s="65" t="n"/>
      <c r="AO120" s="65" t="n"/>
      <c r="AP120" s="65" t="n"/>
    </row>
    <row r="121">
      <c r="B121" s="1" t="inlineStr">
        <is>
          <t>シャーメゾンイースト</t>
        </is>
      </c>
      <c r="C121" s="2" t="inlineStr">
        <is>
          <t>積水不動産</t>
        </is>
      </c>
      <c r="D121" s="1" t="inlineStr">
        <is>
          <t>塗装</t>
        </is>
      </c>
      <c r="E121" s="2" t="inlineStr">
        <is>
          <t>7月</t>
        </is>
      </c>
      <c r="F121" s="68" t="n">
        <v>1480749</v>
      </c>
      <c r="G121" s="68">
        <f>IF(B121="","",F121-I121 )</f>
        <v/>
      </c>
      <c r="H121" s="5">
        <f>IF(G121="","",G121/F121)</f>
        <v/>
      </c>
      <c r="I121" s="62">
        <f>SUM(テーブル92[[#This Row],[五大]:[工場材]])</f>
        <v/>
      </c>
      <c r="J121" s="64" t="n">
        <v>270000</v>
      </c>
      <c r="K121" s="65" t="n"/>
      <c r="L121" s="65" t="n"/>
      <c r="M121" s="64" t="n">
        <v>650000</v>
      </c>
      <c r="N121" s="65" t="n"/>
      <c r="O121" s="65" t="n"/>
      <c r="P121" s="64">
        <f>39*700</f>
        <v/>
      </c>
      <c r="Q121" s="64" t="n">
        <v>35000</v>
      </c>
      <c r="R121" s="65" t="n"/>
      <c r="S121" s="64" t="n">
        <v>105000</v>
      </c>
      <c r="T121" s="64" t="n">
        <v>84037</v>
      </c>
      <c r="U121" s="65" t="n"/>
      <c r="V121" s="77" t="n"/>
      <c r="W121" s="65" t="n"/>
      <c r="X121" s="65" t="n"/>
      <c r="Y121" s="65">
        <f>30000</f>
        <v/>
      </c>
      <c r="Z121" s="65" t="n"/>
      <c r="AA121" s="65" t="n"/>
      <c r="AB121" s="65" t="n"/>
      <c r="AC121" s="65" t="n"/>
      <c r="AD121" s="65" t="n"/>
      <c r="AE121" s="65" t="n"/>
      <c r="AF121" s="65" t="n"/>
      <c r="AG121" s="65" t="n"/>
      <c r="AH121" s="65" t="n"/>
      <c r="AI121" s="65" t="n">
        <v>15000</v>
      </c>
      <c r="AJ121" s="65" t="n"/>
      <c r="AK121" s="65" t="n"/>
      <c r="AL121" s="65" t="n"/>
      <c r="AM121" s="65" t="n"/>
      <c r="AN121" s="65" t="n"/>
      <c r="AO121" s="65" t="n"/>
      <c r="AP121" s="65" t="n"/>
    </row>
    <row r="122" hidden="1" s="49">
      <c r="F122" s="68" t="n"/>
      <c r="G122" s="68">
        <f>IF(B122="","",F122-I122 )</f>
        <v/>
      </c>
      <c r="H122" s="5">
        <f>IF(G122="","",G122/F122)</f>
        <v/>
      </c>
      <c r="I122" s="62">
        <f>SUM(テーブル92[[#This Row],[五大]:[工場材]])</f>
        <v/>
      </c>
      <c r="J122" s="64" t="n"/>
      <c r="K122" s="65" t="n"/>
      <c r="L122" s="65" t="n"/>
      <c r="M122" s="65" t="n"/>
      <c r="N122" s="65" t="n"/>
      <c r="O122" s="65" t="n"/>
      <c r="P122" s="64" t="n"/>
      <c r="Q122" s="64" t="n"/>
      <c r="R122" s="65" t="n"/>
      <c r="S122" s="64" t="n"/>
      <c r="T122" s="64" t="n"/>
      <c r="U122" s="65" t="n"/>
      <c r="V122" s="77" t="n"/>
      <c r="W122" s="65" t="n"/>
      <c r="X122" s="65" t="n"/>
      <c r="Y122" s="65" t="n"/>
      <c r="Z122" s="65" t="n"/>
      <c r="AA122" s="65" t="n"/>
      <c r="AB122" s="65" t="n"/>
      <c r="AC122" s="65" t="n"/>
      <c r="AD122" s="65" t="n"/>
      <c r="AE122" s="65" t="n"/>
      <c r="AF122" s="65" t="n"/>
      <c r="AG122" s="65" t="n"/>
      <c r="AH122" s="65" t="n"/>
      <c r="AI122" s="65" t="n"/>
      <c r="AJ122" s="65" t="n"/>
      <c r="AK122" s="65" t="n"/>
      <c r="AL122" s="65" t="n"/>
      <c r="AM122" s="65" t="n"/>
      <c r="AN122" s="65" t="n"/>
      <c r="AO122" s="65" t="n"/>
      <c r="AP122" s="65" t="n"/>
    </row>
    <row r="123" hidden="1" s="49">
      <c r="B123" s="1" t="inlineStr">
        <is>
          <t>シャーメゾンドルチェ</t>
        </is>
      </c>
      <c r="C123" s="2" t="inlineStr">
        <is>
          <t>積水不動産</t>
        </is>
      </c>
      <c r="D123" s="1" t="inlineStr">
        <is>
          <t>フェンス工事</t>
        </is>
      </c>
      <c r="E123" s="2" t="inlineStr">
        <is>
          <t>7月</t>
        </is>
      </c>
      <c r="F123" s="68" t="n">
        <v>262900</v>
      </c>
      <c r="G123" s="68">
        <f>IF(B123="","",F123-I123 )</f>
        <v/>
      </c>
      <c r="H123" s="5">
        <f>IF(G123="","",G123/F123)</f>
        <v/>
      </c>
      <c r="I123" s="62">
        <f>SUM(テーブル92[[#This Row],[五大]:[工場材]])</f>
        <v/>
      </c>
      <c r="J123" s="64" t="n"/>
      <c r="K123" s="65" t="n"/>
      <c r="L123" s="65" t="n"/>
      <c r="M123" s="65" t="n"/>
      <c r="N123" s="65" t="n"/>
      <c r="O123" s="65" t="n"/>
      <c r="P123" s="64" t="n"/>
      <c r="Q123" s="64" t="n"/>
      <c r="R123" s="65" t="n"/>
      <c r="S123" s="65" t="n"/>
      <c r="T123" s="65" t="n"/>
      <c r="U123" s="65" t="n"/>
      <c r="V123" s="77" t="n"/>
      <c r="W123" s="65" t="n"/>
      <c r="X123" s="65" t="n"/>
      <c r="Y123" s="65" t="n"/>
      <c r="Z123" s="65" t="n"/>
      <c r="AA123" s="65" t="n"/>
      <c r="AB123" s="65" t="n"/>
      <c r="AC123" s="65" t="n"/>
      <c r="AD123" s="65" t="n"/>
      <c r="AE123" s="65" t="n"/>
      <c r="AF123" s="65" t="n"/>
      <c r="AG123" s="65" t="n"/>
      <c r="AH123" s="65" t="n"/>
      <c r="AI123" s="65" t="n"/>
      <c r="AJ123" s="65" t="n"/>
      <c r="AK123" s="65" t="n"/>
      <c r="AL123" s="65" t="n"/>
      <c r="AM123" s="65" t="n"/>
      <c r="AN123" s="65" t="n"/>
      <c r="AO123" s="65" t="n"/>
      <c r="AP123" s="65" t="n"/>
    </row>
    <row r="124">
      <c r="B124" s="1" t="inlineStr">
        <is>
          <t>シャーメゾンドルチェ</t>
        </is>
      </c>
      <c r="C124" s="2" t="inlineStr">
        <is>
          <t>積水不動産</t>
        </is>
      </c>
      <c r="D124" s="1" t="inlineStr">
        <is>
          <t>白線、物置塗装工事</t>
        </is>
      </c>
      <c r="E124" s="2" t="inlineStr">
        <is>
          <t>7月</t>
        </is>
      </c>
      <c r="F124" s="68" t="n">
        <v>81000</v>
      </c>
      <c r="G124" s="68">
        <f>IF(B124="","",F124-I124 )</f>
        <v/>
      </c>
      <c r="H124" s="5">
        <f>IF(G124="","",G124/F124)</f>
        <v/>
      </c>
      <c r="I124" s="62">
        <f>SUM(テーブル92[[#This Row],[五大]:[工場材]])</f>
        <v/>
      </c>
      <c r="J124" s="65" t="n"/>
      <c r="K124" s="65" t="n"/>
      <c r="L124" s="65" t="n"/>
      <c r="M124" s="64" t="n">
        <v>50000</v>
      </c>
      <c r="N124" s="65" t="n"/>
      <c r="O124" s="65" t="n"/>
      <c r="P124" s="64" t="n"/>
      <c r="Q124" s="64" t="n"/>
      <c r="R124" s="65" t="n"/>
      <c r="S124" s="65" t="n"/>
      <c r="T124" s="65" t="n"/>
      <c r="U124" s="65" t="n"/>
      <c r="V124" s="77" t="n"/>
      <c r="W124" s="65" t="n"/>
      <c r="X124" s="65" t="n"/>
      <c r="Y124" s="65" t="n"/>
      <c r="Z124" s="65" t="n"/>
      <c r="AA124" s="65" t="n"/>
      <c r="AB124" s="65" t="n"/>
      <c r="AC124" s="65" t="n"/>
      <c r="AD124" s="65" t="n"/>
      <c r="AE124" s="65" t="n"/>
      <c r="AF124" s="65" t="n"/>
      <c r="AG124" s="65" t="n"/>
      <c r="AH124" s="65" t="n"/>
      <c r="AI124" s="65" t="n"/>
      <c r="AJ124" s="65" t="n"/>
      <c r="AK124" s="65" t="n"/>
      <c r="AL124" s="65" t="n"/>
      <c r="AM124" s="65" t="n"/>
      <c r="AN124" s="65" t="n"/>
      <c r="AO124" s="65" t="n"/>
      <c r="AP124" s="65" t="n"/>
    </row>
    <row r="125" hidden="1" s="49">
      <c r="B125" s="1" t="inlineStr">
        <is>
          <t>ランドリーム美田園</t>
        </is>
      </c>
      <c r="C125" s="2" t="inlineStr">
        <is>
          <t>カイト</t>
        </is>
      </c>
      <c r="D125" s="1" t="inlineStr">
        <is>
          <t>壁改修工事</t>
        </is>
      </c>
      <c r="E125" s="2" t="inlineStr">
        <is>
          <t>7月</t>
        </is>
      </c>
      <c r="F125" s="68" t="n">
        <v>120000</v>
      </c>
      <c r="G125" s="68">
        <f>IF(B125="","",F125-I125 )</f>
        <v/>
      </c>
      <c r="H125" s="5">
        <f>IF(G125="","",G125/F125)</f>
        <v/>
      </c>
      <c r="I125" s="62">
        <f>SUM(テーブル92[[#This Row],[五大]:[工場材]])</f>
        <v/>
      </c>
      <c r="J125" s="65" t="n"/>
      <c r="K125" s="65" t="n"/>
      <c r="L125" s="65" t="n"/>
      <c r="M125" s="65" t="n"/>
      <c r="N125" s="65" t="n"/>
      <c r="O125" s="65" t="n"/>
      <c r="P125" s="65" t="n"/>
      <c r="Q125" s="64" t="n"/>
      <c r="R125" s="65" t="n"/>
      <c r="S125" s="65" t="n"/>
      <c r="T125" s="65" t="n"/>
      <c r="U125" s="64" t="n">
        <v>45000</v>
      </c>
      <c r="V125" s="77" t="n"/>
      <c r="W125" s="65" t="n"/>
      <c r="X125" s="65" t="n"/>
      <c r="Y125" s="65" t="n"/>
      <c r="Z125" s="65" t="n"/>
      <c r="AA125" s="65" t="n"/>
      <c r="AB125" s="65" t="n"/>
      <c r="AC125" s="65" t="n"/>
      <c r="AD125" s="65" t="n"/>
      <c r="AE125" s="64" t="n">
        <v>23000</v>
      </c>
      <c r="AF125" s="65" t="n"/>
      <c r="AG125" s="65" t="n"/>
      <c r="AH125" s="65" t="n"/>
      <c r="AI125" s="65" t="n"/>
      <c r="AJ125" s="65" t="n"/>
      <c r="AK125" s="65" t="n"/>
      <c r="AL125" s="65" t="n"/>
      <c r="AM125" s="65" t="n"/>
      <c r="AN125" s="65" t="n"/>
      <c r="AO125" s="65" t="n"/>
      <c r="AP125" s="65" t="n"/>
    </row>
    <row r="126" hidden="1" s="49">
      <c r="F126" s="68" t="n"/>
      <c r="G126" s="68">
        <f>IF(B126="","",F126-I126 )</f>
        <v/>
      </c>
      <c r="H126" s="5">
        <f>IF(G126="","",G126/F126)</f>
        <v/>
      </c>
      <c r="I126" s="62">
        <f>SUM(テーブル92[[#This Row],[五大]:[工場材]])</f>
        <v/>
      </c>
      <c r="J126" s="65" t="n"/>
      <c r="K126" s="65" t="n"/>
      <c r="L126" s="65" t="n"/>
      <c r="M126" s="65" t="n"/>
      <c r="N126" s="65" t="n"/>
      <c r="O126" s="65" t="n"/>
      <c r="P126" s="65" t="n"/>
      <c r="Q126" s="65" t="n"/>
      <c r="R126" s="65" t="n"/>
      <c r="S126" s="65" t="n"/>
      <c r="T126" s="65" t="n"/>
      <c r="U126" s="65" t="n"/>
      <c r="V126" s="77" t="n"/>
      <c r="W126" s="65" t="n"/>
      <c r="X126" s="65" t="n"/>
      <c r="Y126" s="65" t="n"/>
      <c r="Z126" s="65" t="n"/>
      <c r="AA126" s="65" t="n"/>
      <c r="AB126" s="65" t="n"/>
      <c r="AC126" s="65" t="n"/>
      <c r="AD126" s="65" t="n"/>
      <c r="AE126" s="65" t="n"/>
      <c r="AF126" s="65" t="n"/>
      <c r="AG126" s="65" t="n"/>
      <c r="AH126" s="65" t="n"/>
      <c r="AI126" s="65" t="n"/>
      <c r="AJ126" s="65" t="n"/>
      <c r="AK126" s="65" t="n"/>
      <c r="AL126" s="65" t="n"/>
      <c r="AM126" s="65" t="n"/>
      <c r="AN126" s="65" t="n"/>
      <c r="AO126" s="65" t="n"/>
      <c r="AP126" s="65" t="n"/>
    </row>
    <row r="127" hidden="1" s="49">
      <c r="B127" s="1" t="inlineStr">
        <is>
          <t>岩手前沢 リノベーション工事</t>
        </is>
      </c>
      <c r="C127" s="2" t="inlineStr">
        <is>
          <t>LIXIL</t>
        </is>
      </c>
      <c r="D127" s="1" t="inlineStr">
        <is>
          <t>LDK木工事 キッチン交換 トイレ交換</t>
        </is>
      </c>
      <c r="E127" s="2" t="inlineStr">
        <is>
          <t>8月</t>
        </is>
      </c>
      <c r="F127" s="68" t="n">
        <v>2670000</v>
      </c>
      <c r="G127" s="68">
        <f>IF(B127="","",F127-I127 )</f>
        <v/>
      </c>
      <c r="H127" s="5">
        <f>IF(G127="","",G127/F127)</f>
        <v/>
      </c>
      <c r="I127" s="62">
        <f>SUM(テーブル92[[#This Row],[五大]:[工場材]])</f>
        <v/>
      </c>
      <c r="J127" s="65" t="n"/>
      <c r="K127" s="65" t="n"/>
      <c r="L127" s="65" t="n"/>
      <c r="M127" s="65" t="n"/>
      <c r="N127" s="65" t="n"/>
      <c r="O127" s="65" t="n"/>
      <c r="P127" s="65" t="n"/>
      <c r="Q127" s="65" t="n"/>
      <c r="R127" s="65" t="n"/>
      <c r="S127" s="65" t="n"/>
      <c r="T127" s="65" t="n"/>
      <c r="U127" s="64" t="n">
        <v>700000</v>
      </c>
      <c r="V127" s="77">
        <f>110331+106800</f>
        <v/>
      </c>
      <c r="W127" s="65" t="n"/>
      <c r="X127" s="65" t="n"/>
      <c r="Y127" s="64" t="n">
        <v>230000</v>
      </c>
      <c r="Z127" s="64" t="n">
        <v>240000</v>
      </c>
      <c r="AA127" s="65" t="n"/>
      <c r="AB127" s="65" t="n"/>
      <c r="AC127" s="65" t="n"/>
      <c r="AD127" s="65" t="n"/>
      <c r="AE127" s="65" t="n">
        <v>120000</v>
      </c>
      <c r="AF127" s="65" t="n"/>
      <c r="AG127" s="65" t="n"/>
      <c r="AH127" s="65" t="n"/>
      <c r="AI127" s="65" t="n"/>
      <c r="AJ127" s="65" t="n"/>
      <c r="AK127" s="65" t="n"/>
      <c r="AL127" s="65" t="n"/>
      <c r="AM127" s="65" t="n"/>
      <c r="AN127" s="65">
        <f>15000+6000+16900</f>
        <v/>
      </c>
      <c r="AO127" s="65" t="n"/>
      <c r="AP127" s="65" t="n">
        <v>120000</v>
      </c>
    </row>
    <row r="128" hidden="1" s="49">
      <c r="B128" s="1" t="inlineStr">
        <is>
          <t>エコープラザⅦⅧ</t>
        </is>
      </c>
      <c r="C128" s="2" t="inlineStr">
        <is>
          <t>積水不動産</t>
        </is>
      </c>
      <c r="D128" s="1" t="inlineStr">
        <is>
          <t>樋交換</t>
        </is>
      </c>
      <c r="E128" s="2" t="inlineStr">
        <is>
          <t>8月</t>
        </is>
      </c>
      <c r="F128" s="68">
        <f>184000*2</f>
        <v/>
      </c>
      <c r="G128" s="68">
        <f>IF(B128="","",F128-I128 )</f>
        <v/>
      </c>
      <c r="H128" s="5">
        <f>IF(G128="","",G128/F128)</f>
        <v/>
      </c>
      <c r="I128" s="62">
        <f>SUM(テーブル92[[#This Row],[五大]:[工場材]])</f>
        <v/>
      </c>
      <c r="J128" s="65" t="n">
        <v>140000</v>
      </c>
      <c r="K128" s="65" t="n"/>
      <c r="L128" s="65" t="n"/>
      <c r="M128" s="65" t="n"/>
      <c r="N128" s="65" t="n"/>
      <c r="O128" s="65" t="n"/>
      <c r="P128" s="65" t="n"/>
      <c r="Q128" s="65" t="n"/>
      <c r="R128" s="65" t="n"/>
      <c r="S128" s="65" t="n"/>
      <c r="T128" s="65" t="n"/>
      <c r="U128" s="64" t="n">
        <v>50000</v>
      </c>
      <c r="V128" s="77" t="n"/>
      <c r="W128" s="65" t="n"/>
      <c r="X128" s="65" t="n"/>
      <c r="Y128" s="64" t="n"/>
      <c r="Z128" s="65" t="n"/>
      <c r="AA128" s="65" t="n"/>
      <c r="AB128" s="65" t="n"/>
      <c r="AC128" s="65" t="n"/>
      <c r="AD128" s="65" t="n"/>
      <c r="AE128" s="65" t="n"/>
      <c r="AF128" s="65" t="n"/>
      <c r="AG128" s="65" t="n"/>
      <c r="AH128" s="65" t="n"/>
      <c r="AI128" s="65" t="n"/>
      <c r="AJ128" s="65" t="n"/>
      <c r="AK128" s="65" t="n"/>
      <c r="AL128" s="65" t="n"/>
      <c r="AM128" s="65" t="n"/>
      <c r="AN128" s="65" t="n"/>
      <c r="AO128" s="65" t="n"/>
      <c r="AP128" s="65" t="n"/>
    </row>
    <row r="129" hidden="1" s="49">
      <c r="B129" s="1" t="inlineStr">
        <is>
          <t>広瀬耳鼻咽喉科クリニック</t>
        </is>
      </c>
      <c r="C129" s="2" t="inlineStr">
        <is>
          <t>サステム</t>
        </is>
      </c>
      <c r="E129" s="2" t="inlineStr">
        <is>
          <t>8月</t>
        </is>
      </c>
      <c r="F129" s="68" t="n">
        <v>550000</v>
      </c>
      <c r="G129" s="68">
        <f>IF(B129="","",F129-I129 )</f>
        <v/>
      </c>
      <c r="H129" s="5">
        <f>IF(G129="","",G129/F129)</f>
        <v/>
      </c>
      <c r="I129" s="62">
        <f>SUM(テーブル92[[#This Row],[五大]:[工場材]])</f>
        <v/>
      </c>
      <c r="J129" s="65" t="n"/>
      <c r="K129" s="65" t="n"/>
      <c r="L129" s="65" t="n"/>
      <c r="M129" s="65" t="n"/>
      <c r="N129" s="65" t="n"/>
      <c r="O129" s="65" t="n"/>
      <c r="P129" s="65" t="n"/>
      <c r="Q129" s="65" t="n"/>
      <c r="R129" s="65" t="n"/>
      <c r="S129" s="65" t="n"/>
      <c r="T129" s="65" t="n"/>
      <c r="U129" s="65" t="n"/>
      <c r="V129" s="77" t="n"/>
      <c r="W129" s="65" t="n"/>
      <c r="X129" s="65" t="n"/>
      <c r="Y129" s="64" t="n">
        <v>35000</v>
      </c>
      <c r="Z129" s="65" t="n"/>
      <c r="AA129" s="65" t="n"/>
      <c r="AB129" s="65" t="n"/>
      <c r="AC129" s="65" t="n">
        <v>231100</v>
      </c>
      <c r="AD129" s="65" t="n"/>
      <c r="AE129" s="65" t="n"/>
      <c r="AF129" s="65" t="n"/>
      <c r="AG129" s="65" t="n"/>
      <c r="AH129" s="65" t="n"/>
      <c r="AI129" s="65" t="n"/>
      <c r="AJ129" s="65" t="n"/>
      <c r="AK129" s="65" t="n"/>
      <c r="AL129" s="65" t="n"/>
      <c r="AM129" s="65" t="n"/>
      <c r="AN129" s="65" t="n"/>
      <c r="AO129" s="65" t="n"/>
      <c r="AP129" s="65" t="n"/>
    </row>
    <row r="130" hidden="1" s="49">
      <c r="B130" s="1" t="inlineStr">
        <is>
          <t>花園 熊谷邸</t>
        </is>
      </c>
      <c r="C130" s="2" t="inlineStr">
        <is>
          <t>LIXIL</t>
        </is>
      </c>
      <c r="D130" s="1" t="inlineStr">
        <is>
          <t>追加電気 内装、木工事</t>
        </is>
      </c>
      <c r="E130" s="2" t="inlineStr">
        <is>
          <t>8月</t>
        </is>
      </c>
      <c r="F130" s="68" t="n">
        <v>100000</v>
      </c>
      <c r="G130" s="68">
        <f>IF(B130="","",F130-I130 )</f>
        <v/>
      </c>
      <c r="H130" s="5">
        <f>IF(G130="","",G130/F130)</f>
        <v/>
      </c>
      <c r="I130" s="62">
        <f>SUM(テーブル92[[#This Row],[五大]:[工場材]])</f>
        <v/>
      </c>
      <c r="J130" s="65" t="n"/>
      <c r="K130" s="65" t="n"/>
      <c r="L130" s="65" t="n"/>
      <c r="M130" s="65" t="n"/>
      <c r="N130" s="65" t="n"/>
      <c r="O130" s="65" t="n"/>
      <c r="P130" s="65" t="n"/>
      <c r="Q130" s="65" t="n"/>
      <c r="R130" s="65" t="n"/>
      <c r="S130" s="65" t="n"/>
      <c r="T130" s="65" t="n"/>
      <c r="U130" s="65" t="n"/>
      <c r="V130" s="77" t="n"/>
      <c r="W130" s="65" t="n"/>
      <c r="X130" s="65" t="n"/>
      <c r="Y130" s="64" t="n">
        <v>45000</v>
      </c>
      <c r="Z130" s="65" t="n"/>
      <c r="AA130" s="65" t="n"/>
      <c r="AB130" s="65" t="n"/>
      <c r="AC130" s="65" t="n"/>
      <c r="AD130" s="65" t="n"/>
      <c r="AE130" s="65" t="n"/>
      <c r="AF130" s="65" t="n"/>
      <c r="AG130" s="65" t="n"/>
      <c r="AH130" s="65" t="n"/>
      <c r="AI130" s="65" t="n"/>
      <c r="AJ130" s="65" t="n"/>
      <c r="AK130" s="65" t="n"/>
      <c r="AL130" s="65" t="n"/>
      <c r="AM130" s="65" t="n"/>
      <c r="AN130" s="65" t="n"/>
      <c r="AO130" s="65" t="n"/>
      <c r="AP130" s="65" t="n"/>
    </row>
    <row r="131" hidden="1" s="49">
      <c r="B131" s="1" t="inlineStr">
        <is>
          <t>今泉 粟野邸</t>
        </is>
      </c>
      <c r="C131" s="2" t="inlineStr">
        <is>
          <t>佐信木材</t>
        </is>
      </c>
      <c r="D131" s="1" t="inlineStr">
        <is>
          <t>浴室ドア、換気扇、化粧台、トイレ</t>
        </is>
      </c>
      <c r="E131" s="2" t="inlineStr">
        <is>
          <t>8月</t>
        </is>
      </c>
      <c r="F131" s="68" t="n">
        <v>376000</v>
      </c>
      <c r="G131" s="68">
        <f>IF(B131="","",F131-I131 )</f>
        <v/>
      </c>
      <c r="H131" s="5">
        <f>IF(G131="","",G131/F131)</f>
        <v/>
      </c>
      <c r="I131" s="62">
        <f>SUM(テーブル92[[#This Row],[五大]:[工場材]])</f>
        <v/>
      </c>
      <c r="J131" s="65" t="n"/>
      <c r="K131" s="65" t="n"/>
      <c r="L131" s="65" t="n"/>
      <c r="M131" s="65" t="n"/>
      <c r="N131" s="65" t="n"/>
      <c r="O131" s="65" t="n"/>
      <c r="P131" s="65" t="n"/>
      <c r="Q131" s="65" t="n"/>
      <c r="R131" s="65" t="n"/>
      <c r="S131" s="65" t="n"/>
      <c r="T131" s="65" t="n"/>
      <c r="U131" s="65" t="n"/>
      <c r="V131" s="77" t="n"/>
      <c r="W131" s="65" t="n"/>
      <c r="X131" s="65" t="n"/>
      <c r="Y131" s="64" t="n">
        <v>27000</v>
      </c>
      <c r="Z131" s="65" t="n"/>
      <c r="AA131" s="65" t="n"/>
      <c r="AB131" s="64" t="n">
        <v>60000</v>
      </c>
      <c r="AC131" s="65" t="n"/>
      <c r="AD131" s="65" t="n"/>
      <c r="AE131" s="65" t="n"/>
      <c r="AF131" s="65" t="n"/>
      <c r="AG131" s="65" t="n"/>
      <c r="AH131" s="65" t="n"/>
      <c r="AI131" s="65" t="n"/>
      <c r="AJ131" s="65" t="n"/>
      <c r="AK131" s="65" t="n"/>
      <c r="AL131" s="65" t="n"/>
      <c r="AM131" s="65" t="n"/>
      <c r="AN131" s="65" t="n"/>
      <c r="AO131" s="65" t="n"/>
      <c r="AP131" s="65" t="n"/>
    </row>
    <row r="132" hidden="1" s="49">
      <c r="B132" s="1" t="inlineStr">
        <is>
          <t>画像医学と脳検診</t>
        </is>
      </c>
      <c r="C132" s="2" t="inlineStr">
        <is>
          <t>LIFE　UP</t>
        </is>
      </c>
      <c r="D132" s="1" t="inlineStr">
        <is>
          <t>防水工事</t>
        </is>
      </c>
      <c r="E132" s="2" t="inlineStr">
        <is>
          <t>8月</t>
        </is>
      </c>
      <c r="F132" s="68" t="n">
        <v>268000</v>
      </c>
      <c r="G132" s="68">
        <f>IF(B132="","",F132-I132 )</f>
        <v/>
      </c>
      <c r="H132" s="5">
        <f>IF(G132="","",G132/F132)</f>
        <v/>
      </c>
      <c r="I132" s="62">
        <f>SUM(テーブル92[[#This Row],[五大]:[工場材]])</f>
        <v/>
      </c>
      <c r="J132" s="65" t="n"/>
      <c r="K132" s="65" t="n"/>
      <c r="L132" s="65" t="n"/>
      <c r="M132" s="65" t="n"/>
      <c r="N132" s="65" t="n"/>
      <c r="O132" s="65" t="n"/>
      <c r="P132" s="65" t="n"/>
      <c r="Q132" s="65" t="n"/>
      <c r="R132" s="65" t="n"/>
      <c r="S132" s="65" t="n"/>
      <c r="T132" s="65" t="n"/>
      <c r="U132" s="65">
        <f>18000+20000</f>
        <v/>
      </c>
      <c r="V132" s="77" t="n"/>
      <c r="W132" s="65" t="n"/>
      <c r="X132" s="65" t="n"/>
      <c r="Y132" s="64" t="n"/>
      <c r="Z132" s="65" t="n"/>
      <c r="AA132" s="65" t="n"/>
      <c r="AB132" s="65" t="n"/>
      <c r="AC132" s="65" t="n"/>
      <c r="AD132" s="65" t="n"/>
      <c r="AE132" s="65" t="n"/>
      <c r="AF132" s="65" t="n"/>
      <c r="AG132" s="65" t="n"/>
      <c r="AH132" s="65" t="n"/>
      <c r="AI132" s="65" t="n"/>
      <c r="AJ132" s="65" t="n"/>
      <c r="AK132" s="65" t="n"/>
      <c r="AL132" s="65" t="n"/>
      <c r="AM132" s="65" t="n"/>
      <c r="AN132" s="65" t="n"/>
      <c r="AO132" s="65" t="n"/>
      <c r="AP132" s="65" t="n"/>
    </row>
    <row r="133" hidden="1" s="49">
      <c r="F133" s="68" t="n"/>
      <c r="G133" s="68">
        <f>IF(B133="","",F133-I133 )</f>
        <v/>
      </c>
      <c r="H133" s="5">
        <f>IF(G133="","",G133/F133)</f>
        <v/>
      </c>
      <c r="I133" s="62">
        <f>SUM(テーブル92[[#This Row],[五大]:[工場材]])</f>
        <v/>
      </c>
      <c r="J133" s="65" t="n"/>
      <c r="K133" s="65" t="n"/>
      <c r="L133" s="65" t="n"/>
      <c r="M133" s="65" t="n"/>
      <c r="N133" s="65" t="n"/>
      <c r="O133" s="65" t="n"/>
      <c r="P133" s="65" t="n"/>
      <c r="Q133" s="65" t="n"/>
      <c r="R133" s="65" t="n"/>
      <c r="S133" s="65" t="n"/>
      <c r="T133" s="65" t="n"/>
      <c r="U133" s="65" t="n"/>
      <c r="V133" s="77" t="n"/>
      <c r="W133" s="65" t="n"/>
      <c r="X133" s="65" t="n"/>
      <c r="Y133" s="64" t="n"/>
      <c r="Z133" s="65" t="n"/>
      <c r="AA133" s="65" t="n"/>
      <c r="AB133" s="65" t="n"/>
      <c r="AC133" s="65" t="n"/>
      <c r="AD133" s="65" t="n"/>
      <c r="AE133" s="65" t="n"/>
      <c r="AF133" s="65" t="n"/>
      <c r="AG133" s="65" t="n"/>
      <c r="AH133" s="65" t="n"/>
      <c r="AI133" s="65" t="n"/>
      <c r="AJ133" s="65" t="n"/>
      <c r="AK133" s="65" t="n"/>
      <c r="AL133" s="65" t="n"/>
      <c r="AM133" s="65" t="n"/>
      <c r="AN133" s="65" t="n"/>
      <c r="AO133" s="65" t="n"/>
      <c r="AP133" s="65" t="n"/>
    </row>
    <row r="134" hidden="1" s="49">
      <c r="B134" s="1" t="inlineStr">
        <is>
          <t>東九番町パークマンション1006</t>
        </is>
      </c>
      <c r="C134" s="2" t="inlineStr">
        <is>
          <t>光和工業</t>
        </is>
      </c>
      <c r="D134" s="1" t="inlineStr">
        <is>
          <t>フルリフォーム</t>
        </is>
      </c>
      <c r="E134" s="2" t="inlineStr">
        <is>
          <t>9月</t>
        </is>
      </c>
      <c r="F134" s="68" t="n">
        <v>7742000</v>
      </c>
      <c r="G134" s="68">
        <f>IF(B134="","",F134-I134 )</f>
        <v/>
      </c>
      <c r="H134" s="5">
        <f>IF(G134="","",G134/F134)</f>
        <v/>
      </c>
      <c r="I134" s="62">
        <f>SUM(テーブル92[[#This Row],[五大]:[工場材]])</f>
        <v/>
      </c>
      <c r="J134" s="65" t="n"/>
      <c r="K134" s="65" t="n"/>
      <c r="L134" s="65" t="n"/>
      <c r="M134" s="65" t="n"/>
      <c r="N134" s="65" t="n"/>
      <c r="O134" s="65" t="n"/>
      <c r="P134" s="65" t="n"/>
      <c r="Q134" s="65" t="n"/>
      <c r="R134" s="65" t="n"/>
      <c r="S134" s="65" t="n"/>
      <c r="T134" s="65" t="n"/>
      <c r="U134" s="65" t="n">
        <v>750000</v>
      </c>
      <c r="V134" s="77" t="n">
        <v>100000</v>
      </c>
      <c r="W134" s="65" t="n">
        <v>120000</v>
      </c>
      <c r="X134" s="65" t="n"/>
      <c r="Y134" s="64" t="n">
        <v>300000</v>
      </c>
      <c r="Z134" s="65" t="n">
        <v>360000</v>
      </c>
      <c r="AA134" s="65" t="n"/>
      <c r="AB134" s="65" t="n">
        <v>243000</v>
      </c>
      <c r="AC134" s="65" t="n">
        <v>300000</v>
      </c>
      <c r="AD134" s="65" t="n"/>
      <c r="AE134" s="65" t="n">
        <v>23000</v>
      </c>
      <c r="AF134" s="65" t="n"/>
      <c r="AG134" s="65" t="n"/>
      <c r="AH134" s="65" t="n"/>
      <c r="AI134" s="65" t="n"/>
      <c r="AJ134" s="65" t="n"/>
      <c r="AK134" s="65" t="n">
        <v>1650000</v>
      </c>
      <c r="AL134" s="65" t="n"/>
      <c r="AM134" s="65" t="n"/>
      <c r="AN134" s="65">
        <f>13000*3</f>
        <v/>
      </c>
      <c r="AO134" s="65" t="n"/>
      <c r="AP134" s="65" t="n"/>
    </row>
    <row r="135">
      <c r="F135" s="68">
        <f>SUBTOTAL(109,F4:F134)</f>
        <v/>
      </c>
      <c r="G135" s="68">
        <f>IF(B135="","",F135-I135 )</f>
        <v/>
      </c>
      <c r="H135" s="5">
        <f>IF(G135="","",G135/F135)</f>
        <v/>
      </c>
      <c r="I135" s="62">
        <f>SUM(テーブル92[[#This Row],[五大]:[工場材]])</f>
        <v/>
      </c>
      <c r="J135" s="65" t="n"/>
      <c r="K135" s="65" t="n"/>
      <c r="L135" s="65" t="n"/>
      <c r="M135" s="65" t="n"/>
      <c r="N135" s="65" t="n"/>
      <c r="O135" s="65" t="n"/>
      <c r="P135" s="65" t="n"/>
      <c r="Q135" s="65" t="n"/>
      <c r="R135" s="65" t="n"/>
      <c r="S135" s="65" t="n"/>
      <c r="T135" s="65" t="n"/>
      <c r="U135" s="64" t="n"/>
      <c r="V135" s="77" t="n"/>
      <c r="W135" s="64" t="n"/>
      <c r="X135" s="65" t="n"/>
      <c r="Y135" s="64" t="n"/>
      <c r="Z135" s="64" t="n"/>
      <c r="AA135" s="65" t="n"/>
      <c r="AB135" s="65" t="n"/>
      <c r="AC135" s="64" t="n"/>
      <c r="AD135" s="65" t="n"/>
      <c r="AE135" s="65" t="n"/>
      <c r="AF135" s="65" t="n"/>
      <c r="AG135" s="65" t="n"/>
      <c r="AH135" s="65" t="n"/>
      <c r="AI135" s="65" t="n"/>
      <c r="AJ135" s="65" t="n"/>
      <c r="AK135" s="64" t="n"/>
      <c r="AL135" s="65" t="n"/>
      <c r="AM135" s="65" t="n"/>
      <c r="AN135" s="64" t="n"/>
      <c r="AO135" s="64" t="n"/>
      <c r="AP135" s="65">
        <f>400000+384000</f>
        <v/>
      </c>
    </row>
    <row r="136">
      <c r="F136" s="68" t="n"/>
      <c r="G136" s="68">
        <f>IF(B136="","",F136-I136 )</f>
        <v/>
      </c>
      <c r="H136" s="5">
        <f>IF(G136="","",G136/F136)</f>
        <v/>
      </c>
      <c r="J136" s="65" t="n"/>
      <c r="K136" s="65" t="n"/>
      <c r="L136" s="65" t="n"/>
      <c r="M136" s="65" t="n"/>
      <c r="N136" s="65" t="n"/>
      <c r="O136" s="65" t="n"/>
      <c r="P136" s="65" t="n"/>
      <c r="Q136" s="65" t="n"/>
      <c r="R136" s="65" t="n"/>
      <c r="S136" s="65" t="n"/>
      <c r="T136" s="65" t="n"/>
      <c r="U136" s="65" t="n"/>
      <c r="V136" s="77" t="n"/>
      <c r="W136" s="65" t="n"/>
      <c r="X136" s="65" t="n"/>
      <c r="Y136" s="65" t="n"/>
      <c r="Z136" s="65" t="n"/>
      <c r="AA136" s="65" t="n"/>
      <c r="AB136" s="65" t="n"/>
      <c r="AC136" s="65" t="n"/>
      <c r="AD136" s="65" t="n"/>
      <c r="AE136" s="65" t="n"/>
      <c r="AF136" s="65" t="n"/>
      <c r="AG136" s="65" t="n"/>
      <c r="AH136" s="65" t="n"/>
      <c r="AI136" s="65" t="n"/>
      <c r="AJ136" s="65" t="n"/>
      <c r="AK136" s="65" t="n"/>
      <c r="AL136" s="65" t="n"/>
      <c r="AM136" s="65" t="n"/>
      <c r="AN136" s="65" t="n"/>
      <c r="AO136" s="65" t="n"/>
      <c r="AP136" s="65" t="n"/>
    </row>
    <row r="137">
      <c r="F137" s="68" t="n"/>
      <c r="G137" s="68">
        <f>IF(B137="","",F137-I137 )</f>
        <v/>
      </c>
      <c r="H137" s="5">
        <f>IF(G137="","",G137/F137)</f>
        <v/>
      </c>
      <c r="J137" s="65" t="n"/>
      <c r="K137" s="65" t="n"/>
      <c r="L137" s="65" t="n"/>
      <c r="M137" s="65" t="n"/>
      <c r="N137" s="65" t="n"/>
      <c r="O137" s="65" t="n"/>
      <c r="P137" s="65" t="n"/>
      <c r="Q137" s="65" t="n"/>
      <c r="R137" s="65" t="n"/>
      <c r="S137" s="65" t="n"/>
      <c r="T137" s="65" t="n"/>
      <c r="U137" s="65" t="n"/>
      <c r="V137" s="77" t="n"/>
      <c r="W137" s="65" t="n"/>
      <c r="X137" s="65" t="n"/>
      <c r="Y137" s="65" t="n"/>
      <c r="Z137" s="65" t="n"/>
      <c r="AA137" s="65" t="n"/>
      <c r="AB137" s="65" t="n"/>
      <c r="AC137" s="65" t="n"/>
      <c r="AD137" s="65" t="n"/>
      <c r="AE137" s="65" t="n"/>
      <c r="AF137" s="65" t="n"/>
      <c r="AG137" s="65" t="n"/>
      <c r="AH137" s="65" t="n"/>
      <c r="AI137" s="65" t="n"/>
      <c r="AJ137" s="65" t="n"/>
      <c r="AK137" s="65" t="n"/>
      <c r="AL137" s="65" t="n"/>
      <c r="AM137" s="65" t="n"/>
      <c r="AN137" s="65" t="n"/>
      <c r="AO137" s="65" t="n"/>
      <c r="AP137" s="65" t="n"/>
    </row>
    <row r="138">
      <c r="F138" s="68" t="n"/>
      <c r="G138" s="68">
        <f>IF(B138="","",F138-I138 )</f>
        <v/>
      </c>
      <c r="H138" s="5">
        <f>IF(G138="","",G138/F138)</f>
        <v/>
      </c>
      <c r="J138" s="65" t="n"/>
      <c r="K138" s="65" t="n"/>
      <c r="L138" s="65" t="n"/>
      <c r="M138" s="65" t="n"/>
      <c r="N138" s="65" t="n"/>
      <c r="O138" s="65" t="n"/>
      <c r="P138" s="65" t="n"/>
      <c r="Q138" s="65" t="n"/>
      <c r="R138" s="65" t="n"/>
      <c r="S138" s="65" t="n"/>
      <c r="T138" s="65" t="n"/>
      <c r="U138" s="65" t="n"/>
      <c r="V138" s="77" t="n"/>
      <c r="W138" s="65" t="n"/>
      <c r="X138" s="65" t="n"/>
      <c r="Y138" s="65" t="n"/>
      <c r="Z138" s="65" t="n"/>
      <c r="AA138" s="65" t="n"/>
      <c r="AB138" s="65" t="n"/>
      <c r="AC138" s="65" t="n"/>
      <c r="AD138" s="65" t="n"/>
      <c r="AE138" s="65" t="n"/>
      <c r="AF138" s="65" t="n"/>
      <c r="AG138" s="65" t="n"/>
      <c r="AH138" s="65" t="n"/>
      <c r="AI138" s="65" t="n"/>
      <c r="AJ138" s="65" t="n"/>
      <c r="AK138" s="65" t="n"/>
      <c r="AL138" s="65" t="n"/>
      <c r="AM138" s="65" t="n"/>
      <c r="AN138" s="65" t="n"/>
      <c r="AO138" s="65" t="n"/>
      <c r="AP138" s="65" t="n"/>
    </row>
    <row r="139">
      <c r="F139" s="68" t="n"/>
      <c r="G139" s="68">
        <f>IF(B139="","",F139-I139 )</f>
        <v/>
      </c>
      <c r="H139" s="5">
        <f>IF(G139="","",G139/F139)</f>
        <v/>
      </c>
      <c r="J139" s="65" t="n"/>
      <c r="K139" s="65" t="n"/>
      <c r="L139" s="65" t="n"/>
      <c r="M139" s="65" t="n"/>
      <c r="N139" s="65" t="n"/>
      <c r="O139" s="65" t="n"/>
      <c r="P139" s="65" t="n"/>
      <c r="Q139" s="65" t="n"/>
      <c r="R139" s="65" t="n"/>
      <c r="S139" s="65" t="n"/>
      <c r="T139" s="65" t="n"/>
      <c r="U139" s="65" t="n"/>
      <c r="V139" s="77" t="n"/>
      <c r="W139" s="65" t="n"/>
      <c r="X139" s="65" t="n"/>
      <c r="Y139" s="65" t="n"/>
      <c r="Z139" s="65" t="n"/>
      <c r="AA139" s="65" t="n"/>
      <c r="AB139" s="65" t="n"/>
      <c r="AC139" s="65" t="n"/>
      <c r="AD139" s="65" t="n"/>
      <c r="AE139" s="65" t="n"/>
      <c r="AF139" s="65" t="n"/>
      <c r="AG139" s="65" t="n"/>
      <c r="AH139" s="65" t="n"/>
      <c r="AI139" s="65" t="n"/>
      <c r="AJ139" s="65" t="n"/>
      <c r="AK139" s="65" t="n"/>
      <c r="AL139" s="65" t="n"/>
      <c r="AM139" s="65" t="n"/>
      <c r="AN139" s="65" t="n"/>
      <c r="AO139" s="65" t="n"/>
      <c r="AP139" s="65" t="n"/>
    </row>
    <row r="140">
      <c r="F140" s="68" t="n"/>
      <c r="G140" s="68">
        <f>IF(B140="","",F140-I140 )</f>
        <v/>
      </c>
      <c r="H140" s="5">
        <f>IF(G140="","",G140/F140)</f>
        <v/>
      </c>
      <c r="J140" s="65" t="n"/>
      <c r="K140" s="65" t="n"/>
      <c r="L140" s="65" t="n"/>
      <c r="M140" s="65" t="n"/>
      <c r="N140" s="65" t="n"/>
      <c r="O140" s="65" t="n"/>
      <c r="P140" s="65" t="n"/>
      <c r="Q140" s="65" t="n"/>
      <c r="R140" s="65" t="n"/>
      <c r="S140" s="65" t="n"/>
      <c r="T140" s="65" t="n"/>
      <c r="U140" s="65" t="n"/>
      <c r="V140" s="77" t="n"/>
      <c r="W140" s="65" t="n"/>
      <c r="X140" s="65" t="n"/>
      <c r="Y140" s="65" t="n"/>
      <c r="Z140" s="65" t="n"/>
      <c r="AA140" s="65" t="n"/>
      <c r="AB140" s="65" t="n"/>
      <c r="AC140" s="65" t="n"/>
      <c r="AD140" s="65" t="n"/>
      <c r="AE140" s="65" t="n"/>
      <c r="AF140" s="65" t="n"/>
      <c r="AG140" s="65" t="n"/>
      <c r="AH140" s="65" t="n"/>
      <c r="AI140" s="65" t="n"/>
      <c r="AJ140" s="65" t="n"/>
      <c r="AK140" s="65" t="n"/>
      <c r="AL140" s="65" t="n"/>
      <c r="AM140" s="65" t="n"/>
      <c r="AN140" s="65" t="n"/>
      <c r="AO140" s="65" t="n"/>
      <c r="AP140" s="65" t="n"/>
    </row>
    <row r="141">
      <c r="F141" s="68" t="n"/>
      <c r="G141" s="68">
        <f>IF(B141="","",F141-I141 )</f>
        <v/>
      </c>
      <c r="H141" s="5">
        <f>IF(G141="","",G141/F141)</f>
        <v/>
      </c>
      <c r="J141" s="65" t="n"/>
      <c r="K141" s="65" t="n"/>
      <c r="L141" s="65" t="n"/>
      <c r="M141" s="65" t="n"/>
      <c r="N141" s="65" t="n"/>
      <c r="O141" s="65" t="n"/>
      <c r="P141" s="65" t="n"/>
      <c r="Q141" s="65" t="n"/>
      <c r="R141" s="65" t="n"/>
      <c r="S141" s="65" t="n"/>
      <c r="T141" s="65" t="n"/>
      <c r="U141" s="65" t="n"/>
      <c r="V141" s="77" t="n"/>
      <c r="W141" s="65" t="n"/>
      <c r="X141" s="65" t="n"/>
      <c r="Y141" s="65" t="n"/>
      <c r="Z141" s="65" t="n"/>
      <c r="AA141" s="65" t="n"/>
      <c r="AB141" s="65" t="n"/>
      <c r="AC141" s="65" t="n"/>
      <c r="AD141" s="65" t="n"/>
      <c r="AE141" s="65" t="n"/>
      <c r="AF141" s="65" t="n"/>
      <c r="AG141" s="65" t="n"/>
      <c r="AH141" s="65" t="n"/>
      <c r="AI141" s="65" t="n"/>
      <c r="AJ141" s="65" t="n"/>
      <c r="AK141" s="65" t="n"/>
      <c r="AL141" s="65" t="n"/>
      <c r="AM141" s="65" t="n"/>
      <c r="AN141" s="65" t="n"/>
      <c r="AO141" s="65" t="n"/>
      <c r="AP141" s="65" t="n"/>
    </row>
    <row r="142">
      <c r="F142" s="68" t="n"/>
      <c r="G142" s="68">
        <f>IF(B142="","",F142-I142 )</f>
        <v/>
      </c>
      <c r="H142" s="5">
        <f>IF(G142="","",G142/F142)</f>
        <v/>
      </c>
      <c r="J142" s="65" t="n"/>
      <c r="K142" s="65" t="n"/>
      <c r="L142" s="65" t="n"/>
      <c r="M142" s="65" t="n"/>
      <c r="N142" s="65" t="n"/>
      <c r="O142" s="65" t="n"/>
      <c r="P142" s="65" t="n"/>
      <c r="Q142" s="65" t="n"/>
      <c r="R142" s="65" t="n"/>
      <c r="S142" s="65" t="n"/>
      <c r="T142" s="65" t="n"/>
      <c r="U142" s="65" t="n"/>
      <c r="V142" s="77" t="n"/>
      <c r="W142" s="65" t="n"/>
      <c r="X142" s="65" t="n"/>
      <c r="Y142" s="65" t="n"/>
      <c r="Z142" s="65" t="n"/>
      <c r="AA142" s="65" t="n"/>
      <c r="AB142" s="65" t="n"/>
      <c r="AC142" s="65" t="n"/>
      <c r="AD142" s="65" t="n"/>
      <c r="AE142" s="65" t="n"/>
      <c r="AF142" s="65" t="n"/>
      <c r="AG142" s="65" t="n"/>
      <c r="AH142" s="65" t="n"/>
      <c r="AI142" s="65" t="n"/>
      <c r="AJ142" s="65" t="n"/>
      <c r="AK142" s="65" t="n"/>
      <c r="AL142" s="65" t="n"/>
      <c r="AM142" s="65" t="n"/>
      <c r="AN142" s="65" t="n"/>
      <c r="AO142" s="65" t="n"/>
      <c r="AP142" s="65" t="n"/>
    </row>
    <row r="143">
      <c r="E143" s="68" t="n"/>
      <c r="F143" s="68" t="n"/>
      <c r="G143" s="68">
        <f>IF(B143="","",F143-I143 )</f>
        <v/>
      </c>
      <c r="H143" s="5">
        <f>IF(G143="","",G143/F143)</f>
        <v/>
      </c>
      <c r="J143" s="65" t="n"/>
      <c r="K143" s="65" t="n"/>
      <c r="L143" s="65" t="n"/>
      <c r="M143" s="65" t="n"/>
      <c r="N143" s="65" t="n"/>
      <c r="O143" s="65" t="n"/>
      <c r="P143" s="65" t="n"/>
      <c r="Q143" s="65" t="n"/>
      <c r="R143" s="65" t="n"/>
      <c r="S143" s="65" t="n"/>
      <c r="T143" s="65" t="n"/>
      <c r="U143" s="65" t="n"/>
      <c r="V143" s="77" t="n"/>
      <c r="W143" s="65" t="n"/>
      <c r="X143" s="65" t="n"/>
      <c r="Y143" s="65" t="n"/>
      <c r="Z143" s="65" t="n"/>
      <c r="AA143" s="65" t="n"/>
      <c r="AB143" s="65" t="n"/>
      <c r="AC143" s="65" t="n"/>
      <c r="AD143" s="65" t="n"/>
      <c r="AE143" s="65" t="n"/>
      <c r="AF143" s="65" t="n"/>
      <c r="AG143" s="65" t="n"/>
      <c r="AH143" s="65" t="n"/>
      <c r="AI143" s="65" t="n"/>
      <c r="AJ143" s="65" t="n"/>
      <c r="AK143" s="65" t="n"/>
      <c r="AL143" s="65" t="n"/>
      <c r="AM143" s="65" t="n"/>
      <c r="AN143" s="65" t="n"/>
      <c r="AO143" s="65" t="n"/>
      <c r="AP143" s="65" t="n"/>
    </row>
    <row r="144">
      <c r="F144" s="68" t="n"/>
      <c r="G144" s="68">
        <f>IF(B144="","",F144-I144 )</f>
        <v/>
      </c>
      <c r="H144" s="5">
        <f>IF(G144="","",G144/F144)</f>
        <v/>
      </c>
      <c r="J144" s="65" t="n"/>
      <c r="K144" s="65" t="n"/>
      <c r="L144" s="65" t="n"/>
      <c r="M144" s="65" t="n"/>
      <c r="N144" s="65" t="n"/>
      <c r="O144" s="65" t="n"/>
      <c r="P144" s="65" t="n"/>
      <c r="Q144" s="65" t="n"/>
      <c r="R144" s="65" t="n"/>
      <c r="S144" s="65" t="n"/>
      <c r="T144" s="65" t="n"/>
      <c r="U144" s="65" t="n"/>
      <c r="V144" s="77" t="n"/>
      <c r="W144" s="65" t="n"/>
      <c r="X144" s="65" t="n"/>
      <c r="Y144" s="65" t="n"/>
      <c r="Z144" s="65" t="n"/>
      <c r="AA144" s="65" t="n"/>
      <c r="AB144" s="65" t="n"/>
      <c r="AC144" s="65" t="n"/>
      <c r="AD144" s="65" t="n"/>
      <c r="AE144" s="65" t="n"/>
      <c r="AF144" s="65" t="n"/>
      <c r="AG144" s="65" t="n"/>
      <c r="AH144" s="65" t="n"/>
      <c r="AI144" s="65" t="n"/>
      <c r="AJ144" s="65" t="n"/>
      <c r="AK144" s="65" t="n"/>
      <c r="AL144" s="65" t="n"/>
      <c r="AM144" s="65" t="n"/>
      <c r="AN144" s="65" t="n"/>
      <c r="AO144" s="65" t="n"/>
      <c r="AP144" s="65" t="n"/>
    </row>
    <row r="145">
      <c r="F145" s="68" t="n"/>
      <c r="G145" s="68">
        <f>IF(B145="","",F145-I145 )</f>
        <v/>
      </c>
      <c r="H145" s="5">
        <f>IF(G145="","",G145/F145)</f>
        <v/>
      </c>
      <c r="J145" s="65" t="n"/>
      <c r="K145" s="65" t="n"/>
      <c r="L145" s="65" t="n"/>
      <c r="M145" s="65" t="n"/>
      <c r="N145" s="65" t="n"/>
      <c r="O145" s="65" t="n"/>
      <c r="P145" s="65" t="n"/>
      <c r="Q145" s="65" t="n"/>
      <c r="R145" s="65" t="n"/>
      <c r="S145" s="65" t="n"/>
      <c r="T145" s="65" t="n"/>
      <c r="U145" s="65" t="n"/>
      <c r="V145" s="77" t="n"/>
      <c r="W145" s="65" t="n"/>
      <c r="X145" s="65" t="n"/>
      <c r="Y145" s="65" t="n"/>
      <c r="Z145" s="65" t="n"/>
      <c r="AA145" s="65" t="n"/>
      <c r="AB145" s="65" t="n"/>
      <c r="AC145" s="65" t="n"/>
      <c r="AD145" s="65" t="n"/>
      <c r="AE145" s="65" t="n"/>
      <c r="AF145" s="65" t="n"/>
      <c r="AG145" s="65" t="n"/>
      <c r="AH145" s="65" t="n"/>
      <c r="AI145" s="65" t="n"/>
      <c r="AJ145" s="65" t="n"/>
      <c r="AK145" s="65" t="n"/>
      <c r="AL145" s="65" t="n"/>
      <c r="AM145" s="65" t="n"/>
      <c r="AN145" s="65" t="n"/>
      <c r="AO145" s="65" t="n"/>
      <c r="AP145" s="65" t="n"/>
    </row>
    <row r="146">
      <c r="F146" s="68" t="n"/>
      <c r="G146" s="68">
        <f>IF(B146="","",F146-I146 )</f>
        <v/>
      </c>
      <c r="H146" s="5">
        <f>IF(G146="","",G146/F146)</f>
        <v/>
      </c>
      <c r="J146" s="65" t="n"/>
      <c r="K146" s="65" t="n"/>
      <c r="L146" s="65" t="n"/>
      <c r="M146" s="65" t="n"/>
      <c r="N146" s="65" t="n"/>
      <c r="O146" s="65" t="n"/>
      <c r="P146" s="65" t="n"/>
      <c r="Q146" s="65" t="n"/>
      <c r="R146" s="65" t="n"/>
      <c r="S146" s="65" t="n"/>
      <c r="T146" s="65" t="n"/>
      <c r="U146" s="65" t="n"/>
      <c r="V146" s="77" t="n"/>
      <c r="W146" s="65" t="n"/>
      <c r="X146" s="65" t="n"/>
      <c r="Y146" s="65" t="n"/>
      <c r="Z146" s="65" t="n"/>
      <c r="AA146" s="65" t="n"/>
      <c r="AB146" s="65" t="n"/>
      <c r="AC146" s="65" t="n"/>
      <c r="AD146" s="65" t="n"/>
      <c r="AE146" s="65" t="n"/>
      <c r="AF146" s="65" t="n"/>
      <c r="AG146" s="65" t="n"/>
      <c r="AH146" s="65" t="n"/>
      <c r="AI146" s="65" t="n"/>
      <c r="AJ146" s="65" t="n"/>
      <c r="AK146" s="65" t="n"/>
      <c r="AL146" s="65" t="n"/>
      <c r="AM146" s="65" t="n"/>
      <c r="AN146" s="65" t="n"/>
      <c r="AO146" s="65" t="n"/>
      <c r="AP146" s="65" t="n"/>
    </row>
    <row r="147">
      <c r="F147" s="68" t="n"/>
      <c r="G147" s="68">
        <f>IF(B147="","",F147-I147 )</f>
        <v/>
      </c>
      <c r="H147" s="5">
        <f>IF(G147="","",G147/F147)</f>
        <v/>
      </c>
      <c r="J147" s="65" t="n"/>
      <c r="K147" s="65" t="n"/>
      <c r="L147" s="65" t="n"/>
      <c r="M147" s="65" t="n"/>
      <c r="N147" s="65" t="n"/>
      <c r="O147" s="65" t="n"/>
      <c r="P147" s="65" t="n"/>
      <c r="Q147" s="65" t="n"/>
      <c r="R147" s="65" t="n"/>
      <c r="S147" s="65" t="n"/>
      <c r="T147" s="65" t="n"/>
      <c r="U147" s="65" t="n"/>
      <c r="V147" s="77" t="n"/>
      <c r="W147" s="65" t="n"/>
      <c r="X147" s="65" t="n"/>
      <c r="Y147" s="65" t="n"/>
      <c r="Z147" s="65" t="n"/>
      <c r="AA147" s="65" t="n"/>
      <c r="AB147" s="65" t="n"/>
      <c r="AC147" s="65" t="n"/>
      <c r="AD147" s="65" t="n"/>
      <c r="AE147" s="65" t="n"/>
      <c r="AF147" s="65" t="n"/>
      <c r="AG147" s="65" t="n"/>
      <c r="AH147" s="65" t="n"/>
      <c r="AI147" s="65" t="n"/>
      <c r="AJ147" s="65" t="n"/>
      <c r="AK147" s="65" t="n"/>
      <c r="AL147" s="65" t="n"/>
      <c r="AM147" s="65" t="n"/>
      <c r="AN147" s="65" t="n"/>
      <c r="AO147" s="65" t="n"/>
      <c r="AP147" s="65" t="n"/>
    </row>
    <row r="148">
      <c r="F148" s="68" t="n"/>
      <c r="G148" s="68">
        <f>IF(B148="","",F148-I148 )</f>
        <v/>
      </c>
      <c r="H148" s="5">
        <f>IF(G148="","",G148/F148)</f>
        <v/>
      </c>
      <c r="J148" s="65" t="n"/>
      <c r="K148" s="65" t="n"/>
      <c r="L148" s="65" t="n"/>
      <c r="M148" s="65" t="n"/>
      <c r="N148" s="65" t="n"/>
      <c r="O148" s="65" t="n"/>
      <c r="P148" s="65" t="n"/>
      <c r="Q148" s="65" t="n"/>
      <c r="R148" s="65" t="n"/>
      <c r="S148" s="65" t="n"/>
      <c r="T148" s="65" t="n"/>
      <c r="U148" s="65" t="n"/>
      <c r="V148" s="77" t="n"/>
      <c r="W148" s="65" t="n"/>
      <c r="X148" s="65" t="n"/>
      <c r="Y148" s="65" t="n"/>
      <c r="Z148" s="65" t="n"/>
      <c r="AA148" s="65" t="n"/>
      <c r="AB148" s="65" t="n"/>
      <c r="AC148" s="65" t="n"/>
      <c r="AD148" s="65" t="n"/>
      <c r="AE148" s="65" t="n"/>
      <c r="AF148" s="65" t="n"/>
      <c r="AG148" s="65" t="n"/>
      <c r="AH148" s="65" t="n"/>
      <c r="AI148" s="65" t="n"/>
      <c r="AJ148" s="65" t="n"/>
      <c r="AK148" s="65" t="n"/>
      <c r="AL148" s="65" t="n"/>
      <c r="AM148" s="65" t="n"/>
      <c r="AN148" s="65" t="n"/>
      <c r="AO148" s="65" t="n"/>
      <c r="AP148" s="65" t="n"/>
    </row>
    <row r="149">
      <c r="F149" s="68" t="n"/>
      <c r="G149" s="68">
        <f>IF(B149="","",F149-I149 )</f>
        <v/>
      </c>
      <c r="H149" s="5">
        <f>IF(G149="","",G149/F149)</f>
        <v/>
      </c>
      <c r="J149" s="65" t="n"/>
      <c r="K149" s="65" t="n"/>
      <c r="L149" s="65" t="n"/>
      <c r="M149" s="65" t="n"/>
      <c r="N149" s="65" t="n"/>
      <c r="O149" s="65" t="n"/>
      <c r="P149" s="65" t="n"/>
      <c r="Q149" s="65" t="n"/>
      <c r="R149" s="65" t="n"/>
      <c r="S149" s="65" t="n"/>
      <c r="T149" s="65" t="n"/>
      <c r="U149" s="65" t="n"/>
      <c r="V149" s="77" t="n"/>
      <c r="W149" s="65" t="n"/>
      <c r="X149" s="65" t="n"/>
      <c r="Y149" s="65" t="n"/>
      <c r="Z149" s="65" t="n"/>
      <c r="AA149" s="65" t="n"/>
      <c r="AB149" s="65" t="n"/>
      <c r="AC149" s="65" t="n"/>
      <c r="AD149" s="65" t="n"/>
      <c r="AE149" s="65" t="n"/>
      <c r="AF149" s="65" t="n"/>
      <c r="AG149" s="65" t="n"/>
      <c r="AH149" s="65" t="n"/>
      <c r="AI149" s="65" t="n"/>
      <c r="AJ149" s="65" t="n"/>
      <c r="AK149" s="65" t="n"/>
      <c r="AL149" s="65" t="n"/>
      <c r="AM149" s="65" t="n"/>
      <c r="AN149" s="65" t="n"/>
      <c r="AO149" s="65" t="n"/>
      <c r="AP149" s="65" t="n"/>
    </row>
    <row r="150">
      <c r="F150" s="68" t="n"/>
      <c r="G150" s="68">
        <f>IF(B150="","",F150-I150 )</f>
        <v/>
      </c>
      <c r="H150" s="5">
        <f>IF(G150="","",G150/F150)</f>
        <v/>
      </c>
      <c r="J150" s="65" t="n"/>
      <c r="K150" s="65" t="n"/>
      <c r="L150" s="65" t="n"/>
      <c r="M150" s="65" t="n"/>
      <c r="N150" s="65" t="n"/>
      <c r="O150" s="65" t="n"/>
      <c r="P150" s="65" t="n"/>
      <c r="Q150" s="65" t="n"/>
      <c r="R150" s="65" t="n"/>
      <c r="S150" s="65" t="n"/>
      <c r="T150" s="65" t="n"/>
      <c r="U150" s="65" t="n"/>
      <c r="V150" s="77" t="n"/>
      <c r="W150" s="65" t="n"/>
      <c r="X150" s="65" t="n"/>
      <c r="Y150" s="65" t="n"/>
      <c r="Z150" s="65" t="n"/>
      <c r="AA150" s="65" t="n"/>
      <c r="AB150" s="65" t="n"/>
      <c r="AC150" s="65" t="n"/>
      <c r="AD150" s="65" t="n"/>
      <c r="AE150" s="65" t="n"/>
      <c r="AF150" s="65" t="n"/>
      <c r="AG150" s="65" t="n"/>
      <c r="AH150" s="65" t="n"/>
      <c r="AI150" s="65" t="n"/>
      <c r="AJ150" s="65" t="n"/>
      <c r="AK150" s="65" t="n"/>
      <c r="AL150" s="65" t="n"/>
      <c r="AM150" s="65" t="n"/>
      <c r="AN150" s="65" t="n"/>
      <c r="AO150" s="65" t="n"/>
      <c r="AP150" s="65" t="n"/>
    </row>
    <row r="151">
      <c r="F151" s="68" t="n"/>
      <c r="G151" s="68">
        <f>IF(B151="","",F151-I151 )</f>
        <v/>
      </c>
      <c r="H151" s="5">
        <f>IF(G151="","",G151/F151)</f>
        <v/>
      </c>
      <c r="J151" s="65" t="n"/>
      <c r="K151" s="65" t="n"/>
      <c r="L151" s="65" t="n"/>
      <c r="M151" s="65" t="n"/>
      <c r="N151" s="65" t="n"/>
      <c r="O151" s="65" t="n"/>
      <c r="P151" s="65" t="n"/>
      <c r="Q151" s="65" t="n"/>
      <c r="R151" s="65" t="n"/>
      <c r="S151" s="65" t="n"/>
      <c r="T151" s="65" t="n"/>
      <c r="U151" s="65" t="n"/>
      <c r="V151" s="77" t="n"/>
      <c r="W151" s="65" t="n"/>
      <c r="X151" s="65" t="n"/>
      <c r="Y151" s="65" t="n"/>
      <c r="Z151" s="65" t="n"/>
      <c r="AA151" s="65" t="n"/>
      <c r="AB151" s="65" t="n"/>
      <c r="AC151" s="65" t="n"/>
      <c r="AD151" s="65" t="n"/>
      <c r="AE151" s="65" t="n"/>
      <c r="AF151" s="65" t="n"/>
      <c r="AG151" s="65" t="n"/>
      <c r="AH151" s="65" t="n"/>
      <c r="AI151" s="65" t="n"/>
      <c r="AJ151" s="65" t="n"/>
      <c r="AK151" s="65" t="n"/>
      <c r="AL151" s="65" t="n"/>
      <c r="AM151" s="65" t="n"/>
      <c r="AN151" s="65" t="n"/>
      <c r="AO151" s="65" t="n"/>
      <c r="AP151" s="65" t="n"/>
    </row>
    <row r="152">
      <c r="F152" s="68" t="n"/>
      <c r="G152" s="68">
        <f>IF(B152="","",F152-I152 )</f>
        <v/>
      </c>
      <c r="H152" s="5">
        <f>IF(G152="","",G152/F152)</f>
        <v/>
      </c>
      <c r="J152" s="65" t="n"/>
      <c r="K152" s="65" t="n"/>
      <c r="L152" s="65" t="n"/>
      <c r="M152" s="65" t="n"/>
      <c r="N152" s="65" t="n"/>
      <c r="O152" s="65" t="n"/>
      <c r="P152" s="65" t="n"/>
      <c r="Q152" s="65" t="n"/>
      <c r="R152" s="65" t="n"/>
      <c r="S152" s="65" t="n"/>
      <c r="T152" s="65" t="n"/>
      <c r="U152" s="65" t="n"/>
      <c r="V152" s="77" t="n"/>
      <c r="W152" s="65" t="n"/>
      <c r="X152" s="65" t="n"/>
      <c r="Y152" s="65" t="n"/>
      <c r="Z152" s="65" t="n"/>
      <c r="AA152" s="65" t="n"/>
      <c r="AB152" s="65" t="n"/>
      <c r="AC152" s="65" t="n"/>
      <c r="AD152" s="65" t="n"/>
      <c r="AE152" s="65" t="n"/>
      <c r="AF152" s="65" t="n"/>
      <c r="AG152" s="65" t="n"/>
      <c r="AH152" s="65" t="n"/>
      <c r="AI152" s="65" t="n"/>
      <c r="AJ152" s="65" t="n"/>
      <c r="AK152" s="65" t="n"/>
      <c r="AL152" s="65" t="n"/>
      <c r="AM152" s="65" t="n"/>
      <c r="AN152" s="65" t="n"/>
      <c r="AO152" s="65" t="n"/>
      <c r="AP152" s="65" t="n"/>
    </row>
    <row r="153">
      <c r="F153" s="68" t="n"/>
      <c r="G153" s="68">
        <f>IF(B153="","",F153-I153 )</f>
        <v/>
      </c>
      <c r="H153" s="5">
        <f>IF(G153="","",G153/F153)</f>
        <v/>
      </c>
      <c r="J153" s="65" t="n"/>
      <c r="K153" s="65" t="n"/>
      <c r="L153" s="65" t="n"/>
      <c r="M153" s="65" t="n"/>
      <c r="N153" s="65" t="n"/>
      <c r="O153" s="65" t="n"/>
      <c r="P153" s="65" t="n"/>
      <c r="Q153" s="65" t="n"/>
      <c r="R153" s="65" t="n"/>
      <c r="S153" s="65" t="n"/>
      <c r="T153" s="65" t="n"/>
      <c r="U153" s="65" t="n"/>
      <c r="V153" s="77" t="n"/>
      <c r="W153" s="65" t="n"/>
      <c r="X153" s="65" t="n"/>
      <c r="Y153" s="65" t="n"/>
      <c r="Z153" s="65" t="n"/>
      <c r="AA153" s="65" t="n"/>
      <c r="AB153" s="65" t="n"/>
      <c r="AC153" s="65" t="n"/>
      <c r="AD153" s="65" t="n"/>
      <c r="AE153" s="65" t="n"/>
      <c r="AF153" s="65" t="n"/>
      <c r="AG153" s="65" t="n"/>
      <c r="AH153" s="65" t="n"/>
      <c r="AI153" s="65" t="n"/>
      <c r="AJ153" s="65" t="n"/>
      <c r="AK153" s="65" t="n"/>
      <c r="AL153" s="65" t="n"/>
      <c r="AM153" s="65" t="n"/>
      <c r="AN153" s="65" t="n"/>
      <c r="AO153" s="65" t="n"/>
      <c r="AP153" s="65" t="n"/>
    </row>
    <row r="154">
      <c r="F154" s="68" t="n"/>
      <c r="G154" s="68">
        <f>IF(B154="","",F154-I154 )</f>
        <v/>
      </c>
      <c r="H154" s="5">
        <f>IF(G154="","",G154/F154)</f>
        <v/>
      </c>
      <c r="J154" s="65" t="n"/>
      <c r="K154" s="65" t="n"/>
      <c r="L154" s="65" t="n"/>
      <c r="M154" s="65" t="n"/>
      <c r="N154" s="65" t="n"/>
      <c r="O154" s="65" t="n"/>
      <c r="P154" s="65" t="n"/>
      <c r="Q154" s="65" t="n"/>
      <c r="R154" s="65" t="n"/>
      <c r="S154" s="65" t="n"/>
      <c r="T154" s="65" t="n"/>
      <c r="U154" s="65" t="n"/>
      <c r="V154" s="77" t="n"/>
      <c r="W154" s="65" t="n"/>
      <c r="X154" s="65" t="n"/>
      <c r="Y154" s="65" t="n"/>
      <c r="Z154" s="65" t="n"/>
      <c r="AA154" s="65" t="n"/>
      <c r="AB154" s="65" t="n"/>
      <c r="AC154" s="65" t="n"/>
      <c r="AD154" s="65" t="n"/>
      <c r="AE154" s="65" t="n"/>
      <c r="AF154" s="65" t="n"/>
      <c r="AG154" s="65" t="n"/>
      <c r="AH154" s="65" t="n"/>
      <c r="AI154" s="65" t="n"/>
      <c r="AJ154" s="65" t="n"/>
      <c r="AK154" s="65" t="n"/>
      <c r="AL154" s="65" t="n"/>
      <c r="AM154" s="65" t="n"/>
      <c r="AN154" s="65" t="n"/>
      <c r="AO154" s="65" t="n"/>
      <c r="AP154" s="65" t="n"/>
    </row>
    <row r="155">
      <c r="F155" s="68" t="n"/>
      <c r="G155" s="68">
        <f>IF(B155="","",F155-I155 )</f>
        <v/>
      </c>
      <c r="H155" s="5">
        <f>IF(G155="","",G155/F155)</f>
        <v/>
      </c>
      <c r="J155" s="65" t="n"/>
      <c r="K155" s="65" t="n"/>
      <c r="L155" s="65" t="n"/>
      <c r="M155" s="65" t="n"/>
      <c r="N155" s="65" t="n"/>
      <c r="O155" s="65" t="n"/>
      <c r="P155" s="65" t="n"/>
      <c r="Q155" s="65" t="n"/>
      <c r="R155" s="65" t="n"/>
      <c r="S155" s="65" t="n"/>
      <c r="T155" s="65" t="n"/>
      <c r="U155" s="65" t="n"/>
      <c r="V155" s="77" t="n"/>
      <c r="W155" s="65" t="n"/>
      <c r="X155" s="65" t="n"/>
      <c r="Y155" s="65" t="n"/>
      <c r="Z155" s="65" t="n"/>
      <c r="AA155" s="65" t="n"/>
      <c r="AB155" s="65" t="n"/>
      <c r="AC155" s="65" t="n"/>
      <c r="AD155" s="65" t="n"/>
      <c r="AE155" s="65" t="n"/>
      <c r="AF155" s="65" t="n"/>
      <c r="AG155" s="65" t="n"/>
      <c r="AH155" s="65" t="n"/>
      <c r="AI155" s="65" t="n"/>
      <c r="AJ155" s="65" t="n"/>
      <c r="AK155" s="65" t="n"/>
      <c r="AL155" s="65" t="n"/>
      <c r="AM155" s="65" t="n"/>
      <c r="AN155" s="65" t="n"/>
      <c r="AO155" s="65" t="n"/>
      <c r="AP155" s="65" t="n"/>
    </row>
    <row r="156">
      <c r="F156" s="68" t="n"/>
      <c r="G156" s="68">
        <f>IF(B156="","",F156-I156 )</f>
        <v/>
      </c>
      <c r="H156" s="5">
        <f>IF(G156="","",G156/F156)</f>
        <v/>
      </c>
      <c r="J156" s="65" t="n"/>
      <c r="K156" s="65" t="n"/>
      <c r="L156" s="65" t="n"/>
      <c r="M156" s="65" t="n"/>
      <c r="N156" s="65" t="n"/>
      <c r="O156" s="65" t="n"/>
      <c r="P156" s="65" t="n"/>
      <c r="Q156" s="65" t="n"/>
      <c r="R156" s="65" t="n"/>
      <c r="S156" s="65" t="n"/>
      <c r="T156" s="65" t="n"/>
      <c r="U156" s="65" t="n"/>
      <c r="V156" s="77" t="n"/>
      <c r="W156" s="65" t="n"/>
      <c r="X156" s="65" t="n"/>
      <c r="Y156" s="65" t="n"/>
      <c r="Z156" s="65" t="n"/>
      <c r="AA156" s="65" t="n"/>
      <c r="AB156" s="65" t="n"/>
      <c r="AC156" s="65" t="n"/>
      <c r="AD156" s="65" t="n"/>
      <c r="AE156" s="65" t="n"/>
      <c r="AF156" s="65" t="n"/>
      <c r="AG156" s="65" t="n"/>
      <c r="AH156" s="65" t="n"/>
      <c r="AI156" s="65" t="n"/>
      <c r="AJ156" s="65" t="n"/>
      <c r="AK156" s="65" t="n"/>
      <c r="AL156" s="65" t="n"/>
      <c r="AM156" s="65" t="n"/>
      <c r="AN156" s="65" t="n"/>
      <c r="AO156" s="65" t="n"/>
      <c r="AP156" s="65" t="n"/>
    </row>
    <row r="157">
      <c r="F157" s="68" t="n"/>
      <c r="G157" s="68">
        <f>IF(B157="","",F157-I157 )</f>
        <v/>
      </c>
      <c r="H157" s="5">
        <f>IF(G157="","",G157/F157)</f>
        <v/>
      </c>
      <c r="J157" s="65" t="n"/>
      <c r="K157" s="65" t="n"/>
      <c r="L157" s="65" t="n"/>
      <c r="M157" s="65" t="n"/>
      <c r="N157" s="65" t="n"/>
      <c r="O157" s="65" t="n"/>
      <c r="P157" s="65" t="n"/>
      <c r="Q157" s="65" t="n"/>
      <c r="R157" s="65" t="n"/>
      <c r="S157" s="65" t="n"/>
      <c r="T157" s="65" t="n"/>
      <c r="U157" s="65" t="n"/>
      <c r="V157" s="77" t="n"/>
      <c r="W157" s="65" t="n"/>
      <c r="X157" s="65" t="n"/>
      <c r="Y157" s="65" t="n"/>
      <c r="Z157" s="65" t="n"/>
      <c r="AA157" s="65" t="n"/>
      <c r="AB157" s="65" t="n"/>
      <c r="AC157" s="65" t="n"/>
      <c r="AD157" s="65" t="n"/>
      <c r="AE157" s="65" t="n"/>
      <c r="AF157" s="65" t="n"/>
      <c r="AG157" s="65" t="n"/>
      <c r="AH157" s="65" t="n"/>
      <c r="AI157" s="65" t="n"/>
      <c r="AJ157" s="65" t="n"/>
      <c r="AK157" s="65" t="n"/>
      <c r="AL157" s="65" t="n"/>
      <c r="AM157" s="65" t="n"/>
      <c r="AN157" s="65" t="n"/>
      <c r="AO157" s="65" t="n"/>
      <c r="AP157" s="65" t="n"/>
    </row>
    <row r="158">
      <c r="F158" s="68" t="n"/>
      <c r="G158" s="68">
        <f>IF(B158="","",F158-I158 )</f>
        <v/>
      </c>
      <c r="H158" s="5">
        <f>IF(G158="","",G158/F158)</f>
        <v/>
      </c>
      <c r="J158" s="65" t="n"/>
      <c r="K158" s="65" t="n"/>
      <c r="L158" s="65" t="n"/>
      <c r="M158" s="65" t="n"/>
      <c r="N158" s="65" t="n"/>
      <c r="O158" s="65" t="n"/>
      <c r="P158" s="65" t="n"/>
      <c r="Q158" s="65" t="n"/>
      <c r="R158" s="65" t="n"/>
      <c r="S158" s="65" t="n"/>
      <c r="T158" s="65" t="n"/>
      <c r="U158" s="65" t="n"/>
      <c r="V158" s="77" t="n"/>
      <c r="W158" s="65" t="n"/>
      <c r="X158" s="65" t="n"/>
      <c r="Y158" s="65" t="n"/>
      <c r="Z158" s="65" t="n"/>
      <c r="AA158" s="65" t="n"/>
      <c r="AB158" s="65" t="n"/>
      <c r="AC158" s="65" t="n"/>
      <c r="AD158" s="65" t="n"/>
      <c r="AE158" s="65" t="n"/>
      <c r="AF158" s="65" t="n"/>
      <c r="AG158" s="65" t="n"/>
      <c r="AH158" s="65" t="n"/>
      <c r="AI158" s="65" t="n"/>
      <c r="AJ158" s="65" t="n"/>
      <c r="AK158" s="65" t="n"/>
      <c r="AL158" s="65" t="n"/>
      <c r="AM158" s="65" t="n"/>
      <c r="AN158" s="65" t="n"/>
      <c r="AO158" s="65" t="n"/>
      <c r="AP158" s="65" t="n"/>
    </row>
    <row r="159">
      <c r="F159" s="68" t="n"/>
      <c r="G159" s="68">
        <f>IF(B159="","",F159-I159 )</f>
        <v/>
      </c>
      <c r="H159" s="5">
        <f>IF(G159="","",G159/F159)</f>
        <v/>
      </c>
      <c r="J159" s="65" t="n"/>
      <c r="K159" s="65" t="n"/>
      <c r="L159" s="65" t="n"/>
      <c r="M159" s="65" t="n"/>
      <c r="N159" s="65" t="n"/>
      <c r="O159" s="65" t="n"/>
      <c r="P159" s="65" t="n"/>
      <c r="Q159" s="65" t="n"/>
      <c r="R159" s="65" t="n"/>
      <c r="S159" s="65" t="n"/>
      <c r="T159" s="65" t="n"/>
      <c r="U159" s="65" t="n"/>
      <c r="V159" s="77" t="n"/>
      <c r="W159" s="65" t="n"/>
      <c r="X159" s="65" t="n"/>
      <c r="Y159" s="65" t="n"/>
      <c r="Z159" s="65" t="n"/>
      <c r="AA159" s="65" t="n"/>
      <c r="AB159" s="65" t="n"/>
      <c r="AC159" s="65" t="n"/>
      <c r="AD159" s="65" t="n"/>
      <c r="AE159" s="65" t="n"/>
      <c r="AF159" s="65" t="n"/>
      <c r="AG159" s="65" t="n"/>
      <c r="AH159" s="65" t="n"/>
      <c r="AI159" s="65" t="n"/>
      <c r="AJ159" s="65" t="n"/>
      <c r="AK159" s="65" t="n"/>
      <c r="AL159" s="65" t="n"/>
      <c r="AM159" s="65" t="n"/>
      <c r="AN159" s="65" t="n"/>
      <c r="AO159" s="65" t="n"/>
      <c r="AP159" s="65" t="n"/>
    </row>
    <row r="160">
      <c r="F160" s="68" t="n"/>
      <c r="G160" s="68">
        <f>IF(B160="","",F160-I160 )</f>
        <v/>
      </c>
      <c r="H160" s="5">
        <f>IF(G160="","",G160/F160)</f>
        <v/>
      </c>
      <c r="J160" s="65" t="n"/>
      <c r="K160" s="65" t="n"/>
      <c r="L160" s="65" t="n"/>
      <c r="M160" s="65" t="n"/>
      <c r="N160" s="65" t="n"/>
      <c r="O160" s="65" t="n"/>
      <c r="P160" s="65" t="n"/>
      <c r="Q160" s="65" t="n"/>
      <c r="R160" s="65" t="n"/>
      <c r="S160" s="65" t="n"/>
      <c r="T160" s="65" t="n"/>
      <c r="U160" s="65" t="n"/>
      <c r="V160" s="77" t="n"/>
      <c r="W160" s="65" t="n"/>
      <c r="X160" s="65" t="n"/>
      <c r="Y160" s="65" t="n"/>
      <c r="Z160" s="65" t="n"/>
      <c r="AA160" s="65" t="n"/>
      <c r="AB160" s="65" t="n"/>
      <c r="AC160" s="65" t="n"/>
      <c r="AD160" s="65" t="n"/>
      <c r="AE160" s="65" t="n"/>
      <c r="AF160" s="65" t="n"/>
      <c r="AG160" s="65" t="n"/>
      <c r="AH160" s="65" t="n"/>
      <c r="AI160" s="65" t="n"/>
      <c r="AJ160" s="65" t="n"/>
      <c r="AK160" s="65" t="n"/>
      <c r="AL160" s="65" t="n"/>
      <c r="AM160" s="65" t="n"/>
      <c r="AN160" s="65" t="n"/>
      <c r="AO160" s="65" t="n"/>
      <c r="AP160" s="65" t="n"/>
    </row>
    <row r="161">
      <c r="F161" s="68" t="n"/>
      <c r="G161" s="68">
        <f>IF(B161="","",F161-I161 )</f>
        <v/>
      </c>
      <c r="H161" s="5">
        <f>IF(G161="","",G161/F161)</f>
        <v/>
      </c>
      <c r="J161" s="65" t="n"/>
      <c r="K161" s="65" t="n"/>
      <c r="L161" s="65" t="n"/>
      <c r="M161" s="65" t="n"/>
      <c r="N161" s="65" t="n"/>
      <c r="O161" s="65" t="n"/>
      <c r="P161" s="65" t="n"/>
      <c r="Q161" s="65" t="n"/>
      <c r="R161" s="65" t="n"/>
      <c r="S161" s="65" t="n"/>
      <c r="T161" s="65" t="n"/>
      <c r="U161" s="65" t="n"/>
      <c r="V161" s="77" t="n"/>
      <c r="W161" s="65" t="n"/>
      <c r="X161" s="65" t="n"/>
      <c r="Y161" s="65" t="n"/>
      <c r="Z161" s="65" t="n"/>
      <c r="AA161" s="65" t="n"/>
      <c r="AB161" s="65" t="n"/>
      <c r="AC161" s="65" t="n"/>
      <c r="AD161" s="65" t="n"/>
      <c r="AE161" s="65" t="n"/>
      <c r="AF161" s="65" t="n"/>
      <c r="AG161" s="65" t="n"/>
      <c r="AH161" s="65" t="n"/>
      <c r="AI161" s="65" t="n"/>
      <c r="AJ161" s="65" t="n"/>
      <c r="AK161" s="65" t="n"/>
      <c r="AL161" s="65" t="n"/>
      <c r="AM161" s="65" t="n"/>
      <c r="AN161" s="65" t="n"/>
      <c r="AO161" s="65" t="n"/>
      <c r="AP161" s="65" t="n"/>
    </row>
    <row r="162">
      <c r="F162" s="68" t="n"/>
      <c r="G162" s="68">
        <f>IF(B162="","",F162-I162 )</f>
        <v/>
      </c>
      <c r="H162" s="5">
        <f>IF(G162="","",G162/F162)</f>
        <v/>
      </c>
      <c r="J162" s="65" t="n"/>
      <c r="K162" s="65" t="n"/>
      <c r="L162" s="65" t="n"/>
      <c r="M162" s="65" t="n"/>
      <c r="N162" s="65" t="n"/>
      <c r="O162" s="65" t="n"/>
      <c r="P162" s="65" t="n"/>
      <c r="Q162" s="65" t="n"/>
      <c r="R162" s="65" t="n"/>
      <c r="S162" s="65" t="n"/>
      <c r="T162" s="65" t="n"/>
      <c r="U162" s="65" t="n"/>
      <c r="V162" s="77" t="n"/>
      <c r="W162" s="65" t="n"/>
      <c r="X162" s="65" t="n"/>
      <c r="Y162" s="65" t="n"/>
      <c r="Z162" s="65" t="n"/>
      <c r="AA162" s="65" t="n"/>
      <c r="AB162" s="65" t="n"/>
      <c r="AC162" s="65" t="n"/>
      <c r="AD162" s="65" t="n"/>
      <c r="AE162" s="65" t="n"/>
      <c r="AF162" s="65" t="n"/>
      <c r="AG162" s="65" t="n"/>
      <c r="AH162" s="65" t="n"/>
      <c r="AI162" s="65" t="n"/>
      <c r="AJ162" s="65" t="n"/>
      <c r="AK162" s="65" t="n"/>
      <c r="AL162" s="65" t="n"/>
      <c r="AM162" s="65" t="n"/>
      <c r="AN162" s="65" t="n"/>
      <c r="AO162" s="65" t="n"/>
      <c r="AP162" s="65" t="n"/>
    </row>
    <row r="163">
      <c r="F163" s="68" t="n"/>
      <c r="G163" s="68">
        <f>IF(B163="","",F163-I163 )</f>
        <v/>
      </c>
      <c r="H163" s="5">
        <f>IF(G163="","",G163/F163)</f>
        <v/>
      </c>
      <c r="J163" s="65" t="n"/>
      <c r="K163" s="65" t="n"/>
      <c r="L163" s="65" t="n"/>
      <c r="M163" s="65" t="n"/>
      <c r="N163" s="65" t="n"/>
      <c r="O163" s="65" t="n"/>
      <c r="P163" s="65" t="n"/>
      <c r="Q163" s="65" t="n"/>
      <c r="R163" s="65" t="n"/>
      <c r="S163" s="65" t="n"/>
      <c r="T163" s="65" t="n"/>
      <c r="U163" s="65" t="n"/>
      <c r="V163" s="77" t="n"/>
      <c r="W163" s="65" t="n"/>
      <c r="X163" s="65" t="n"/>
      <c r="Y163" s="65" t="n"/>
      <c r="Z163" s="65" t="n"/>
      <c r="AA163" s="65" t="n"/>
      <c r="AB163" s="65" t="n"/>
      <c r="AC163" s="65" t="n"/>
      <c r="AD163" s="65" t="n"/>
      <c r="AE163" s="65" t="n"/>
      <c r="AF163" s="65" t="n"/>
      <c r="AG163" s="65" t="n"/>
      <c r="AH163" s="65" t="n"/>
      <c r="AI163" s="65" t="n"/>
      <c r="AJ163" s="65" t="n"/>
      <c r="AK163" s="65" t="n"/>
      <c r="AL163" s="65" t="n"/>
      <c r="AM163" s="65" t="n"/>
      <c r="AN163" s="65" t="n"/>
      <c r="AO163" s="65" t="n"/>
      <c r="AP163" s="65" t="n"/>
    </row>
    <row r="164">
      <c r="F164" s="68" t="n"/>
      <c r="G164" s="68">
        <f>IF(B164="","",F164-I164 )</f>
        <v/>
      </c>
      <c r="H164" s="5">
        <f>IF(G164="","",G164/F164)</f>
        <v/>
      </c>
      <c r="J164" s="65" t="n"/>
      <c r="K164" s="65" t="n"/>
      <c r="L164" s="65" t="n"/>
      <c r="M164" s="65" t="n"/>
      <c r="N164" s="65" t="n"/>
      <c r="O164" s="65" t="n"/>
      <c r="P164" s="65" t="n"/>
      <c r="Q164" s="65" t="n"/>
      <c r="R164" s="65" t="n"/>
      <c r="S164" s="65" t="n"/>
      <c r="T164" s="65" t="n"/>
      <c r="U164" s="65" t="n"/>
      <c r="V164" s="77" t="n"/>
      <c r="W164" s="65" t="n"/>
      <c r="X164" s="65" t="n"/>
      <c r="Y164" s="65" t="n"/>
      <c r="Z164" s="65" t="n"/>
      <c r="AA164" s="65" t="n"/>
      <c r="AB164" s="65" t="n"/>
      <c r="AC164" s="65" t="n"/>
      <c r="AD164" s="65" t="n"/>
      <c r="AE164" s="65" t="n"/>
      <c r="AF164" s="65" t="n"/>
      <c r="AG164" s="65" t="n"/>
      <c r="AH164" s="65" t="n"/>
      <c r="AI164" s="65" t="n"/>
      <c r="AJ164" s="65" t="n"/>
      <c r="AK164" s="65" t="n"/>
      <c r="AL164" s="65" t="n"/>
      <c r="AM164" s="65" t="n"/>
      <c r="AN164" s="65" t="n"/>
      <c r="AO164" s="65" t="n"/>
      <c r="AP164" s="65" t="n"/>
    </row>
    <row r="165">
      <c r="F165" s="68" t="n"/>
      <c r="G165" s="68">
        <f>IF(B165="","",F165-I165 )</f>
        <v/>
      </c>
      <c r="H165" s="5">
        <f>IF(G165="","",G165/F165)</f>
        <v/>
      </c>
      <c r="J165" s="65" t="n"/>
      <c r="K165" s="65" t="n"/>
      <c r="L165" s="65" t="n"/>
      <c r="M165" s="65" t="n"/>
      <c r="N165" s="65" t="n"/>
      <c r="O165" s="65" t="n"/>
      <c r="P165" s="65" t="n"/>
      <c r="Q165" s="65" t="n"/>
      <c r="R165" s="65" t="n"/>
      <c r="S165" s="65" t="n"/>
      <c r="T165" s="65" t="n"/>
      <c r="U165" s="65" t="n"/>
      <c r="V165" s="77" t="n"/>
      <c r="W165" s="65" t="n"/>
      <c r="X165" s="65" t="n"/>
      <c r="Y165" s="65" t="n"/>
      <c r="Z165" s="65" t="n"/>
      <c r="AA165" s="65" t="n"/>
      <c r="AB165" s="65" t="n"/>
      <c r="AC165" s="65" t="n"/>
      <c r="AD165" s="65" t="n"/>
      <c r="AE165" s="65" t="n"/>
      <c r="AF165" s="65" t="n"/>
      <c r="AG165" s="65" t="n"/>
      <c r="AH165" s="65" t="n"/>
      <c r="AI165" s="65" t="n"/>
      <c r="AJ165" s="65" t="n"/>
      <c r="AK165" s="65" t="n"/>
      <c r="AL165" s="65" t="n"/>
      <c r="AM165" s="65" t="n"/>
      <c r="AN165" s="65" t="n"/>
      <c r="AO165" s="65" t="n"/>
      <c r="AP165" s="65" t="n"/>
    </row>
    <row r="166">
      <c r="F166" s="68" t="n"/>
      <c r="G166" s="68">
        <f>IF(B166="","",F166-I166 )</f>
        <v/>
      </c>
      <c r="H166" s="5">
        <f>IF(G166="","",G166/F166)</f>
        <v/>
      </c>
      <c r="J166" s="65" t="n"/>
      <c r="K166" s="65" t="n"/>
      <c r="L166" s="65" t="n"/>
      <c r="M166" s="65" t="n"/>
      <c r="N166" s="65" t="n"/>
      <c r="O166" s="65" t="n"/>
      <c r="P166" s="65" t="n"/>
      <c r="Q166" s="65" t="n"/>
      <c r="R166" s="65" t="n"/>
      <c r="S166" s="65" t="n"/>
      <c r="T166" s="65" t="n"/>
      <c r="U166" s="65" t="n"/>
      <c r="V166" s="77" t="n"/>
      <c r="W166" s="65" t="n"/>
      <c r="X166" s="65" t="n"/>
      <c r="Y166" s="65" t="n"/>
      <c r="Z166" s="65" t="n"/>
      <c r="AA166" s="65" t="n"/>
      <c r="AB166" s="65" t="n"/>
      <c r="AC166" s="65" t="n"/>
      <c r="AD166" s="65" t="n"/>
      <c r="AE166" s="65" t="n"/>
      <c r="AF166" s="65" t="n"/>
      <c r="AG166" s="65" t="n"/>
      <c r="AH166" s="65" t="n"/>
      <c r="AI166" s="65" t="n"/>
      <c r="AJ166" s="65" t="n"/>
      <c r="AK166" s="65" t="n"/>
      <c r="AL166" s="65" t="n"/>
      <c r="AM166" s="65" t="n"/>
      <c r="AN166" s="65" t="n"/>
      <c r="AO166" s="65" t="n"/>
      <c r="AP166" s="65" t="n"/>
    </row>
    <row r="167">
      <c r="F167" s="68" t="n"/>
      <c r="G167" s="68">
        <f>IF(B167="","",F167-I167 )</f>
        <v/>
      </c>
      <c r="H167" s="5">
        <f>IF(G167="","",G167/F167)</f>
        <v/>
      </c>
      <c r="J167" s="65" t="n"/>
      <c r="K167" s="65" t="n"/>
      <c r="L167" s="65" t="n"/>
      <c r="M167" s="65" t="n"/>
      <c r="N167" s="65" t="n"/>
      <c r="O167" s="65" t="n"/>
      <c r="P167" s="65" t="n"/>
      <c r="Q167" s="65" t="n"/>
      <c r="R167" s="65" t="n"/>
      <c r="S167" s="65" t="n"/>
      <c r="T167" s="65" t="n"/>
      <c r="U167" s="65" t="n"/>
      <c r="V167" s="77" t="n"/>
      <c r="W167" s="65" t="n"/>
      <c r="X167" s="65" t="n"/>
      <c r="Y167" s="65" t="n"/>
      <c r="Z167" s="65" t="n"/>
      <c r="AA167" s="65" t="n"/>
      <c r="AB167" s="65" t="n"/>
      <c r="AC167" s="65" t="n"/>
      <c r="AD167" s="65" t="n"/>
      <c r="AE167" s="65" t="n"/>
      <c r="AF167" s="65" t="n"/>
      <c r="AG167" s="65" t="n"/>
      <c r="AH167" s="65" t="n"/>
      <c r="AI167" s="65" t="n"/>
      <c r="AJ167" s="65" t="n"/>
      <c r="AK167" s="65" t="n"/>
      <c r="AL167" s="65" t="n"/>
      <c r="AM167" s="65" t="n"/>
      <c r="AN167" s="65" t="n"/>
      <c r="AO167" s="65" t="n"/>
      <c r="AP167" s="65" t="n"/>
    </row>
    <row r="168">
      <c r="F168" s="68" t="n"/>
      <c r="G168" s="68">
        <f>IF(B168="","",F168-I168 )</f>
        <v/>
      </c>
      <c r="H168" s="5">
        <f>IF(G168="","",G168/F168)</f>
        <v/>
      </c>
      <c r="J168" s="65" t="n"/>
      <c r="K168" s="65" t="n"/>
      <c r="L168" s="65" t="n"/>
      <c r="M168" s="65" t="n"/>
      <c r="N168" s="65" t="n"/>
      <c r="O168" s="65" t="n"/>
      <c r="P168" s="65" t="n"/>
      <c r="Q168" s="65" t="n"/>
      <c r="R168" s="65" t="n"/>
      <c r="S168" s="65" t="n"/>
      <c r="T168" s="65" t="n"/>
      <c r="U168" s="65" t="n"/>
      <c r="V168" s="77" t="n"/>
      <c r="W168" s="65" t="n"/>
      <c r="X168" s="65" t="n"/>
      <c r="Y168" s="65" t="n"/>
      <c r="Z168" s="65" t="n"/>
      <c r="AA168" s="65" t="n"/>
      <c r="AB168" s="65" t="n"/>
      <c r="AC168" s="65" t="n"/>
      <c r="AD168" s="65" t="n"/>
      <c r="AE168" s="65" t="n"/>
      <c r="AF168" s="65" t="n"/>
      <c r="AG168" s="65" t="n"/>
      <c r="AH168" s="65" t="n"/>
      <c r="AI168" s="65" t="n"/>
      <c r="AJ168" s="65" t="n"/>
      <c r="AK168" s="65" t="n"/>
      <c r="AL168" s="65" t="n"/>
      <c r="AM168" s="65" t="n"/>
      <c r="AN168" s="65" t="n"/>
      <c r="AO168" s="65" t="n"/>
      <c r="AP168" s="65" t="n"/>
    </row>
    <row r="169">
      <c r="F169" s="68" t="n"/>
      <c r="G169" s="68">
        <f>IF(B169="","",F169-I169 )</f>
        <v/>
      </c>
      <c r="H169" s="5">
        <f>IF(G169="","",G169/F169)</f>
        <v/>
      </c>
      <c r="J169" s="65" t="n"/>
      <c r="K169" s="65" t="n"/>
      <c r="L169" s="65" t="n"/>
      <c r="M169" s="65" t="n"/>
      <c r="N169" s="65" t="n"/>
      <c r="O169" s="65" t="n"/>
      <c r="P169" s="65" t="n"/>
      <c r="Q169" s="65" t="n"/>
      <c r="R169" s="65" t="n"/>
      <c r="S169" s="65" t="n"/>
      <c r="T169" s="65" t="n"/>
      <c r="U169" s="65" t="n"/>
      <c r="V169" s="77" t="n"/>
      <c r="W169" s="65" t="n"/>
      <c r="X169" s="65" t="n"/>
      <c r="Y169" s="65" t="n"/>
      <c r="Z169" s="65" t="n"/>
      <c r="AA169" s="65" t="n"/>
      <c r="AB169" s="65" t="n"/>
      <c r="AC169" s="65" t="n"/>
      <c r="AD169" s="65" t="n"/>
      <c r="AE169" s="65" t="n"/>
      <c r="AF169" s="65" t="n"/>
      <c r="AG169" s="65" t="n"/>
      <c r="AH169" s="65" t="n"/>
      <c r="AI169" s="65" t="n"/>
      <c r="AJ169" s="65" t="n"/>
      <c r="AK169" s="65" t="n"/>
      <c r="AL169" s="65" t="n"/>
      <c r="AM169" s="65" t="n"/>
      <c r="AN169" s="65" t="n"/>
      <c r="AO169" s="65" t="n"/>
      <c r="AP169" s="65" t="n"/>
    </row>
    <row r="170">
      <c r="F170" s="68" t="n"/>
      <c r="G170" s="68">
        <f>IF(B170="","",F170-I170 )</f>
        <v/>
      </c>
      <c r="H170" s="5">
        <f>IF(G170="","",G170/F170)</f>
        <v/>
      </c>
      <c r="J170" s="65" t="n"/>
      <c r="K170" s="65" t="n"/>
      <c r="L170" s="65" t="n"/>
      <c r="M170" s="65" t="n"/>
      <c r="N170" s="65" t="n"/>
      <c r="O170" s="65" t="n"/>
      <c r="P170" s="65" t="n"/>
      <c r="Q170" s="65" t="n"/>
      <c r="R170" s="65" t="n"/>
      <c r="S170" s="65" t="n"/>
      <c r="T170" s="65" t="n"/>
      <c r="U170" s="65" t="n"/>
      <c r="V170" s="77" t="n"/>
      <c r="W170" s="65" t="n"/>
      <c r="X170" s="65" t="n"/>
      <c r="Y170" s="65" t="n"/>
      <c r="Z170" s="65" t="n"/>
      <c r="AA170" s="65" t="n"/>
      <c r="AB170" s="65" t="n"/>
      <c r="AC170" s="65" t="n"/>
      <c r="AD170" s="65" t="n"/>
      <c r="AE170" s="65" t="n"/>
      <c r="AF170" s="65" t="n"/>
      <c r="AG170" s="65" t="n"/>
      <c r="AH170" s="65" t="n"/>
      <c r="AI170" s="65" t="n"/>
      <c r="AJ170" s="65" t="n"/>
      <c r="AK170" s="65" t="n"/>
      <c r="AL170" s="65" t="n"/>
      <c r="AM170" s="65" t="n"/>
      <c r="AN170" s="65" t="n"/>
      <c r="AO170" s="65" t="n"/>
      <c r="AP170" s="65" t="n"/>
    </row>
    <row r="171">
      <c r="F171" s="68" t="n"/>
      <c r="G171" s="68">
        <f>IF(B171="","",F171-I171 )</f>
        <v/>
      </c>
      <c r="H171" s="5">
        <f>IF(G171="","",G171/F171)</f>
        <v/>
      </c>
      <c r="J171" s="65" t="n"/>
      <c r="K171" s="65" t="n"/>
      <c r="L171" s="65" t="n"/>
      <c r="M171" s="65" t="n"/>
      <c r="N171" s="65" t="n"/>
      <c r="O171" s="65" t="n"/>
      <c r="P171" s="65" t="n"/>
      <c r="Q171" s="65" t="n"/>
      <c r="R171" s="65" t="n"/>
      <c r="S171" s="65" t="n"/>
      <c r="T171" s="65" t="n"/>
      <c r="U171" s="65" t="n"/>
      <c r="V171" s="77" t="n"/>
      <c r="W171" s="65" t="n"/>
      <c r="X171" s="65" t="n"/>
      <c r="Y171" s="65" t="n"/>
      <c r="Z171" s="65" t="n"/>
      <c r="AA171" s="65" t="n"/>
      <c r="AB171" s="65" t="n"/>
      <c r="AC171" s="65" t="n"/>
      <c r="AD171" s="65" t="n"/>
      <c r="AE171" s="65" t="n"/>
      <c r="AF171" s="65" t="n"/>
      <c r="AG171" s="65" t="n"/>
      <c r="AH171" s="65" t="n"/>
      <c r="AI171" s="65" t="n"/>
      <c r="AJ171" s="65" t="n"/>
      <c r="AK171" s="65" t="n"/>
      <c r="AL171" s="65" t="n"/>
      <c r="AM171" s="65" t="n"/>
      <c r="AN171" s="65" t="n"/>
      <c r="AO171" s="65" t="n"/>
      <c r="AP171" s="65" t="n"/>
    </row>
    <row r="172">
      <c r="F172" s="68" t="n"/>
      <c r="G172" s="68">
        <f>IF(B172="","",F172-I172 )</f>
        <v/>
      </c>
      <c r="H172" s="5">
        <f>IF(G172="","",G172/F172)</f>
        <v/>
      </c>
      <c r="J172" s="65" t="n"/>
      <c r="K172" s="65" t="n"/>
      <c r="L172" s="65" t="n"/>
      <c r="M172" s="65" t="n"/>
      <c r="N172" s="65" t="n"/>
      <c r="O172" s="65" t="n"/>
      <c r="P172" s="65" t="n"/>
      <c r="Q172" s="65" t="n"/>
      <c r="R172" s="65" t="n"/>
      <c r="S172" s="65" t="n"/>
      <c r="T172" s="65" t="n"/>
      <c r="U172" s="65" t="n"/>
      <c r="V172" s="77" t="n"/>
      <c r="W172" s="65" t="n"/>
      <c r="X172" s="65" t="n"/>
      <c r="Y172" s="65" t="n"/>
      <c r="Z172" s="65" t="n"/>
      <c r="AA172" s="65" t="n"/>
      <c r="AB172" s="65" t="n"/>
      <c r="AC172" s="65" t="n"/>
      <c r="AD172" s="65" t="n"/>
      <c r="AE172" s="65" t="n"/>
      <c r="AF172" s="65" t="n"/>
      <c r="AG172" s="65" t="n"/>
      <c r="AH172" s="65" t="n"/>
      <c r="AI172" s="65" t="n"/>
      <c r="AJ172" s="65" t="n"/>
      <c r="AK172" s="65" t="n"/>
      <c r="AL172" s="65" t="n"/>
      <c r="AM172" s="65" t="n"/>
      <c r="AN172" s="65" t="n"/>
      <c r="AO172" s="65" t="n"/>
      <c r="AP172" s="65" t="n"/>
    </row>
    <row r="173">
      <c r="F173" s="68" t="n"/>
      <c r="G173" s="68">
        <f>IF(B173="","",F173-I173 )</f>
        <v/>
      </c>
      <c r="H173" s="5">
        <f>IF(G173="","",G173/F173)</f>
        <v/>
      </c>
      <c r="J173" s="65" t="n"/>
      <c r="K173" s="65" t="n"/>
      <c r="L173" s="65" t="n"/>
      <c r="M173" s="65" t="n"/>
      <c r="N173" s="65" t="n"/>
      <c r="O173" s="65" t="n"/>
      <c r="P173" s="65" t="n"/>
      <c r="Q173" s="65" t="n"/>
      <c r="R173" s="65" t="n"/>
      <c r="S173" s="65" t="n"/>
      <c r="T173" s="65" t="n"/>
      <c r="U173" s="65" t="n"/>
      <c r="V173" s="77" t="n"/>
      <c r="W173" s="65" t="n"/>
      <c r="X173" s="65" t="n"/>
      <c r="Y173" s="65" t="n"/>
      <c r="Z173" s="65" t="n"/>
      <c r="AA173" s="65" t="n"/>
      <c r="AB173" s="65" t="n"/>
      <c r="AC173" s="65" t="n"/>
      <c r="AD173" s="65" t="n"/>
      <c r="AE173" s="65" t="n"/>
      <c r="AF173" s="65" t="n"/>
      <c r="AG173" s="65" t="n"/>
      <c r="AH173" s="65" t="n"/>
      <c r="AI173" s="65" t="n"/>
      <c r="AJ173" s="65" t="n"/>
      <c r="AK173" s="65" t="n"/>
      <c r="AL173" s="65" t="n"/>
      <c r="AM173" s="65" t="n"/>
      <c r="AN173" s="65" t="n"/>
      <c r="AO173" s="65" t="n"/>
      <c r="AP173" s="65" t="n"/>
    </row>
    <row r="174">
      <c r="F174" s="68" t="n"/>
      <c r="G174" s="68">
        <f>IF(B174="","",F174-I174 )</f>
        <v/>
      </c>
      <c r="H174" s="5">
        <f>IF(G174="","",G174/F174)</f>
        <v/>
      </c>
      <c r="J174" s="65" t="n"/>
      <c r="K174" s="65" t="n"/>
      <c r="L174" s="65" t="n"/>
      <c r="M174" s="65" t="n"/>
      <c r="N174" s="65" t="n"/>
      <c r="O174" s="65" t="n"/>
      <c r="P174" s="65" t="n"/>
      <c r="Q174" s="65" t="n"/>
      <c r="R174" s="65" t="n"/>
      <c r="S174" s="65" t="n"/>
      <c r="T174" s="65" t="n"/>
      <c r="U174" s="65" t="n"/>
      <c r="V174" s="77" t="n"/>
      <c r="W174" s="65" t="n"/>
      <c r="X174" s="65" t="n"/>
      <c r="Y174" s="65" t="n"/>
      <c r="Z174" s="65" t="n"/>
      <c r="AA174" s="65" t="n"/>
      <c r="AB174" s="65" t="n"/>
      <c r="AC174" s="65" t="n"/>
      <c r="AD174" s="65" t="n"/>
      <c r="AE174" s="65" t="n"/>
      <c r="AF174" s="65" t="n"/>
      <c r="AG174" s="65" t="n"/>
      <c r="AH174" s="65" t="n"/>
      <c r="AI174" s="65" t="n"/>
      <c r="AJ174" s="65" t="n"/>
      <c r="AK174" s="65" t="n"/>
      <c r="AL174" s="65" t="n"/>
      <c r="AM174" s="65" t="n"/>
      <c r="AN174" s="65" t="n"/>
      <c r="AO174" s="65" t="n"/>
      <c r="AP174" s="65" t="n"/>
    </row>
    <row r="175">
      <c r="F175" s="68" t="n"/>
      <c r="G175" s="68">
        <f>IF(B175="","",F175-I175 )</f>
        <v/>
      </c>
      <c r="H175" s="5">
        <f>IF(G175="","",G175/F175)</f>
        <v/>
      </c>
      <c r="J175" s="65" t="n"/>
      <c r="K175" s="65" t="n"/>
      <c r="L175" s="65" t="n"/>
      <c r="M175" s="65" t="n"/>
      <c r="N175" s="65" t="n"/>
      <c r="O175" s="65" t="n"/>
      <c r="P175" s="65" t="n"/>
      <c r="Q175" s="65" t="n"/>
      <c r="R175" s="65" t="n"/>
      <c r="S175" s="65" t="n"/>
      <c r="T175" s="65" t="n"/>
      <c r="U175" s="65" t="n"/>
      <c r="V175" s="77" t="n"/>
      <c r="W175" s="65" t="n"/>
      <c r="X175" s="65" t="n"/>
      <c r="Y175" s="65" t="n"/>
      <c r="Z175" s="65" t="n"/>
      <c r="AA175" s="65" t="n"/>
      <c r="AB175" s="65" t="n"/>
      <c r="AC175" s="65" t="n"/>
      <c r="AD175" s="65" t="n"/>
      <c r="AE175" s="65" t="n"/>
      <c r="AF175" s="65" t="n"/>
      <c r="AG175" s="65" t="n"/>
      <c r="AH175" s="65" t="n"/>
      <c r="AI175" s="65" t="n"/>
      <c r="AJ175" s="65" t="n"/>
      <c r="AK175" s="65" t="n"/>
      <c r="AL175" s="65" t="n"/>
      <c r="AM175" s="65" t="n"/>
      <c r="AN175" s="65" t="n"/>
      <c r="AO175" s="65" t="n"/>
      <c r="AP175" s="65" t="n"/>
    </row>
    <row r="176">
      <c r="F176" s="68" t="n"/>
      <c r="G176" s="68">
        <f>IF(B176="","",F176-I176 )</f>
        <v/>
      </c>
      <c r="H176" s="5">
        <f>IF(G176="","",G176/F176)</f>
        <v/>
      </c>
      <c r="J176" s="65" t="n"/>
      <c r="K176" s="65" t="n"/>
      <c r="L176" s="65" t="n"/>
      <c r="M176" s="65" t="n"/>
      <c r="N176" s="65" t="n"/>
      <c r="O176" s="65" t="n"/>
      <c r="P176" s="65" t="n"/>
      <c r="Q176" s="65" t="n"/>
      <c r="R176" s="65" t="n"/>
      <c r="S176" s="65" t="n"/>
      <c r="T176" s="65" t="n"/>
      <c r="U176" s="65" t="n"/>
      <c r="V176" s="77" t="n"/>
      <c r="W176" s="65" t="n"/>
      <c r="X176" s="65" t="n"/>
      <c r="Y176" s="65" t="n"/>
      <c r="Z176" s="65" t="n"/>
      <c r="AA176" s="65" t="n"/>
      <c r="AB176" s="65" t="n"/>
      <c r="AC176" s="65" t="n"/>
      <c r="AD176" s="65" t="n"/>
      <c r="AE176" s="65" t="n"/>
      <c r="AF176" s="65" t="n"/>
      <c r="AG176" s="65" t="n"/>
      <c r="AH176" s="65" t="n"/>
      <c r="AI176" s="65" t="n"/>
      <c r="AJ176" s="65" t="n"/>
      <c r="AK176" s="65" t="n"/>
      <c r="AL176" s="65" t="n"/>
      <c r="AM176" s="65" t="n"/>
      <c r="AN176" s="65" t="n"/>
      <c r="AO176" s="65" t="n"/>
      <c r="AP176" s="65" t="n"/>
    </row>
    <row r="177">
      <c r="F177" s="68" t="n"/>
      <c r="G177" s="68">
        <f>IF(B177="","",F177-I177 )</f>
        <v/>
      </c>
      <c r="H177" s="5">
        <f>IF(G177="","",G177/F177)</f>
        <v/>
      </c>
      <c r="J177" s="65" t="n"/>
      <c r="K177" s="65" t="n"/>
      <c r="L177" s="65" t="n"/>
      <c r="M177" s="65" t="n"/>
      <c r="N177" s="65" t="n"/>
      <c r="O177" s="65" t="n"/>
      <c r="P177" s="65" t="n"/>
      <c r="Q177" s="65" t="n"/>
      <c r="R177" s="65" t="n"/>
      <c r="S177" s="65" t="n"/>
      <c r="T177" s="65" t="n"/>
      <c r="U177" s="65" t="n"/>
      <c r="V177" s="77" t="n"/>
      <c r="W177" s="65" t="n"/>
      <c r="X177" s="65" t="n"/>
      <c r="Y177" s="65" t="n"/>
      <c r="Z177" s="65" t="n"/>
      <c r="AA177" s="65" t="n"/>
      <c r="AB177" s="65" t="n"/>
      <c r="AC177" s="65" t="n"/>
      <c r="AD177" s="65" t="n"/>
      <c r="AE177" s="65" t="n"/>
      <c r="AF177" s="65" t="n"/>
      <c r="AG177" s="65" t="n"/>
      <c r="AH177" s="65" t="n"/>
      <c r="AI177" s="65" t="n"/>
      <c r="AJ177" s="65" t="n"/>
      <c r="AK177" s="65" t="n"/>
      <c r="AL177" s="65" t="n"/>
      <c r="AM177" s="65" t="n"/>
      <c r="AN177" s="65" t="n"/>
      <c r="AO177" s="65" t="n"/>
      <c r="AP177" s="65" t="n"/>
    </row>
    <row r="178">
      <c r="F178" s="68" t="n"/>
      <c r="G178" s="68">
        <f>IF(B178="","",F178-I178 )</f>
        <v/>
      </c>
      <c r="H178" s="5">
        <f>IF(G178="","",G178/F178)</f>
        <v/>
      </c>
      <c r="J178" s="65" t="n"/>
      <c r="K178" s="65" t="n"/>
      <c r="L178" s="65" t="n"/>
      <c r="M178" s="65" t="n"/>
      <c r="N178" s="65" t="n"/>
      <c r="O178" s="65" t="n"/>
      <c r="P178" s="65" t="n"/>
      <c r="Q178" s="65" t="n"/>
      <c r="R178" s="65" t="n"/>
      <c r="S178" s="65" t="n"/>
      <c r="T178" s="65" t="n"/>
      <c r="U178" s="65" t="n"/>
      <c r="V178" s="77" t="n"/>
      <c r="W178" s="65" t="n"/>
      <c r="X178" s="65" t="n"/>
      <c r="Y178" s="65" t="n"/>
      <c r="Z178" s="65" t="n"/>
      <c r="AA178" s="65" t="n"/>
      <c r="AB178" s="65" t="n"/>
      <c r="AC178" s="65" t="n"/>
      <c r="AD178" s="65" t="n"/>
      <c r="AE178" s="65" t="n"/>
      <c r="AF178" s="65" t="n"/>
      <c r="AG178" s="65" t="n"/>
      <c r="AH178" s="65" t="n"/>
      <c r="AI178" s="65" t="n"/>
      <c r="AJ178" s="65" t="n"/>
      <c r="AK178" s="65" t="n"/>
      <c r="AL178" s="65" t="n"/>
      <c r="AM178" s="65" t="n"/>
      <c r="AN178" s="65" t="n"/>
      <c r="AO178" s="65" t="n"/>
      <c r="AP178" s="65" t="n"/>
    </row>
    <row r="179">
      <c r="F179" s="68" t="n"/>
      <c r="G179" s="68">
        <f>IF(B179="","",F179-I179 )</f>
        <v/>
      </c>
      <c r="H179" s="5">
        <f>IF(G179="","",G179/F179)</f>
        <v/>
      </c>
      <c r="J179" s="65" t="n"/>
      <c r="K179" s="65" t="n"/>
      <c r="L179" s="65" t="n"/>
      <c r="M179" s="65" t="n"/>
      <c r="N179" s="65" t="n"/>
      <c r="O179" s="65" t="n"/>
      <c r="P179" s="65" t="n"/>
      <c r="Q179" s="65" t="n"/>
      <c r="R179" s="65" t="n"/>
      <c r="S179" s="65" t="n"/>
      <c r="T179" s="65" t="n"/>
      <c r="U179" s="65" t="n"/>
      <c r="V179" s="77" t="n"/>
      <c r="W179" s="65" t="n"/>
      <c r="X179" s="65" t="n"/>
      <c r="Y179" s="65" t="n"/>
      <c r="Z179" s="65" t="n"/>
      <c r="AA179" s="65" t="n"/>
      <c r="AB179" s="65" t="n"/>
      <c r="AC179" s="65" t="n"/>
      <c r="AD179" s="65" t="n"/>
      <c r="AE179" s="65" t="n"/>
      <c r="AF179" s="65" t="n"/>
      <c r="AG179" s="65" t="n"/>
      <c r="AH179" s="65" t="n"/>
      <c r="AI179" s="65" t="n"/>
      <c r="AJ179" s="65" t="n"/>
      <c r="AK179" s="65" t="n"/>
      <c r="AL179" s="65" t="n"/>
      <c r="AM179" s="65" t="n"/>
      <c r="AN179" s="65" t="n"/>
      <c r="AO179" s="65" t="n"/>
      <c r="AP179" s="65" t="n"/>
    </row>
    <row r="180">
      <c r="F180" s="68" t="n"/>
      <c r="G180" s="68">
        <f>IF(B180="","",F180-I180 )</f>
        <v/>
      </c>
      <c r="H180" s="5">
        <f>IF(G180="","",G180/F180)</f>
        <v/>
      </c>
      <c r="J180" s="65" t="n"/>
      <c r="K180" s="65" t="n"/>
      <c r="L180" s="65" t="n"/>
      <c r="M180" s="65" t="n"/>
      <c r="N180" s="65" t="n"/>
      <c r="O180" s="65" t="n"/>
      <c r="P180" s="65" t="n"/>
      <c r="Q180" s="65" t="n"/>
      <c r="R180" s="65" t="n"/>
      <c r="S180" s="65" t="n"/>
      <c r="T180" s="65" t="n"/>
      <c r="U180" s="65" t="n"/>
      <c r="V180" s="77" t="n"/>
      <c r="W180" s="65" t="n"/>
      <c r="X180" s="65" t="n"/>
      <c r="Y180" s="65" t="n"/>
      <c r="Z180" s="65" t="n"/>
      <c r="AA180" s="65" t="n"/>
      <c r="AB180" s="65" t="n"/>
      <c r="AC180" s="65" t="n"/>
      <c r="AD180" s="65" t="n"/>
      <c r="AE180" s="65" t="n"/>
      <c r="AF180" s="65" t="n"/>
      <c r="AG180" s="65" t="n"/>
      <c r="AH180" s="65" t="n"/>
      <c r="AI180" s="65" t="n"/>
      <c r="AJ180" s="65" t="n"/>
      <c r="AK180" s="65" t="n"/>
      <c r="AL180" s="65" t="n"/>
      <c r="AM180" s="65" t="n"/>
      <c r="AN180" s="65" t="n"/>
      <c r="AO180" s="65" t="n"/>
      <c r="AP180" s="65" t="n"/>
    </row>
    <row r="181">
      <c r="F181" s="68" t="n"/>
      <c r="G181" s="68">
        <f>IF(B181="","",F181-I181 )</f>
        <v/>
      </c>
      <c r="H181" s="5">
        <f>IF(G181="","",G181/F181)</f>
        <v/>
      </c>
      <c r="J181" s="65" t="n"/>
      <c r="K181" s="65" t="n"/>
      <c r="L181" s="65" t="n"/>
      <c r="M181" s="65" t="n"/>
      <c r="N181" s="65" t="n"/>
      <c r="O181" s="65" t="n"/>
      <c r="P181" s="65" t="n"/>
      <c r="Q181" s="65" t="n"/>
      <c r="R181" s="65" t="n"/>
      <c r="S181" s="65" t="n"/>
      <c r="T181" s="65" t="n"/>
      <c r="U181" s="65" t="n"/>
      <c r="V181" s="77" t="n"/>
      <c r="W181" s="65" t="n"/>
      <c r="X181" s="65" t="n"/>
      <c r="Y181" s="65" t="n"/>
      <c r="Z181" s="65" t="n"/>
      <c r="AA181" s="65" t="n"/>
      <c r="AB181" s="65" t="n"/>
      <c r="AC181" s="65" t="n"/>
      <c r="AD181" s="65" t="n"/>
      <c r="AE181" s="65" t="n"/>
      <c r="AF181" s="65" t="n"/>
      <c r="AG181" s="65" t="n"/>
      <c r="AH181" s="65" t="n"/>
      <c r="AI181" s="65" t="n"/>
      <c r="AJ181" s="65" t="n"/>
      <c r="AK181" s="65" t="n"/>
      <c r="AL181" s="65" t="n"/>
      <c r="AM181" s="65" t="n"/>
      <c r="AN181" s="65" t="n"/>
      <c r="AO181" s="65" t="n"/>
      <c r="AP181" s="65" t="n"/>
    </row>
    <row r="182">
      <c r="F182" s="68" t="n"/>
      <c r="G182" s="68">
        <f>IF(B182="","",F182-I182 )</f>
        <v/>
      </c>
      <c r="H182" s="5">
        <f>IF(G182="","",G182/F182)</f>
        <v/>
      </c>
      <c r="J182" s="65" t="n"/>
      <c r="K182" s="65" t="n"/>
      <c r="L182" s="65" t="n"/>
      <c r="M182" s="65" t="n"/>
      <c r="N182" s="65" t="n"/>
      <c r="O182" s="65" t="n"/>
      <c r="P182" s="65" t="n"/>
      <c r="Q182" s="65" t="n"/>
      <c r="R182" s="65" t="n"/>
      <c r="S182" s="65" t="n"/>
      <c r="T182" s="65" t="n"/>
      <c r="U182" s="65" t="n"/>
      <c r="V182" s="77" t="n"/>
      <c r="W182" s="65" t="n"/>
      <c r="X182" s="65" t="n"/>
      <c r="Y182" s="65" t="n"/>
      <c r="Z182" s="65" t="n"/>
      <c r="AA182" s="65" t="n"/>
      <c r="AB182" s="65" t="n"/>
      <c r="AC182" s="65" t="n"/>
      <c r="AD182" s="65" t="n"/>
      <c r="AE182" s="65" t="n"/>
      <c r="AF182" s="65" t="n"/>
      <c r="AG182" s="65" t="n"/>
      <c r="AH182" s="65" t="n"/>
      <c r="AI182" s="65" t="n"/>
      <c r="AJ182" s="65" t="n"/>
      <c r="AK182" s="65" t="n"/>
      <c r="AL182" s="65" t="n"/>
      <c r="AM182" s="65" t="n"/>
      <c r="AN182" s="65" t="n"/>
      <c r="AO182" s="65" t="n"/>
      <c r="AP182" s="65" t="n"/>
    </row>
    <row r="183">
      <c r="F183" s="68" t="n"/>
      <c r="G183" s="68">
        <f>IF(B183="","",F183-I183 )</f>
        <v/>
      </c>
      <c r="H183" s="5">
        <f>IF(G183="","",G183/F183)</f>
        <v/>
      </c>
      <c r="J183" s="65" t="n"/>
      <c r="K183" s="65" t="n"/>
      <c r="L183" s="65" t="n"/>
      <c r="M183" s="65" t="n"/>
      <c r="N183" s="65" t="n"/>
      <c r="O183" s="65" t="n"/>
      <c r="P183" s="65" t="n"/>
      <c r="Q183" s="65" t="n"/>
      <c r="R183" s="65" t="n"/>
      <c r="S183" s="65" t="n"/>
      <c r="T183" s="65" t="n"/>
      <c r="U183" s="65" t="n"/>
      <c r="V183" s="77" t="n"/>
      <c r="W183" s="65" t="n"/>
      <c r="X183" s="65" t="n"/>
      <c r="Y183" s="65" t="n"/>
      <c r="Z183" s="65" t="n"/>
      <c r="AA183" s="65" t="n"/>
      <c r="AB183" s="65" t="n"/>
      <c r="AC183" s="65" t="n"/>
      <c r="AD183" s="65" t="n"/>
      <c r="AE183" s="65" t="n"/>
      <c r="AF183" s="65" t="n"/>
      <c r="AG183" s="65" t="n"/>
      <c r="AH183" s="65" t="n"/>
      <c r="AI183" s="65" t="n"/>
      <c r="AJ183" s="65" t="n"/>
      <c r="AK183" s="65" t="n"/>
      <c r="AL183" s="65" t="n"/>
      <c r="AM183" s="65" t="n"/>
      <c r="AN183" s="65" t="n"/>
      <c r="AO183" s="65" t="n"/>
      <c r="AP183" s="65" t="n"/>
    </row>
    <row r="184">
      <c r="F184" s="68" t="n"/>
      <c r="G184" s="68">
        <f>IF(B184="","",F184-I184 )</f>
        <v/>
      </c>
      <c r="H184" s="5">
        <f>IF(G184="","",G184/F184)</f>
        <v/>
      </c>
      <c r="J184" s="65" t="n"/>
      <c r="K184" s="65" t="n"/>
      <c r="L184" s="65" t="n"/>
      <c r="M184" s="65" t="n"/>
      <c r="N184" s="65" t="n"/>
      <c r="O184" s="65" t="n"/>
      <c r="P184" s="65" t="n"/>
      <c r="Q184" s="65" t="n"/>
      <c r="R184" s="65" t="n"/>
      <c r="S184" s="65" t="n"/>
      <c r="T184" s="65" t="n"/>
      <c r="U184" s="65" t="n"/>
      <c r="V184" s="77" t="n"/>
      <c r="W184" s="65" t="n"/>
      <c r="X184" s="65" t="n"/>
      <c r="Y184" s="65" t="n"/>
      <c r="Z184" s="65" t="n"/>
      <c r="AA184" s="65" t="n"/>
      <c r="AB184" s="65" t="n"/>
      <c r="AC184" s="65" t="n"/>
      <c r="AD184" s="65" t="n"/>
      <c r="AE184" s="65" t="n"/>
      <c r="AF184" s="65" t="n"/>
      <c r="AG184" s="65" t="n"/>
      <c r="AH184" s="65" t="n"/>
      <c r="AI184" s="65" t="n"/>
      <c r="AJ184" s="65" t="n"/>
      <c r="AK184" s="65" t="n"/>
      <c r="AL184" s="65" t="n"/>
      <c r="AM184" s="65" t="n"/>
      <c r="AN184" s="65" t="n"/>
      <c r="AO184" s="65" t="n"/>
      <c r="AP184" s="65" t="n"/>
    </row>
    <row r="185">
      <c r="F185" s="68" t="n"/>
      <c r="G185" s="68">
        <f>IF(B185="","",F185-I185 )</f>
        <v/>
      </c>
      <c r="H185" s="5">
        <f>IF(G185="","",G185/F185)</f>
        <v/>
      </c>
      <c r="J185" s="65" t="n"/>
      <c r="K185" s="65" t="n"/>
      <c r="L185" s="65" t="n"/>
      <c r="M185" s="65" t="n"/>
      <c r="N185" s="65" t="n"/>
      <c r="O185" s="65" t="n"/>
      <c r="P185" s="65" t="n"/>
      <c r="Q185" s="65" t="n"/>
      <c r="R185" s="65" t="n"/>
      <c r="S185" s="65" t="n"/>
      <c r="T185" s="65" t="n"/>
      <c r="U185" s="65" t="n"/>
      <c r="V185" s="77" t="n"/>
      <c r="W185" s="65" t="n"/>
      <c r="X185" s="65" t="n"/>
      <c r="Y185" s="65" t="n"/>
      <c r="Z185" s="65" t="n"/>
      <c r="AA185" s="65" t="n"/>
      <c r="AB185" s="65" t="n"/>
      <c r="AC185" s="65" t="n"/>
      <c r="AD185" s="65" t="n"/>
      <c r="AE185" s="65" t="n"/>
      <c r="AF185" s="65" t="n"/>
      <c r="AG185" s="65" t="n"/>
      <c r="AH185" s="65" t="n"/>
      <c r="AI185" s="65" t="n"/>
      <c r="AJ185" s="65" t="n"/>
      <c r="AK185" s="65" t="n"/>
      <c r="AL185" s="65" t="n"/>
      <c r="AM185" s="65" t="n"/>
      <c r="AN185" s="65" t="n"/>
      <c r="AO185" s="65" t="n"/>
      <c r="AP185" s="65" t="n"/>
    </row>
    <row r="186">
      <c r="F186" s="68" t="n"/>
      <c r="G186" s="68">
        <f>IF(B186="","",F186-I186 )</f>
        <v/>
      </c>
      <c r="H186" s="5">
        <f>IF(G186="","",G186/F186)</f>
        <v/>
      </c>
      <c r="J186" s="65" t="n"/>
      <c r="K186" s="65" t="n"/>
      <c r="L186" s="65" t="n"/>
      <c r="M186" s="65" t="n"/>
      <c r="N186" s="65" t="n"/>
      <c r="O186" s="65" t="n"/>
      <c r="P186" s="65" t="n"/>
      <c r="Q186" s="65" t="n"/>
      <c r="R186" s="65" t="n"/>
      <c r="S186" s="65" t="n"/>
      <c r="T186" s="65" t="n"/>
      <c r="U186" s="65" t="n"/>
      <c r="V186" s="77" t="n"/>
      <c r="W186" s="65" t="n"/>
      <c r="X186" s="65" t="n"/>
      <c r="Y186" s="65" t="n"/>
      <c r="Z186" s="65" t="n"/>
      <c r="AA186" s="65" t="n"/>
      <c r="AB186" s="65" t="n"/>
      <c r="AC186" s="65" t="n"/>
      <c r="AD186" s="65" t="n"/>
      <c r="AE186" s="65" t="n"/>
      <c r="AF186" s="65" t="n"/>
      <c r="AG186" s="65" t="n"/>
      <c r="AH186" s="65" t="n"/>
      <c r="AI186" s="65" t="n"/>
      <c r="AJ186" s="65" t="n"/>
      <c r="AK186" s="65" t="n"/>
      <c r="AL186" s="65" t="n"/>
      <c r="AM186" s="65" t="n"/>
      <c r="AN186" s="65" t="n"/>
      <c r="AO186" s="65" t="n"/>
      <c r="AP186" s="65" t="n"/>
    </row>
    <row r="187">
      <c r="F187" s="68" t="n"/>
      <c r="G187" s="68">
        <f>IF(B187="","",F187-I187 )</f>
        <v/>
      </c>
      <c r="H187" s="5">
        <f>IF(G187="","",G187/F187)</f>
        <v/>
      </c>
      <c r="J187" s="65" t="n"/>
      <c r="K187" s="65" t="n"/>
      <c r="L187" s="65" t="n"/>
      <c r="M187" s="65" t="n"/>
      <c r="N187" s="65" t="n"/>
      <c r="O187" s="65" t="n"/>
      <c r="P187" s="65" t="n"/>
      <c r="Q187" s="65" t="n"/>
      <c r="R187" s="65" t="n"/>
      <c r="S187" s="65" t="n"/>
      <c r="T187" s="65" t="n"/>
      <c r="U187" s="65" t="n"/>
      <c r="V187" s="77" t="n"/>
      <c r="W187" s="65" t="n"/>
      <c r="X187" s="65" t="n"/>
      <c r="Y187" s="65" t="n"/>
      <c r="Z187" s="65" t="n"/>
      <c r="AA187" s="65" t="n"/>
      <c r="AB187" s="65" t="n"/>
      <c r="AC187" s="65" t="n"/>
      <c r="AD187" s="65" t="n"/>
      <c r="AE187" s="65" t="n"/>
      <c r="AF187" s="65" t="n"/>
      <c r="AG187" s="65" t="n"/>
      <c r="AH187" s="65" t="n"/>
      <c r="AI187" s="65" t="n"/>
      <c r="AJ187" s="65" t="n"/>
      <c r="AK187" s="65" t="n"/>
      <c r="AL187" s="65" t="n"/>
      <c r="AM187" s="65" t="n"/>
      <c r="AN187" s="65" t="n"/>
      <c r="AO187" s="65" t="n"/>
      <c r="AP187" s="65" t="n"/>
    </row>
    <row r="188">
      <c r="F188" s="68" t="n"/>
      <c r="G188" s="68">
        <f>IF(B188="","",F188-I188 )</f>
        <v/>
      </c>
      <c r="H188" s="5">
        <f>IF(G188="","",G188/F188)</f>
        <v/>
      </c>
      <c r="J188" s="65" t="n"/>
      <c r="K188" s="65" t="n"/>
      <c r="L188" s="65" t="n"/>
      <c r="M188" s="65" t="n"/>
      <c r="N188" s="65" t="n"/>
      <c r="O188" s="65" t="n"/>
      <c r="P188" s="65" t="n"/>
      <c r="Q188" s="65" t="n"/>
      <c r="R188" s="65" t="n"/>
      <c r="S188" s="65" t="n"/>
      <c r="T188" s="65" t="n"/>
      <c r="U188" s="65" t="n"/>
      <c r="V188" s="77" t="n"/>
      <c r="W188" s="65" t="n"/>
      <c r="X188" s="65" t="n"/>
      <c r="Y188" s="65" t="n"/>
      <c r="Z188" s="65" t="n"/>
      <c r="AA188" s="65" t="n"/>
      <c r="AB188" s="65" t="n"/>
      <c r="AC188" s="65" t="n"/>
      <c r="AD188" s="65" t="n"/>
      <c r="AE188" s="65" t="n"/>
      <c r="AF188" s="65" t="n"/>
      <c r="AG188" s="65" t="n"/>
      <c r="AH188" s="65" t="n"/>
      <c r="AI188" s="65" t="n"/>
      <c r="AJ188" s="65" t="n"/>
      <c r="AK188" s="65" t="n"/>
      <c r="AL188" s="65" t="n"/>
      <c r="AM188" s="65" t="n"/>
      <c r="AN188" s="65" t="n"/>
      <c r="AO188" s="65" t="n"/>
      <c r="AP188" s="65" t="n"/>
    </row>
    <row r="189">
      <c r="F189" s="68" t="n"/>
      <c r="G189" s="68">
        <f>IF(B189="","",F189-I189 )</f>
        <v/>
      </c>
      <c r="H189" s="5">
        <f>IF(G189="","",G189/F189)</f>
        <v/>
      </c>
      <c r="J189" s="65" t="n"/>
      <c r="K189" s="65" t="n"/>
      <c r="L189" s="65" t="n"/>
      <c r="M189" s="65" t="n"/>
      <c r="N189" s="65" t="n"/>
      <c r="O189" s="65" t="n"/>
      <c r="P189" s="65" t="n"/>
      <c r="Q189" s="65" t="n"/>
      <c r="R189" s="65" t="n"/>
      <c r="S189" s="65" t="n"/>
      <c r="T189" s="65" t="n"/>
      <c r="U189" s="65" t="n"/>
      <c r="V189" s="77" t="n"/>
      <c r="W189" s="65" t="n"/>
      <c r="X189" s="65" t="n"/>
      <c r="Y189" s="65" t="n"/>
      <c r="Z189" s="65" t="n"/>
      <c r="AA189" s="65" t="n"/>
      <c r="AB189" s="65" t="n"/>
      <c r="AC189" s="65" t="n"/>
      <c r="AD189" s="65" t="n"/>
      <c r="AE189" s="65" t="n"/>
      <c r="AF189" s="65" t="n"/>
      <c r="AG189" s="65" t="n"/>
      <c r="AH189" s="65" t="n"/>
      <c r="AI189" s="65" t="n"/>
      <c r="AJ189" s="65" t="n"/>
      <c r="AK189" s="65" t="n"/>
      <c r="AL189" s="65" t="n"/>
      <c r="AM189" s="65" t="n"/>
      <c r="AN189" s="65" t="n"/>
      <c r="AO189" s="65" t="n"/>
      <c r="AP189" s="65" t="n"/>
    </row>
    <row r="190">
      <c r="F190" s="68" t="n"/>
      <c r="G190" s="68">
        <f>IF(B190="","",F190-I190 )</f>
        <v/>
      </c>
      <c r="H190" s="5">
        <f>IF(G190="","",G190/F190)</f>
        <v/>
      </c>
      <c r="J190" s="65" t="n"/>
      <c r="K190" s="65" t="n"/>
      <c r="L190" s="65" t="n"/>
      <c r="M190" s="65" t="n"/>
      <c r="N190" s="65" t="n"/>
      <c r="O190" s="65" t="n"/>
      <c r="P190" s="65" t="n"/>
      <c r="Q190" s="65" t="n"/>
      <c r="R190" s="65" t="n"/>
      <c r="S190" s="65" t="n"/>
      <c r="T190" s="65" t="n"/>
      <c r="U190" s="65" t="n"/>
      <c r="V190" s="77" t="n"/>
      <c r="W190" s="65" t="n"/>
      <c r="X190" s="65" t="n"/>
      <c r="Y190" s="65" t="n"/>
      <c r="Z190" s="65" t="n"/>
      <c r="AA190" s="65" t="n"/>
      <c r="AB190" s="65" t="n"/>
      <c r="AC190" s="65" t="n"/>
      <c r="AD190" s="65" t="n"/>
      <c r="AE190" s="65" t="n"/>
      <c r="AF190" s="65" t="n"/>
      <c r="AG190" s="65" t="n"/>
      <c r="AH190" s="65" t="n"/>
      <c r="AI190" s="65" t="n"/>
      <c r="AJ190" s="65" t="n"/>
      <c r="AK190" s="65" t="n"/>
      <c r="AL190" s="65" t="n"/>
      <c r="AM190" s="65" t="n"/>
      <c r="AN190" s="65" t="n"/>
      <c r="AO190" s="65" t="n"/>
      <c r="AP190" s="65" t="n"/>
    </row>
    <row r="191">
      <c r="F191" s="68" t="n"/>
      <c r="G191" s="68">
        <f>IF(B191="","",F191-I191 )</f>
        <v/>
      </c>
      <c r="H191" s="5">
        <f>IF(G191="","",G191/F191)</f>
        <v/>
      </c>
      <c r="J191" s="65" t="n"/>
      <c r="K191" s="65" t="n"/>
      <c r="L191" s="65" t="n"/>
      <c r="M191" s="65" t="n"/>
      <c r="N191" s="65" t="n"/>
      <c r="O191" s="65" t="n"/>
      <c r="P191" s="65" t="n"/>
      <c r="Q191" s="65" t="n"/>
      <c r="R191" s="65" t="n"/>
      <c r="S191" s="65" t="n"/>
      <c r="T191" s="65" t="n"/>
      <c r="U191" s="65" t="n"/>
      <c r="V191" s="77" t="n"/>
      <c r="W191" s="65" t="n"/>
      <c r="X191" s="65" t="n"/>
      <c r="Y191" s="65" t="n"/>
      <c r="Z191" s="65" t="n"/>
      <c r="AA191" s="65" t="n"/>
      <c r="AB191" s="65" t="n"/>
      <c r="AC191" s="65" t="n"/>
      <c r="AD191" s="65" t="n"/>
      <c r="AE191" s="65" t="n"/>
      <c r="AF191" s="65" t="n"/>
      <c r="AG191" s="65" t="n"/>
      <c r="AH191" s="65" t="n"/>
      <c r="AI191" s="65" t="n"/>
      <c r="AJ191" s="65" t="n"/>
      <c r="AK191" s="65" t="n"/>
      <c r="AL191" s="65" t="n"/>
      <c r="AM191" s="65" t="n"/>
      <c r="AN191" s="65" t="n"/>
      <c r="AO191" s="65" t="n"/>
      <c r="AP191" s="65" t="n"/>
    </row>
    <row r="192">
      <c r="F192" s="68" t="n"/>
      <c r="G192" s="68">
        <f>IF(B192="","",F192-I192 )</f>
        <v/>
      </c>
      <c r="H192" s="5">
        <f>IF(G192="","",G192/F192)</f>
        <v/>
      </c>
      <c r="J192" s="65" t="n"/>
      <c r="K192" s="65" t="n"/>
      <c r="L192" s="65" t="n"/>
      <c r="M192" s="65" t="n"/>
      <c r="N192" s="65" t="n"/>
      <c r="O192" s="65" t="n"/>
      <c r="P192" s="65" t="n"/>
      <c r="Q192" s="65" t="n"/>
      <c r="R192" s="65" t="n"/>
      <c r="S192" s="65" t="n"/>
      <c r="T192" s="65" t="n"/>
      <c r="U192" s="65" t="n"/>
      <c r="V192" s="77" t="n"/>
      <c r="W192" s="65" t="n"/>
      <c r="X192" s="65" t="n"/>
      <c r="Y192" s="65" t="n"/>
      <c r="Z192" s="65" t="n"/>
      <c r="AA192" s="65" t="n"/>
      <c r="AB192" s="65" t="n"/>
      <c r="AC192" s="65" t="n"/>
      <c r="AD192" s="65" t="n"/>
      <c r="AE192" s="65" t="n"/>
      <c r="AF192" s="65" t="n"/>
      <c r="AG192" s="65" t="n"/>
      <c r="AH192" s="65" t="n"/>
      <c r="AI192" s="65" t="n"/>
      <c r="AJ192" s="65" t="n"/>
      <c r="AK192" s="65" t="n"/>
      <c r="AL192" s="65" t="n"/>
      <c r="AM192" s="65" t="n"/>
      <c r="AN192" s="65" t="n"/>
      <c r="AO192" s="65" t="n"/>
      <c r="AP192" s="65" t="n"/>
    </row>
    <row r="193">
      <c r="F193" s="68" t="n"/>
      <c r="G193" s="68">
        <f>IF(B193="","",F193-I193 )</f>
        <v/>
      </c>
      <c r="H193" s="5">
        <f>IF(G193="","",G193/F193)</f>
        <v/>
      </c>
      <c r="J193" s="65" t="n"/>
      <c r="K193" s="65" t="n"/>
      <c r="L193" s="65" t="n"/>
      <c r="M193" s="65" t="n"/>
      <c r="N193" s="65" t="n"/>
      <c r="O193" s="65" t="n"/>
      <c r="P193" s="65" t="n"/>
      <c r="Q193" s="65" t="n"/>
      <c r="R193" s="65" t="n"/>
      <c r="S193" s="65" t="n"/>
      <c r="T193" s="65" t="n"/>
      <c r="U193" s="65" t="n"/>
      <c r="V193" s="77" t="n"/>
      <c r="W193" s="65" t="n"/>
      <c r="X193" s="65" t="n"/>
      <c r="Y193" s="65" t="n"/>
      <c r="Z193" s="65" t="n"/>
      <c r="AA193" s="65" t="n"/>
      <c r="AB193" s="65" t="n"/>
      <c r="AC193" s="65" t="n"/>
      <c r="AD193" s="65" t="n"/>
      <c r="AE193" s="65" t="n"/>
      <c r="AF193" s="65" t="n"/>
      <c r="AG193" s="65" t="n"/>
      <c r="AH193" s="65" t="n"/>
      <c r="AI193" s="65" t="n"/>
      <c r="AJ193" s="65" t="n"/>
      <c r="AK193" s="65" t="n"/>
      <c r="AL193" s="65" t="n"/>
      <c r="AM193" s="65" t="n"/>
      <c r="AN193" s="65" t="n"/>
      <c r="AO193" s="65" t="n"/>
      <c r="AP193" s="65" t="n"/>
    </row>
    <row r="194">
      <c r="F194" s="68" t="n"/>
      <c r="G194" s="68">
        <f>IF(B194="","",F194-I194 )</f>
        <v/>
      </c>
      <c r="H194" s="5">
        <f>IF(G194="","",G194/F194)</f>
        <v/>
      </c>
      <c r="J194" s="65" t="n"/>
      <c r="K194" s="65" t="n"/>
      <c r="L194" s="65" t="n"/>
      <c r="M194" s="65" t="n"/>
      <c r="N194" s="65" t="n"/>
      <c r="O194" s="65" t="n"/>
      <c r="P194" s="65" t="n"/>
      <c r="Q194" s="65" t="n"/>
      <c r="R194" s="65" t="n"/>
      <c r="S194" s="65" t="n"/>
      <c r="T194" s="65" t="n"/>
      <c r="U194" s="65" t="n"/>
      <c r="V194" s="77" t="n"/>
      <c r="W194" s="65" t="n"/>
      <c r="X194" s="65" t="n"/>
      <c r="Y194" s="65" t="n"/>
      <c r="Z194" s="65" t="n"/>
      <c r="AA194" s="65" t="n"/>
      <c r="AB194" s="65" t="n"/>
      <c r="AC194" s="65" t="n"/>
      <c r="AD194" s="65" t="n"/>
      <c r="AE194" s="65" t="n"/>
      <c r="AF194" s="65" t="n"/>
      <c r="AG194" s="65" t="n"/>
      <c r="AH194" s="65" t="n"/>
      <c r="AI194" s="65" t="n"/>
      <c r="AJ194" s="65" t="n"/>
      <c r="AK194" s="65" t="n"/>
      <c r="AL194" s="65" t="n"/>
      <c r="AM194" s="65" t="n"/>
      <c r="AN194" s="65" t="n"/>
      <c r="AO194" s="65" t="n"/>
      <c r="AP194" s="65" t="n"/>
    </row>
    <row r="195">
      <c r="F195" s="68" t="n"/>
      <c r="G195" s="68">
        <f>IF(B195="","",F195-I195 )</f>
        <v/>
      </c>
      <c r="H195" s="5">
        <f>IF(G195="","",G195/F195)</f>
        <v/>
      </c>
      <c r="J195" s="65" t="n"/>
      <c r="K195" s="65" t="n"/>
      <c r="L195" s="65" t="n"/>
      <c r="M195" s="65" t="n"/>
      <c r="N195" s="65" t="n"/>
      <c r="O195" s="65" t="n"/>
      <c r="P195" s="65" t="n"/>
      <c r="Q195" s="65" t="n"/>
      <c r="R195" s="65" t="n"/>
      <c r="S195" s="65" t="n"/>
      <c r="T195" s="65" t="n"/>
      <c r="U195" s="65" t="n"/>
      <c r="V195" s="77" t="n"/>
      <c r="W195" s="65" t="n"/>
      <c r="X195" s="65" t="n"/>
      <c r="Y195" s="65" t="n"/>
      <c r="Z195" s="65" t="n"/>
      <c r="AA195" s="65" t="n"/>
      <c r="AB195" s="65" t="n"/>
      <c r="AC195" s="65" t="n"/>
      <c r="AD195" s="65" t="n"/>
      <c r="AE195" s="65" t="n"/>
      <c r="AF195" s="65" t="n"/>
      <c r="AG195" s="65" t="n"/>
      <c r="AH195" s="65" t="n"/>
      <c r="AI195" s="65" t="n"/>
      <c r="AJ195" s="65" t="n"/>
      <c r="AK195" s="65" t="n"/>
      <c r="AL195" s="65" t="n"/>
      <c r="AM195" s="65" t="n"/>
      <c r="AN195" s="65" t="n"/>
      <c r="AO195" s="65" t="n"/>
      <c r="AP195" s="65" t="n"/>
    </row>
    <row r="196">
      <c r="F196" s="68" t="n"/>
      <c r="G196" s="68">
        <f>IF(B196="","",F196-I196 )</f>
        <v/>
      </c>
      <c r="H196" s="5">
        <f>IF(G196="","",G196/F196)</f>
        <v/>
      </c>
      <c r="J196" s="65" t="n"/>
      <c r="K196" s="65" t="n"/>
      <c r="L196" s="65" t="n"/>
      <c r="M196" s="65" t="n"/>
      <c r="N196" s="65" t="n"/>
      <c r="O196" s="65" t="n"/>
      <c r="P196" s="65" t="n"/>
      <c r="Q196" s="65" t="n"/>
      <c r="R196" s="65" t="n"/>
      <c r="S196" s="65" t="n"/>
      <c r="T196" s="65" t="n"/>
      <c r="U196" s="65" t="n"/>
      <c r="V196" s="77" t="n"/>
      <c r="W196" s="65" t="n"/>
      <c r="X196" s="65" t="n"/>
      <c r="Y196" s="65" t="n"/>
      <c r="Z196" s="65" t="n"/>
      <c r="AA196" s="65" t="n"/>
      <c r="AB196" s="65" t="n"/>
      <c r="AC196" s="65" t="n"/>
      <c r="AD196" s="65" t="n"/>
      <c r="AE196" s="65" t="n"/>
      <c r="AF196" s="65" t="n"/>
      <c r="AG196" s="65" t="n"/>
      <c r="AH196" s="65" t="n"/>
      <c r="AI196" s="65" t="n"/>
      <c r="AJ196" s="65" t="n"/>
      <c r="AK196" s="65" t="n"/>
      <c r="AL196" s="65" t="n"/>
      <c r="AM196" s="65" t="n"/>
      <c r="AN196" s="65" t="n"/>
      <c r="AO196" s="65" t="n"/>
      <c r="AP196" s="65" t="n"/>
    </row>
    <row r="197">
      <c r="F197" s="68" t="n"/>
      <c r="G197" s="68">
        <f>IF(B197="","",F197-I197 )</f>
        <v/>
      </c>
      <c r="H197" s="5">
        <f>IF(G197="","",G197/F197)</f>
        <v/>
      </c>
      <c r="J197" s="65" t="n"/>
      <c r="K197" s="65" t="n"/>
      <c r="L197" s="65" t="n"/>
      <c r="M197" s="65" t="n"/>
      <c r="N197" s="65" t="n"/>
      <c r="O197" s="65" t="n"/>
      <c r="P197" s="65" t="n"/>
      <c r="Q197" s="65" t="n"/>
      <c r="R197" s="65" t="n"/>
      <c r="S197" s="65" t="n"/>
      <c r="T197" s="65" t="n"/>
      <c r="U197" s="65" t="n"/>
      <c r="V197" s="77" t="n"/>
      <c r="W197" s="65" t="n"/>
      <c r="X197" s="65" t="n"/>
      <c r="Y197" s="65" t="n"/>
      <c r="Z197" s="65" t="n"/>
      <c r="AA197" s="65" t="n"/>
      <c r="AB197" s="65" t="n"/>
      <c r="AC197" s="65" t="n"/>
      <c r="AD197" s="65" t="n"/>
      <c r="AE197" s="65" t="n"/>
      <c r="AF197" s="65" t="n"/>
      <c r="AG197" s="65" t="n"/>
      <c r="AH197" s="65" t="n"/>
      <c r="AI197" s="65" t="n"/>
      <c r="AJ197" s="65" t="n"/>
      <c r="AK197" s="65" t="n"/>
      <c r="AL197" s="65" t="n"/>
      <c r="AM197" s="65" t="n"/>
      <c r="AN197" s="65" t="n"/>
      <c r="AO197" s="65" t="n"/>
      <c r="AP197" s="65" t="n"/>
    </row>
    <row r="198">
      <c r="F198" s="68" t="n"/>
      <c r="G198" s="68">
        <f>IF(B198="","",F198-I198 )</f>
        <v/>
      </c>
      <c r="H198" s="5">
        <f>IF(G198="","",G198/F198)</f>
        <v/>
      </c>
      <c r="J198" s="65" t="n"/>
      <c r="K198" s="65" t="n"/>
      <c r="L198" s="65" t="n"/>
      <c r="M198" s="65" t="n"/>
      <c r="N198" s="65" t="n"/>
      <c r="O198" s="65" t="n"/>
      <c r="P198" s="65" t="n"/>
      <c r="Q198" s="65" t="n"/>
      <c r="R198" s="65" t="n"/>
      <c r="S198" s="65" t="n"/>
      <c r="T198" s="65" t="n"/>
      <c r="U198" s="65" t="n"/>
      <c r="V198" s="77" t="n"/>
      <c r="W198" s="65" t="n"/>
      <c r="X198" s="65" t="n"/>
      <c r="Y198" s="65" t="n"/>
      <c r="Z198" s="65" t="n"/>
      <c r="AA198" s="65" t="n"/>
      <c r="AB198" s="65" t="n"/>
      <c r="AC198" s="65" t="n"/>
      <c r="AD198" s="65" t="n"/>
      <c r="AE198" s="65" t="n"/>
      <c r="AF198" s="65" t="n"/>
      <c r="AG198" s="65" t="n"/>
      <c r="AH198" s="65" t="n"/>
      <c r="AI198" s="65" t="n"/>
      <c r="AJ198" s="65" t="n"/>
      <c r="AK198" s="65" t="n"/>
      <c r="AL198" s="65" t="n"/>
      <c r="AM198" s="65" t="n"/>
      <c r="AN198" s="65" t="n"/>
      <c r="AO198" s="65" t="n"/>
      <c r="AP198" s="65" t="n"/>
    </row>
    <row r="199">
      <c r="F199" s="68" t="n"/>
      <c r="G199" s="68">
        <f>IF(B199="","",F199-I199 )</f>
        <v/>
      </c>
      <c r="H199" s="5">
        <f>IF(G199="","",G199/F199)</f>
        <v/>
      </c>
      <c r="J199" s="65" t="n"/>
      <c r="K199" s="65" t="n"/>
      <c r="L199" s="65" t="n"/>
      <c r="M199" s="65" t="n"/>
      <c r="N199" s="65" t="n"/>
      <c r="O199" s="65" t="n"/>
      <c r="P199" s="65" t="n"/>
      <c r="Q199" s="65" t="n"/>
      <c r="R199" s="65" t="n"/>
      <c r="S199" s="65" t="n"/>
      <c r="T199" s="65" t="n"/>
      <c r="U199" s="65" t="n"/>
      <c r="V199" s="77" t="n"/>
      <c r="W199" s="65" t="n"/>
      <c r="X199" s="65" t="n"/>
      <c r="Y199" s="65" t="n"/>
      <c r="Z199" s="65" t="n"/>
      <c r="AA199" s="65" t="n"/>
      <c r="AB199" s="65" t="n"/>
      <c r="AC199" s="65" t="n"/>
      <c r="AD199" s="65" t="n"/>
      <c r="AE199" s="65" t="n"/>
      <c r="AF199" s="65" t="n"/>
      <c r="AG199" s="65" t="n"/>
      <c r="AH199" s="65" t="n"/>
      <c r="AI199" s="65" t="n"/>
      <c r="AJ199" s="65" t="n"/>
      <c r="AK199" s="65" t="n"/>
      <c r="AL199" s="65" t="n"/>
      <c r="AM199" s="65" t="n"/>
      <c r="AN199" s="65" t="n"/>
      <c r="AO199" s="65" t="n"/>
      <c r="AP199" s="65" t="n"/>
    </row>
    <row r="200">
      <c r="F200" s="68" t="n"/>
      <c r="G200" s="68">
        <f>IF(B200="","",F200-I200 )</f>
        <v/>
      </c>
      <c r="H200" s="5">
        <f>IF(G200="","",G200/F200)</f>
        <v/>
      </c>
      <c r="J200" s="65" t="n"/>
      <c r="K200" s="65" t="n"/>
      <c r="L200" s="65" t="n"/>
      <c r="M200" s="65" t="n"/>
      <c r="N200" s="65" t="n"/>
      <c r="O200" s="65" t="n"/>
      <c r="P200" s="65" t="n"/>
      <c r="Q200" s="65" t="n"/>
      <c r="R200" s="65" t="n"/>
      <c r="S200" s="65" t="n"/>
      <c r="T200" s="65" t="n"/>
      <c r="U200" s="65" t="n"/>
      <c r="V200" s="77" t="n"/>
      <c r="W200" s="65" t="n"/>
      <c r="X200" s="65" t="n"/>
      <c r="Y200" s="65" t="n"/>
      <c r="Z200" s="65" t="n"/>
      <c r="AA200" s="65" t="n"/>
      <c r="AB200" s="65" t="n"/>
      <c r="AC200" s="65" t="n"/>
      <c r="AD200" s="65" t="n"/>
      <c r="AE200" s="65" t="n"/>
      <c r="AF200" s="65" t="n"/>
      <c r="AG200" s="65" t="n"/>
      <c r="AH200" s="65" t="n"/>
      <c r="AI200" s="65" t="n"/>
      <c r="AJ200" s="65" t="n"/>
      <c r="AK200" s="65" t="n"/>
      <c r="AL200" s="65" t="n"/>
      <c r="AM200" s="65" t="n"/>
      <c r="AN200" s="65" t="n"/>
      <c r="AO200" s="65" t="n"/>
      <c r="AP200" s="65" t="n"/>
    </row>
    <row r="201">
      <c r="F201" s="68" t="n"/>
      <c r="G201" s="68">
        <f>IF(B201="","",F201-I201 )</f>
        <v/>
      </c>
      <c r="H201" s="5">
        <f>IF(G201="","",G201/F201)</f>
        <v/>
      </c>
      <c r="J201" s="65" t="n"/>
      <c r="K201" s="65" t="n"/>
      <c r="L201" s="65" t="n"/>
      <c r="M201" s="65" t="n"/>
      <c r="N201" s="65" t="n"/>
      <c r="O201" s="65" t="n"/>
      <c r="P201" s="65" t="n"/>
      <c r="Q201" s="65" t="n"/>
      <c r="R201" s="65" t="n"/>
      <c r="S201" s="65" t="n"/>
      <c r="T201" s="65" t="n"/>
      <c r="U201" s="65" t="n"/>
      <c r="V201" s="77" t="n"/>
      <c r="W201" s="65" t="n"/>
      <c r="X201" s="65" t="n"/>
      <c r="Y201" s="65" t="n"/>
      <c r="Z201" s="65" t="n"/>
      <c r="AA201" s="65" t="n"/>
      <c r="AB201" s="65" t="n"/>
      <c r="AC201" s="65" t="n"/>
      <c r="AD201" s="65" t="n"/>
      <c r="AE201" s="65" t="n"/>
      <c r="AF201" s="65" t="n"/>
      <c r="AG201" s="65" t="n"/>
      <c r="AH201" s="65" t="n"/>
      <c r="AI201" s="65" t="n"/>
      <c r="AJ201" s="65" t="n"/>
      <c r="AK201" s="65" t="n"/>
      <c r="AL201" s="65" t="n"/>
      <c r="AM201" s="65" t="n"/>
      <c r="AN201" s="65" t="n"/>
      <c r="AO201" s="65" t="n"/>
      <c r="AP201" s="65" t="n"/>
    </row>
    <row r="202">
      <c r="F202" s="68" t="n"/>
      <c r="G202" s="68">
        <f>IF(B202="","",F202-I202 )</f>
        <v/>
      </c>
      <c r="H202" s="5">
        <f>IF(G202="","",G202/F202)</f>
        <v/>
      </c>
      <c r="J202" s="65" t="n"/>
      <c r="K202" s="65" t="n"/>
      <c r="L202" s="65" t="n"/>
      <c r="M202" s="65" t="n"/>
      <c r="N202" s="65" t="n"/>
      <c r="O202" s="65" t="n"/>
      <c r="P202" s="65" t="n"/>
      <c r="Q202" s="65" t="n"/>
      <c r="R202" s="65" t="n"/>
      <c r="S202" s="65" t="n"/>
      <c r="T202" s="65" t="n"/>
      <c r="U202" s="65" t="n"/>
      <c r="V202" s="77" t="n"/>
      <c r="W202" s="65" t="n"/>
      <c r="X202" s="65" t="n"/>
      <c r="Y202" s="65" t="n"/>
      <c r="Z202" s="65" t="n"/>
      <c r="AA202" s="65" t="n"/>
      <c r="AB202" s="65" t="n"/>
      <c r="AC202" s="65" t="n"/>
      <c r="AD202" s="65" t="n"/>
      <c r="AE202" s="65" t="n"/>
      <c r="AF202" s="65" t="n"/>
      <c r="AG202" s="65" t="n"/>
      <c r="AH202" s="65" t="n"/>
      <c r="AI202" s="65" t="n"/>
      <c r="AJ202" s="65" t="n"/>
      <c r="AK202" s="65" t="n"/>
      <c r="AL202" s="65" t="n"/>
      <c r="AM202" s="65" t="n"/>
      <c r="AN202" s="65" t="n"/>
      <c r="AO202" s="65" t="n"/>
      <c r="AP202" s="65" t="n"/>
    </row>
    <row r="203">
      <c r="F203" s="68" t="n"/>
      <c r="G203" s="68">
        <f>IF(B203="","",F203-I203 )</f>
        <v/>
      </c>
      <c r="H203" s="5">
        <f>IF(G203="","",G203/F203)</f>
        <v/>
      </c>
      <c r="J203" s="65" t="n"/>
      <c r="K203" s="65" t="n"/>
      <c r="L203" s="65" t="n"/>
      <c r="M203" s="65" t="n"/>
      <c r="N203" s="65" t="n"/>
      <c r="O203" s="65" t="n"/>
      <c r="P203" s="65" t="n"/>
      <c r="Q203" s="65" t="n"/>
      <c r="R203" s="65" t="n"/>
      <c r="S203" s="65" t="n"/>
      <c r="T203" s="65" t="n"/>
      <c r="U203" s="65" t="n"/>
      <c r="V203" s="77" t="n"/>
      <c r="W203" s="65" t="n"/>
      <c r="X203" s="65" t="n"/>
      <c r="Y203" s="65" t="n"/>
      <c r="Z203" s="65" t="n"/>
      <c r="AA203" s="65" t="n"/>
      <c r="AB203" s="65" t="n"/>
      <c r="AC203" s="65" t="n"/>
      <c r="AD203" s="65" t="n"/>
      <c r="AE203" s="65" t="n"/>
      <c r="AF203" s="65" t="n"/>
      <c r="AG203" s="65" t="n"/>
      <c r="AH203" s="65" t="n"/>
      <c r="AI203" s="65" t="n"/>
      <c r="AJ203" s="65" t="n"/>
      <c r="AK203" s="65" t="n"/>
      <c r="AL203" s="65" t="n"/>
      <c r="AM203" s="65" t="n"/>
      <c r="AN203" s="65" t="n"/>
      <c r="AO203" s="65" t="n"/>
      <c r="AP203" s="65" t="n"/>
    </row>
    <row r="204">
      <c r="F204" s="68" t="n"/>
      <c r="G204" s="68">
        <f>IF(B204="","",F204-I204 )</f>
        <v/>
      </c>
      <c r="H204" s="5">
        <f>IF(G204="","",G204/F204)</f>
        <v/>
      </c>
      <c r="J204" s="65" t="n"/>
      <c r="K204" s="65" t="n"/>
      <c r="L204" s="65" t="n"/>
      <c r="M204" s="65" t="n"/>
      <c r="N204" s="65" t="n"/>
      <c r="O204" s="65" t="n"/>
      <c r="P204" s="65" t="n"/>
      <c r="Q204" s="65" t="n"/>
      <c r="R204" s="65" t="n"/>
      <c r="S204" s="65" t="n"/>
      <c r="T204" s="65" t="n"/>
      <c r="U204" s="65" t="n"/>
      <c r="V204" s="77" t="n"/>
      <c r="W204" s="65" t="n"/>
      <c r="X204" s="65" t="n"/>
      <c r="Y204" s="65" t="n"/>
      <c r="Z204" s="65" t="n"/>
      <c r="AA204" s="65" t="n"/>
      <c r="AB204" s="65" t="n"/>
      <c r="AC204" s="65" t="n"/>
      <c r="AD204" s="65" t="n"/>
      <c r="AE204" s="65" t="n"/>
      <c r="AF204" s="65" t="n"/>
      <c r="AG204" s="65" t="n"/>
      <c r="AH204" s="65" t="n"/>
      <c r="AI204" s="65" t="n"/>
      <c r="AJ204" s="65" t="n"/>
      <c r="AK204" s="65" t="n"/>
      <c r="AL204" s="65" t="n"/>
      <c r="AM204" s="65" t="n"/>
      <c r="AN204" s="65" t="n"/>
      <c r="AO204" s="65" t="n"/>
      <c r="AP204" s="65" t="n"/>
    </row>
    <row r="205">
      <c r="F205" s="68" t="n"/>
      <c r="G205" s="68">
        <f>IF(B205="","",F205-I205 )</f>
        <v/>
      </c>
      <c r="H205" s="5">
        <f>IF(G205="","",G205/F205)</f>
        <v/>
      </c>
      <c r="J205" s="65" t="n"/>
      <c r="K205" s="65" t="n"/>
      <c r="L205" s="65" t="n"/>
      <c r="M205" s="65" t="n"/>
      <c r="N205" s="65" t="n"/>
      <c r="O205" s="65" t="n"/>
      <c r="P205" s="65" t="n"/>
      <c r="Q205" s="65" t="n"/>
      <c r="R205" s="65" t="n"/>
      <c r="S205" s="65" t="n"/>
      <c r="T205" s="65" t="n"/>
      <c r="U205" s="65" t="n"/>
      <c r="V205" s="77" t="n"/>
      <c r="W205" s="65" t="n"/>
      <c r="X205" s="65" t="n"/>
      <c r="Y205" s="65" t="n"/>
      <c r="Z205" s="65" t="n"/>
      <c r="AA205" s="65" t="n"/>
      <c r="AB205" s="65" t="n"/>
      <c r="AC205" s="65" t="n"/>
      <c r="AD205" s="65" t="n"/>
      <c r="AE205" s="65" t="n"/>
      <c r="AF205" s="65" t="n"/>
      <c r="AG205" s="65" t="n"/>
      <c r="AH205" s="65" t="n"/>
      <c r="AI205" s="65" t="n"/>
      <c r="AJ205" s="65" t="n"/>
      <c r="AK205" s="65" t="n"/>
      <c r="AL205" s="65" t="n"/>
      <c r="AM205" s="65" t="n"/>
      <c r="AN205" s="65" t="n"/>
      <c r="AO205" s="65" t="n"/>
      <c r="AP205" s="65" t="n"/>
    </row>
    <row r="206">
      <c r="F206" s="68" t="n"/>
      <c r="G206" s="68">
        <f>IF(B206="","",F206-I206 )</f>
        <v/>
      </c>
      <c r="H206" s="5">
        <f>IF(G206="","",G206/F206)</f>
        <v/>
      </c>
      <c r="J206" s="65" t="n"/>
      <c r="K206" s="65" t="n"/>
      <c r="L206" s="65" t="n"/>
      <c r="M206" s="65" t="n"/>
      <c r="N206" s="65" t="n"/>
      <c r="O206" s="65" t="n"/>
      <c r="P206" s="65" t="n"/>
      <c r="Q206" s="65" t="n"/>
      <c r="R206" s="65" t="n"/>
      <c r="S206" s="65" t="n"/>
      <c r="T206" s="65" t="n"/>
      <c r="U206" s="65" t="n"/>
      <c r="V206" s="77" t="n"/>
      <c r="W206" s="65" t="n"/>
      <c r="X206" s="65" t="n"/>
      <c r="Y206" s="65" t="n"/>
      <c r="Z206" s="65" t="n"/>
      <c r="AA206" s="65" t="n"/>
      <c r="AB206" s="65" t="n"/>
      <c r="AC206" s="65" t="n"/>
      <c r="AD206" s="65" t="n"/>
      <c r="AE206" s="65" t="n"/>
      <c r="AF206" s="65" t="n"/>
      <c r="AG206" s="65" t="n"/>
      <c r="AH206" s="65" t="n"/>
      <c r="AI206" s="65" t="n"/>
      <c r="AJ206" s="65" t="n"/>
      <c r="AK206" s="65" t="n"/>
      <c r="AL206" s="65" t="n"/>
      <c r="AM206" s="65" t="n"/>
      <c r="AN206" s="65" t="n"/>
      <c r="AO206" s="65" t="n"/>
      <c r="AP206" s="65" t="n"/>
    </row>
    <row r="207">
      <c r="F207" s="68" t="n"/>
      <c r="G207" s="68">
        <f>IF(B207="","",F207-I207 )</f>
        <v/>
      </c>
      <c r="H207" s="5">
        <f>IF(G207="","",G207/F207)</f>
        <v/>
      </c>
      <c r="J207" s="65" t="n"/>
      <c r="K207" s="65" t="n"/>
      <c r="L207" s="65" t="n"/>
      <c r="M207" s="65" t="n"/>
      <c r="N207" s="65" t="n"/>
      <c r="O207" s="65" t="n"/>
      <c r="P207" s="65" t="n"/>
      <c r="Q207" s="65" t="n"/>
      <c r="R207" s="65" t="n"/>
      <c r="S207" s="65" t="n"/>
      <c r="T207" s="65" t="n"/>
      <c r="U207" s="65" t="n"/>
      <c r="V207" s="77" t="n"/>
      <c r="W207" s="65" t="n"/>
      <c r="X207" s="65" t="n"/>
      <c r="Y207" s="65" t="n"/>
      <c r="Z207" s="65" t="n"/>
      <c r="AA207" s="65" t="n"/>
      <c r="AB207" s="65" t="n"/>
      <c r="AC207" s="65" t="n"/>
      <c r="AD207" s="65" t="n"/>
      <c r="AE207" s="65" t="n"/>
      <c r="AF207" s="65" t="n"/>
      <c r="AG207" s="65" t="n"/>
      <c r="AH207" s="65" t="n"/>
      <c r="AI207" s="65" t="n"/>
      <c r="AJ207" s="65" t="n"/>
      <c r="AK207" s="65" t="n"/>
      <c r="AL207" s="65" t="n"/>
      <c r="AM207" s="65" t="n"/>
      <c r="AN207" s="65" t="n"/>
      <c r="AO207" s="65" t="n"/>
      <c r="AP207" s="65" t="n"/>
    </row>
    <row r="208">
      <c r="F208" s="68" t="n"/>
      <c r="G208" s="68">
        <f>IF(B208="","",F208-I208 )</f>
        <v/>
      </c>
      <c r="H208" s="5">
        <f>IF(G208="","",G208/F208)</f>
        <v/>
      </c>
      <c r="J208" s="65" t="n"/>
      <c r="K208" s="65" t="n"/>
      <c r="L208" s="65" t="n"/>
      <c r="M208" s="65" t="n"/>
      <c r="N208" s="65" t="n"/>
      <c r="O208" s="65" t="n"/>
      <c r="P208" s="65" t="n"/>
      <c r="Q208" s="65" t="n"/>
      <c r="R208" s="65" t="n"/>
      <c r="S208" s="65" t="n"/>
      <c r="T208" s="65" t="n"/>
      <c r="U208" s="65" t="n"/>
      <c r="V208" s="77" t="n"/>
      <c r="W208" s="65" t="n"/>
      <c r="X208" s="65" t="n"/>
      <c r="Y208" s="65" t="n"/>
      <c r="Z208" s="65" t="n"/>
      <c r="AA208" s="65" t="n"/>
      <c r="AB208" s="65" t="n"/>
      <c r="AC208" s="65" t="n"/>
      <c r="AD208" s="65" t="n"/>
      <c r="AE208" s="65" t="n"/>
      <c r="AF208" s="65" t="n"/>
      <c r="AG208" s="65" t="n"/>
      <c r="AH208" s="65" t="n"/>
      <c r="AI208" s="65" t="n"/>
      <c r="AJ208" s="65" t="n"/>
      <c r="AK208" s="65" t="n"/>
      <c r="AL208" s="65" t="n"/>
      <c r="AM208" s="65" t="n"/>
      <c r="AN208" s="65" t="n"/>
      <c r="AO208" s="65" t="n"/>
      <c r="AP208" s="65" t="n"/>
    </row>
    <row r="209">
      <c r="F209" s="68" t="n"/>
      <c r="G209" s="68">
        <f>IF(B209="","",F209-I209 )</f>
        <v/>
      </c>
      <c r="H209" s="5">
        <f>IF(G209="","",G209/F209)</f>
        <v/>
      </c>
      <c r="J209" s="65" t="n"/>
      <c r="K209" s="65" t="n"/>
      <c r="L209" s="65" t="n"/>
      <c r="M209" s="65" t="n"/>
      <c r="N209" s="65" t="n"/>
      <c r="O209" s="65" t="n"/>
      <c r="P209" s="65" t="n"/>
      <c r="Q209" s="65" t="n"/>
      <c r="R209" s="65" t="n"/>
      <c r="S209" s="65" t="n"/>
      <c r="T209" s="65" t="n"/>
      <c r="U209" s="65" t="n"/>
      <c r="V209" s="77" t="n"/>
      <c r="W209" s="65" t="n"/>
      <c r="X209" s="65" t="n"/>
      <c r="Y209" s="65" t="n"/>
      <c r="Z209" s="65" t="n"/>
      <c r="AA209" s="65" t="n"/>
      <c r="AB209" s="65" t="n"/>
      <c r="AC209" s="65" t="n"/>
      <c r="AD209" s="65" t="n"/>
      <c r="AE209" s="65" t="n"/>
      <c r="AF209" s="65" t="n"/>
      <c r="AG209" s="65" t="n"/>
      <c r="AH209" s="65" t="n"/>
      <c r="AI209" s="65" t="n"/>
      <c r="AJ209" s="65" t="n"/>
      <c r="AK209" s="65" t="n"/>
      <c r="AL209" s="65" t="n"/>
      <c r="AM209" s="65" t="n"/>
      <c r="AN209" s="65" t="n"/>
      <c r="AO209" s="65" t="n"/>
      <c r="AP209" s="65" t="n"/>
    </row>
    <row r="210">
      <c r="F210" s="68" t="n"/>
      <c r="G210" s="68">
        <f>IF(B210="","",F210-I210 )</f>
        <v/>
      </c>
      <c r="H210" s="5">
        <f>IF(G210="","",G210/F210)</f>
        <v/>
      </c>
      <c r="J210" s="65" t="n"/>
      <c r="K210" s="65" t="n"/>
      <c r="L210" s="65" t="n"/>
      <c r="M210" s="65" t="n"/>
      <c r="N210" s="65" t="n"/>
      <c r="O210" s="65" t="n"/>
      <c r="P210" s="65" t="n"/>
      <c r="Q210" s="65" t="n"/>
      <c r="R210" s="65" t="n"/>
      <c r="S210" s="65" t="n"/>
      <c r="T210" s="65" t="n"/>
      <c r="U210" s="65" t="n"/>
      <c r="V210" s="77" t="n"/>
      <c r="W210" s="65" t="n"/>
      <c r="X210" s="65" t="n"/>
      <c r="Y210" s="65" t="n"/>
      <c r="Z210" s="65" t="n"/>
      <c r="AA210" s="65" t="n"/>
      <c r="AB210" s="65" t="n"/>
      <c r="AC210" s="65" t="n"/>
      <c r="AD210" s="65" t="n"/>
      <c r="AE210" s="65" t="n"/>
      <c r="AF210" s="65" t="n"/>
      <c r="AG210" s="65" t="n"/>
      <c r="AH210" s="65" t="n"/>
      <c r="AI210" s="65" t="n"/>
      <c r="AJ210" s="65" t="n"/>
      <c r="AK210" s="65" t="n"/>
      <c r="AL210" s="65" t="n"/>
      <c r="AM210" s="65" t="n"/>
      <c r="AN210" s="65" t="n"/>
      <c r="AO210" s="65" t="n"/>
      <c r="AP210" s="65" t="n"/>
    </row>
    <row r="211">
      <c r="F211" s="68" t="n"/>
      <c r="G211" s="68">
        <f>IF(B211="","",F211-I211 )</f>
        <v/>
      </c>
      <c r="H211" s="5">
        <f>IF(G211="","",G211/F211)</f>
        <v/>
      </c>
      <c r="J211" s="65" t="n"/>
      <c r="K211" s="65" t="n"/>
      <c r="L211" s="65" t="n"/>
      <c r="M211" s="65" t="n"/>
      <c r="N211" s="65" t="n"/>
      <c r="O211" s="65" t="n"/>
      <c r="P211" s="65" t="n"/>
      <c r="Q211" s="65" t="n"/>
      <c r="R211" s="65" t="n"/>
      <c r="S211" s="65" t="n"/>
      <c r="T211" s="65" t="n"/>
      <c r="U211" s="65" t="n"/>
      <c r="V211" s="77" t="n"/>
      <c r="W211" s="65" t="n"/>
      <c r="X211" s="65" t="n"/>
      <c r="Y211" s="65" t="n"/>
      <c r="Z211" s="65" t="n"/>
      <c r="AA211" s="65" t="n"/>
      <c r="AB211" s="65" t="n"/>
      <c r="AC211" s="65" t="n"/>
      <c r="AD211" s="65" t="n"/>
      <c r="AE211" s="65" t="n"/>
      <c r="AF211" s="65" t="n"/>
      <c r="AG211" s="65" t="n"/>
      <c r="AH211" s="65" t="n"/>
      <c r="AI211" s="65" t="n"/>
      <c r="AJ211" s="65" t="n"/>
      <c r="AK211" s="65" t="n"/>
      <c r="AL211" s="65" t="n"/>
      <c r="AM211" s="65" t="n"/>
      <c r="AN211" s="65" t="n"/>
      <c r="AO211" s="65" t="n"/>
      <c r="AP211" s="65" t="n"/>
    </row>
    <row r="212">
      <c r="F212" s="68" t="n"/>
      <c r="G212" s="68">
        <f>IF(B212="","",F212-I212 )</f>
        <v/>
      </c>
      <c r="H212" s="5">
        <f>IF(G212="","",G212/F212)</f>
        <v/>
      </c>
      <c r="J212" s="65" t="n"/>
      <c r="K212" s="65" t="n"/>
      <c r="L212" s="65" t="n"/>
      <c r="M212" s="65" t="n"/>
      <c r="N212" s="65" t="n"/>
      <c r="O212" s="65" t="n"/>
      <c r="P212" s="65" t="n"/>
      <c r="Q212" s="65" t="n"/>
      <c r="R212" s="65" t="n"/>
      <c r="S212" s="65" t="n"/>
      <c r="T212" s="65" t="n"/>
      <c r="U212" s="65" t="n"/>
      <c r="V212" s="77" t="n"/>
      <c r="W212" s="65" t="n"/>
      <c r="X212" s="65" t="n"/>
      <c r="Y212" s="65" t="n"/>
      <c r="Z212" s="65" t="n"/>
      <c r="AA212" s="65" t="n"/>
      <c r="AB212" s="65" t="n"/>
      <c r="AC212" s="65" t="n"/>
      <c r="AD212" s="65" t="n"/>
      <c r="AE212" s="65" t="n"/>
      <c r="AF212" s="65" t="n"/>
      <c r="AG212" s="65" t="n"/>
      <c r="AH212" s="65" t="n"/>
      <c r="AI212" s="65" t="n"/>
      <c r="AJ212" s="65" t="n"/>
      <c r="AK212" s="65" t="n"/>
      <c r="AL212" s="65" t="n"/>
      <c r="AM212" s="65" t="n"/>
      <c r="AN212" s="65" t="n"/>
      <c r="AO212" s="65" t="n"/>
      <c r="AP212" s="65" t="n"/>
    </row>
    <row r="213">
      <c r="F213" s="68" t="n"/>
      <c r="G213" s="68">
        <f>IF(B213="","",F213-I213 )</f>
        <v/>
      </c>
      <c r="H213" s="5">
        <f>IF(G213="","",G213/F213)</f>
        <v/>
      </c>
      <c r="J213" s="65" t="n"/>
      <c r="K213" s="65" t="n"/>
      <c r="L213" s="65" t="n"/>
      <c r="M213" s="65" t="n"/>
      <c r="N213" s="65" t="n"/>
      <c r="O213" s="65" t="n"/>
      <c r="P213" s="65" t="n"/>
      <c r="Q213" s="65" t="n"/>
      <c r="R213" s="65" t="n"/>
      <c r="S213" s="65" t="n"/>
      <c r="T213" s="65" t="n"/>
      <c r="U213" s="65" t="n"/>
      <c r="V213" s="77" t="n"/>
      <c r="W213" s="65" t="n"/>
      <c r="X213" s="65" t="n"/>
      <c r="Y213" s="65" t="n"/>
      <c r="Z213" s="65" t="n"/>
      <c r="AA213" s="65" t="n"/>
      <c r="AB213" s="65" t="n"/>
      <c r="AC213" s="65" t="n"/>
      <c r="AD213" s="65" t="n"/>
      <c r="AE213" s="65" t="n"/>
      <c r="AF213" s="65" t="n"/>
      <c r="AG213" s="65" t="n"/>
      <c r="AH213" s="65" t="n"/>
      <c r="AI213" s="65" t="n"/>
      <c r="AJ213" s="65" t="n"/>
      <c r="AK213" s="65" t="n"/>
      <c r="AL213" s="65" t="n"/>
      <c r="AM213" s="65" t="n"/>
      <c r="AN213" s="65" t="n"/>
      <c r="AO213" s="65" t="n"/>
      <c r="AP213" s="65" t="n"/>
    </row>
    <row r="214">
      <c r="F214" s="68" t="n"/>
      <c r="G214" s="68">
        <f>IF(B214="","",F214-I214 )</f>
        <v/>
      </c>
      <c r="H214" s="5">
        <f>IF(G214="","",G214/F214)</f>
        <v/>
      </c>
      <c r="J214" s="65" t="n"/>
      <c r="K214" s="65" t="n"/>
      <c r="L214" s="65" t="n"/>
      <c r="M214" s="65" t="n"/>
      <c r="N214" s="65" t="n"/>
      <c r="O214" s="65" t="n"/>
      <c r="P214" s="65" t="n"/>
      <c r="Q214" s="65" t="n"/>
      <c r="R214" s="65" t="n"/>
      <c r="S214" s="65" t="n"/>
      <c r="T214" s="65" t="n"/>
      <c r="U214" s="65" t="n"/>
      <c r="V214" s="77" t="n"/>
      <c r="W214" s="65" t="n"/>
      <c r="X214" s="65" t="n"/>
      <c r="Y214" s="65" t="n"/>
      <c r="Z214" s="65" t="n"/>
      <c r="AA214" s="65" t="n"/>
      <c r="AB214" s="65" t="n"/>
      <c r="AC214" s="65" t="n"/>
      <c r="AD214" s="65" t="n"/>
      <c r="AE214" s="65" t="n"/>
      <c r="AF214" s="65" t="n"/>
      <c r="AG214" s="65" t="n"/>
      <c r="AH214" s="65" t="n"/>
      <c r="AI214" s="65" t="n"/>
      <c r="AJ214" s="65" t="n"/>
      <c r="AK214" s="65" t="n"/>
      <c r="AL214" s="65" t="n"/>
      <c r="AM214" s="65" t="n"/>
      <c r="AN214" s="65" t="n"/>
      <c r="AO214" s="65" t="n"/>
      <c r="AP214" s="65" t="n"/>
    </row>
    <row r="215">
      <c r="F215" s="68" t="n"/>
      <c r="G215" s="68">
        <f>IF(B215="","",F215-I215 )</f>
        <v/>
      </c>
      <c r="H215" s="5">
        <f>IF(G215="","",G215/F215)</f>
        <v/>
      </c>
      <c r="J215" s="65" t="n"/>
      <c r="K215" s="65" t="n"/>
      <c r="L215" s="65" t="n"/>
      <c r="M215" s="65" t="n"/>
      <c r="N215" s="65" t="n"/>
      <c r="O215" s="65" t="n"/>
      <c r="P215" s="65" t="n"/>
      <c r="Q215" s="65" t="n"/>
      <c r="R215" s="65" t="n"/>
      <c r="S215" s="65" t="n"/>
      <c r="T215" s="65" t="n"/>
      <c r="U215" s="65" t="n"/>
      <c r="V215" s="77" t="n"/>
      <c r="W215" s="65" t="n"/>
      <c r="X215" s="65" t="n"/>
      <c r="Y215" s="65" t="n"/>
      <c r="Z215" s="65" t="n"/>
      <c r="AA215" s="65" t="n"/>
      <c r="AB215" s="65" t="n"/>
      <c r="AC215" s="65" t="n"/>
      <c r="AD215" s="65" t="n"/>
      <c r="AE215" s="65" t="n"/>
      <c r="AF215" s="65" t="n"/>
      <c r="AG215" s="65" t="n"/>
      <c r="AH215" s="65" t="n"/>
      <c r="AI215" s="65" t="n"/>
      <c r="AJ215" s="65" t="n"/>
      <c r="AK215" s="65" t="n"/>
      <c r="AL215" s="65" t="n"/>
      <c r="AM215" s="65" t="n"/>
      <c r="AN215" s="65" t="n"/>
      <c r="AO215" s="65" t="n"/>
      <c r="AP215" s="65" t="n"/>
    </row>
    <row r="216">
      <c r="F216" s="68" t="n"/>
      <c r="G216" s="68">
        <f>IF(B216="","",F216-I216 )</f>
        <v/>
      </c>
      <c r="H216" s="5">
        <f>IF(G216="","",G216/F216)</f>
        <v/>
      </c>
      <c r="J216" s="65" t="n"/>
      <c r="K216" s="65" t="n"/>
      <c r="L216" s="65" t="n"/>
      <c r="M216" s="65" t="n"/>
      <c r="N216" s="65" t="n"/>
      <c r="O216" s="65" t="n"/>
      <c r="P216" s="65" t="n"/>
      <c r="Q216" s="65" t="n"/>
      <c r="R216" s="65" t="n"/>
      <c r="S216" s="65" t="n"/>
      <c r="T216" s="65" t="n"/>
      <c r="U216" s="65" t="n"/>
      <c r="V216" s="77" t="n"/>
      <c r="W216" s="65" t="n"/>
      <c r="X216" s="65" t="n"/>
      <c r="Y216" s="65" t="n"/>
      <c r="Z216" s="65" t="n"/>
      <c r="AA216" s="65" t="n"/>
      <c r="AB216" s="65" t="n"/>
      <c r="AC216" s="65" t="n"/>
      <c r="AD216" s="65" t="n"/>
      <c r="AE216" s="65" t="n"/>
      <c r="AF216" s="65" t="n"/>
      <c r="AG216" s="65" t="n"/>
      <c r="AH216" s="65" t="n"/>
      <c r="AI216" s="65" t="n"/>
      <c r="AJ216" s="65" t="n"/>
      <c r="AK216" s="65" t="n"/>
      <c r="AL216" s="65" t="n"/>
      <c r="AM216" s="65" t="n"/>
      <c r="AN216" s="65" t="n"/>
      <c r="AO216" s="65" t="n"/>
      <c r="AP216" s="65" t="n"/>
    </row>
    <row r="217">
      <c r="F217" s="68" t="n"/>
      <c r="G217" s="68">
        <f>IF(B217="","",F217-I217 )</f>
        <v/>
      </c>
      <c r="H217" s="5">
        <f>IF(G217="","",G217/F217)</f>
        <v/>
      </c>
      <c r="J217" s="65" t="n"/>
      <c r="K217" s="65" t="n"/>
      <c r="L217" s="65" t="n"/>
      <c r="M217" s="65" t="n"/>
      <c r="N217" s="65" t="n"/>
      <c r="O217" s="65" t="n"/>
      <c r="P217" s="65" t="n"/>
      <c r="Q217" s="65" t="n"/>
      <c r="R217" s="65" t="n"/>
      <c r="S217" s="65" t="n"/>
      <c r="T217" s="65" t="n"/>
      <c r="U217" s="65" t="n"/>
      <c r="V217" s="77" t="n"/>
      <c r="W217" s="65" t="n"/>
      <c r="X217" s="65" t="n"/>
      <c r="Y217" s="65" t="n"/>
      <c r="Z217" s="65" t="n"/>
      <c r="AA217" s="65" t="n"/>
      <c r="AB217" s="65" t="n"/>
      <c r="AC217" s="65" t="n"/>
      <c r="AD217" s="65" t="n"/>
      <c r="AE217" s="65" t="n"/>
      <c r="AF217" s="65" t="n"/>
      <c r="AG217" s="65" t="n"/>
      <c r="AH217" s="65" t="n"/>
      <c r="AI217" s="65" t="n"/>
      <c r="AJ217" s="65" t="n"/>
      <c r="AK217" s="65" t="n"/>
      <c r="AL217" s="65" t="n"/>
      <c r="AM217" s="65" t="n"/>
      <c r="AN217" s="65" t="n"/>
      <c r="AO217" s="65" t="n"/>
      <c r="AP217" s="65" t="n"/>
    </row>
    <row r="218">
      <c r="F218" s="68" t="n"/>
      <c r="G218" s="68">
        <f>IF(B218="","",F218-I218 )</f>
        <v/>
      </c>
      <c r="H218" s="5">
        <f>IF(G218="","",G218/F218)</f>
        <v/>
      </c>
      <c r="J218" s="65" t="n"/>
      <c r="K218" s="65" t="n"/>
      <c r="L218" s="65" t="n"/>
      <c r="M218" s="65" t="n"/>
      <c r="N218" s="65" t="n"/>
      <c r="O218" s="65" t="n"/>
      <c r="P218" s="65" t="n"/>
      <c r="Q218" s="65" t="n"/>
      <c r="R218" s="65" t="n"/>
      <c r="S218" s="65" t="n"/>
      <c r="T218" s="65" t="n"/>
      <c r="U218" s="65" t="n"/>
      <c r="V218" s="77" t="n"/>
      <c r="W218" s="65" t="n"/>
      <c r="X218" s="65" t="n"/>
      <c r="Y218" s="65" t="n"/>
      <c r="Z218" s="65" t="n"/>
      <c r="AA218" s="65" t="n"/>
      <c r="AB218" s="65" t="n"/>
      <c r="AC218" s="65" t="n"/>
      <c r="AD218" s="65" t="n"/>
      <c r="AE218" s="65" t="n"/>
      <c r="AF218" s="65" t="n"/>
      <c r="AG218" s="65" t="n"/>
      <c r="AH218" s="65" t="n"/>
      <c r="AI218" s="65" t="n"/>
      <c r="AJ218" s="65" t="n"/>
      <c r="AK218" s="65" t="n"/>
      <c r="AL218" s="65" t="n"/>
      <c r="AM218" s="65" t="n"/>
      <c r="AN218" s="65" t="n"/>
      <c r="AO218" s="65" t="n"/>
      <c r="AP218" s="65" t="n"/>
    </row>
    <row r="219">
      <c r="F219" s="68" t="n"/>
      <c r="G219" s="68">
        <f>IF(B219="","",F219-I219 )</f>
        <v/>
      </c>
      <c r="H219" s="5">
        <f>IF(G219="","",G219/F219)</f>
        <v/>
      </c>
      <c r="J219" s="65" t="n"/>
      <c r="K219" s="65" t="n"/>
      <c r="L219" s="65" t="n"/>
      <c r="M219" s="65" t="n"/>
      <c r="N219" s="65" t="n"/>
      <c r="O219" s="65" t="n"/>
      <c r="P219" s="65" t="n"/>
      <c r="Q219" s="65" t="n"/>
      <c r="R219" s="65" t="n"/>
      <c r="S219" s="65" t="n"/>
      <c r="T219" s="65" t="n"/>
      <c r="U219" s="65" t="n"/>
      <c r="V219" s="77" t="n"/>
      <c r="W219" s="65" t="n"/>
      <c r="X219" s="65" t="n"/>
      <c r="Y219" s="65" t="n"/>
      <c r="Z219" s="65" t="n"/>
      <c r="AA219" s="65" t="n"/>
      <c r="AB219" s="65" t="n"/>
      <c r="AC219" s="65" t="n"/>
      <c r="AD219" s="65" t="n"/>
      <c r="AE219" s="65" t="n"/>
      <c r="AF219" s="65" t="n"/>
      <c r="AG219" s="65" t="n"/>
      <c r="AH219" s="65" t="n"/>
      <c r="AI219" s="65" t="n"/>
      <c r="AJ219" s="65" t="n"/>
      <c r="AK219" s="65" t="n"/>
      <c r="AL219" s="65" t="n"/>
      <c r="AM219" s="65" t="n"/>
      <c r="AN219" s="65" t="n"/>
      <c r="AO219" s="65" t="n"/>
      <c r="AP219" s="65" t="n"/>
    </row>
    <row r="220">
      <c r="F220" s="68" t="n"/>
      <c r="G220" s="68">
        <f>IF(B220="","",F220-I220 )</f>
        <v/>
      </c>
      <c r="H220" s="5">
        <f>IF(G220="","",G220/F220)</f>
        <v/>
      </c>
      <c r="J220" s="65" t="n"/>
      <c r="K220" s="65" t="n"/>
      <c r="L220" s="65" t="n"/>
      <c r="M220" s="65" t="n"/>
      <c r="N220" s="65" t="n"/>
      <c r="O220" s="65" t="n"/>
      <c r="P220" s="65" t="n"/>
      <c r="Q220" s="65" t="n"/>
      <c r="R220" s="65" t="n"/>
      <c r="S220" s="65" t="n"/>
      <c r="T220" s="65" t="n"/>
      <c r="U220" s="65" t="n"/>
      <c r="V220" s="77" t="n"/>
      <c r="W220" s="65" t="n"/>
      <c r="X220" s="65" t="n"/>
      <c r="Y220" s="65" t="n"/>
      <c r="Z220" s="65" t="n"/>
      <c r="AA220" s="65" t="n"/>
      <c r="AB220" s="65" t="n"/>
      <c r="AC220" s="65" t="n"/>
      <c r="AD220" s="65" t="n"/>
      <c r="AE220" s="65" t="n"/>
      <c r="AF220" s="65" t="n"/>
      <c r="AG220" s="65" t="n"/>
      <c r="AH220" s="65" t="n"/>
      <c r="AI220" s="65" t="n"/>
      <c r="AJ220" s="65" t="n"/>
      <c r="AK220" s="65" t="n"/>
      <c r="AL220" s="65" t="n"/>
      <c r="AM220" s="65" t="n"/>
      <c r="AN220" s="65" t="n"/>
      <c r="AO220" s="65" t="n"/>
      <c r="AP220" s="65" t="n"/>
    </row>
    <row r="221">
      <c r="F221" s="68" t="n"/>
      <c r="G221" s="68">
        <f>IF(B221="","",F221-I221 )</f>
        <v/>
      </c>
      <c r="H221" s="5">
        <f>IF(G221="","",G221/F221)</f>
        <v/>
      </c>
      <c r="J221" s="65" t="n"/>
      <c r="K221" s="65" t="n"/>
      <c r="L221" s="65" t="n"/>
      <c r="M221" s="65" t="n"/>
      <c r="N221" s="65" t="n"/>
      <c r="O221" s="65" t="n"/>
      <c r="P221" s="65" t="n"/>
      <c r="Q221" s="65" t="n"/>
      <c r="R221" s="65" t="n"/>
      <c r="S221" s="65" t="n"/>
      <c r="T221" s="65" t="n"/>
      <c r="U221" s="65" t="n"/>
      <c r="V221" s="77" t="n"/>
      <c r="W221" s="65" t="n"/>
      <c r="X221" s="65" t="n"/>
      <c r="Y221" s="65" t="n"/>
      <c r="Z221" s="65" t="n"/>
      <c r="AA221" s="65" t="n"/>
      <c r="AB221" s="65" t="n"/>
      <c r="AC221" s="65" t="n"/>
      <c r="AD221" s="65" t="n"/>
      <c r="AE221" s="65" t="n"/>
      <c r="AF221" s="65" t="n"/>
      <c r="AG221" s="65" t="n"/>
      <c r="AH221" s="65" t="n"/>
      <c r="AI221" s="65" t="n"/>
      <c r="AJ221" s="65" t="n"/>
      <c r="AK221" s="65" t="n"/>
      <c r="AL221" s="65" t="n"/>
      <c r="AM221" s="65" t="n"/>
      <c r="AN221" s="65" t="n"/>
      <c r="AO221" s="65" t="n"/>
      <c r="AP221" s="65" t="n"/>
    </row>
    <row r="222">
      <c r="F222" s="68" t="n"/>
      <c r="G222" s="68">
        <f>IF(B222="","",F222-I222 )</f>
        <v/>
      </c>
      <c r="H222" s="5">
        <f>IF(G222="","",G222/F222)</f>
        <v/>
      </c>
      <c r="J222" s="65" t="n"/>
      <c r="K222" s="65" t="n"/>
      <c r="L222" s="65" t="n"/>
      <c r="M222" s="65" t="n"/>
      <c r="N222" s="65" t="n"/>
      <c r="O222" s="65" t="n"/>
      <c r="P222" s="65" t="n"/>
      <c r="Q222" s="65" t="n"/>
      <c r="R222" s="65" t="n"/>
      <c r="S222" s="65" t="n"/>
      <c r="T222" s="65" t="n"/>
      <c r="U222" s="65" t="n"/>
      <c r="V222" s="77" t="n"/>
      <c r="W222" s="65" t="n"/>
      <c r="X222" s="65" t="n"/>
      <c r="Y222" s="65" t="n"/>
      <c r="Z222" s="65" t="n"/>
      <c r="AA222" s="65" t="n"/>
      <c r="AB222" s="65" t="n"/>
      <c r="AC222" s="65" t="n"/>
      <c r="AD222" s="65" t="n"/>
      <c r="AE222" s="65" t="n"/>
      <c r="AF222" s="65" t="n"/>
      <c r="AG222" s="65" t="n"/>
      <c r="AH222" s="65" t="n"/>
      <c r="AI222" s="65" t="n"/>
      <c r="AJ222" s="65" t="n"/>
      <c r="AK222" s="65" t="n"/>
      <c r="AL222" s="65" t="n"/>
      <c r="AM222" s="65" t="n"/>
      <c r="AN222" s="65" t="n"/>
      <c r="AO222" s="65" t="n"/>
      <c r="AP222" s="65" t="n"/>
    </row>
    <row r="223">
      <c r="F223" s="68" t="n"/>
      <c r="G223" s="68">
        <f>IF(B223="","",F223-I223 )</f>
        <v/>
      </c>
      <c r="H223" s="5">
        <f>IF(G223="","",G223/F223)</f>
        <v/>
      </c>
      <c r="J223" s="65" t="n"/>
      <c r="K223" s="65" t="n"/>
      <c r="L223" s="65" t="n"/>
      <c r="M223" s="65" t="n"/>
      <c r="N223" s="65" t="n"/>
      <c r="O223" s="65" t="n"/>
      <c r="P223" s="65" t="n"/>
      <c r="Q223" s="65" t="n"/>
      <c r="R223" s="65" t="n"/>
      <c r="S223" s="65" t="n"/>
      <c r="T223" s="65" t="n"/>
      <c r="U223" s="65" t="n"/>
      <c r="V223" s="77" t="n"/>
      <c r="W223" s="65" t="n"/>
      <c r="X223" s="65" t="n"/>
      <c r="Y223" s="65" t="n"/>
      <c r="Z223" s="65" t="n"/>
      <c r="AA223" s="65" t="n"/>
      <c r="AB223" s="65" t="n"/>
      <c r="AC223" s="65" t="n"/>
      <c r="AD223" s="65" t="n"/>
      <c r="AE223" s="65" t="n"/>
      <c r="AF223" s="65" t="n"/>
      <c r="AG223" s="65" t="n"/>
      <c r="AH223" s="65" t="n"/>
      <c r="AI223" s="65" t="n"/>
      <c r="AJ223" s="65" t="n"/>
      <c r="AK223" s="65" t="n"/>
      <c r="AL223" s="65" t="n"/>
      <c r="AM223" s="65" t="n"/>
      <c r="AN223" s="65" t="n"/>
      <c r="AO223" s="65" t="n"/>
      <c r="AP223" s="65" t="n"/>
    </row>
    <row r="224">
      <c r="F224" s="68" t="n"/>
      <c r="G224" s="68">
        <f>IF(B224="","",F224-I224 )</f>
        <v/>
      </c>
      <c r="H224" s="5">
        <f>IF(G224="","",G224/F224)</f>
        <v/>
      </c>
      <c r="J224" s="65" t="n"/>
      <c r="K224" s="65" t="n"/>
      <c r="L224" s="65" t="n"/>
      <c r="M224" s="65" t="n"/>
      <c r="N224" s="65" t="n"/>
      <c r="O224" s="65" t="n"/>
      <c r="P224" s="65" t="n"/>
      <c r="Q224" s="65" t="n"/>
      <c r="R224" s="65" t="n"/>
      <c r="S224" s="65" t="n"/>
      <c r="T224" s="65" t="n"/>
      <c r="U224" s="65" t="n"/>
      <c r="V224" s="77" t="n"/>
      <c r="W224" s="65" t="n"/>
      <c r="X224" s="65" t="n"/>
      <c r="Y224" s="65" t="n"/>
      <c r="Z224" s="65" t="n"/>
      <c r="AA224" s="65" t="n"/>
      <c r="AB224" s="65" t="n"/>
      <c r="AC224" s="65" t="n"/>
      <c r="AD224" s="65" t="n"/>
      <c r="AE224" s="65" t="n"/>
      <c r="AF224" s="65" t="n"/>
      <c r="AG224" s="65" t="n"/>
      <c r="AH224" s="65" t="n"/>
      <c r="AI224" s="65" t="n"/>
      <c r="AJ224" s="65" t="n"/>
      <c r="AK224" s="65" t="n"/>
      <c r="AL224" s="65" t="n"/>
      <c r="AM224" s="65" t="n"/>
      <c r="AN224" s="65" t="n"/>
      <c r="AO224" s="65" t="n"/>
      <c r="AP224" s="65" t="n"/>
    </row>
    <row r="225">
      <c r="F225" s="68" t="n"/>
      <c r="G225" s="68">
        <f>IF(B225="","",F225-I225 )</f>
        <v/>
      </c>
      <c r="H225" s="5">
        <f>IF(G225="","",G225/F225)</f>
        <v/>
      </c>
      <c r="J225" s="65" t="n"/>
      <c r="K225" s="65" t="n"/>
      <c r="L225" s="65" t="n"/>
      <c r="M225" s="65" t="n"/>
      <c r="N225" s="65" t="n"/>
      <c r="O225" s="65" t="n"/>
      <c r="P225" s="65" t="n"/>
      <c r="Q225" s="65" t="n"/>
      <c r="R225" s="65" t="n"/>
      <c r="S225" s="65" t="n"/>
      <c r="T225" s="65" t="n"/>
      <c r="U225" s="65" t="n"/>
      <c r="V225" s="77" t="n"/>
      <c r="W225" s="65" t="n"/>
      <c r="X225" s="65" t="n"/>
      <c r="Y225" s="65" t="n"/>
      <c r="Z225" s="65" t="n"/>
      <c r="AA225" s="65" t="n"/>
      <c r="AB225" s="65" t="n"/>
      <c r="AC225" s="65" t="n"/>
      <c r="AD225" s="65" t="n"/>
      <c r="AE225" s="65" t="n"/>
      <c r="AF225" s="65" t="n"/>
      <c r="AG225" s="65" t="n"/>
      <c r="AH225" s="65" t="n"/>
      <c r="AI225" s="65" t="n"/>
      <c r="AJ225" s="65" t="n"/>
      <c r="AK225" s="65" t="n"/>
      <c r="AL225" s="65" t="n"/>
      <c r="AM225" s="65" t="n"/>
      <c r="AN225" s="65" t="n"/>
      <c r="AO225" s="65" t="n"/>
      <c r="AP225" s="65" t="n"/>
    </row>
    <row r="226">
      <c r="F226" s="68" t="n"/>
      <c r="G226" s="68">
        <f>IF(B226="","",F226-I226 )</f>
        <v/>
      </c>
      <c r="H226" s="5">
        <f>IF(G226="","",G226/F226)</f>
        <v/>
      </c>
      <c r="J226" s="65" t="n"/>
      <c r="K226" s="65" t="n"/>
      <c r="L226" s="65" t="n"/>
      <c r="M226" s="65" t="n"/>
      <c r="N226" s="65" t="n"/>
      <c r="O226" s="65" t="n"/>
      <c r="P226" s="65" t="n"/>
      <c r="Q226" s="65" t="n"/>
      <c r="R226" s="65" t="n"/>
      <c r="S226" s="65" t="n"/>
      <c r="T226" s="65" t="n"/>
      <c r="U226" s="65" t="n"/>
      <c r="V226" s="77" t="n"/>
      <c r="W226" s="65" t="n"/>
      <c r="X226" s="65" t="n"/>
      <c r="Y226" s="65" t="n"/>
      <c r="Z226" s="65" t="n"/>
      <c r="AA226" s="65" t="n"/>
      <c r="AB226" s="65" t="n"/>
      <c r="AC226" s="65" t="n"/>
      <c r="AD226" s="65" t="n"/>
      <c r="AE226" s="65" t="n"/>
      <c r="AF226" s="65" t="n"/>
      <c r="AG226" s="65" t="n"/>
      <c r="AH226" s="65" t="n"/>
      <c r="AI226" s="65" t="n"/>
      <c r="AJ226" s="65" t="n"/>
      <c r="AK226" s="65" t="n"/>
      <c r="AL226" s="65" t="n"/>
      <c r="AM226" s="65" t="n"/>
      <c r="AN226" s="65" t="n"/>
      <c r="AO226" s="65" t="n"/>
      <c r="AP226" s="65" t="n"/>
    </row>
    <row r="227">
      <c r="F227" s="68" t="n"/>
      <c r="G227" s="68">
        <f>IF(B227="","",F227-I227 )</f>
        <v/>
      </c>
      <c r="H227" s="5">
        <f>IF(G227="","",G227/F227)</f>
        <v/>
      </c>
      <c r="J227" s="65" t="n"/>
      <c r="K227" s="65" t="n"/>
      <c r="L227" s="65" t="n"/>
      <c r="M227" s="65" t="n"/>
      <c r="N227" s="65" t="n"/>
      <c r="O227" s="65" t="n"/>
      <c r="P227" s="65" t="n"/>
      <c r="Q227" s="65" t="n"/>
      <c r="R227" s="65" t="n"/>
      <c r="S227" s="65" t="n"/>
      <c r="T227" s="65" t="n"/>
      <c r="U227" s="65" t="n"/>
      <c r="V227" s="77" t="n"/>
      <c r="W227" s="65" t="n"/>
      <c r="X227" s="65" t="n"/>
      <c r="Y227" s="65" t="n"/>
      <c r="Z227" s="65" t="n"/>
      <c r="AA227" s="65" t="n"/>
      <c r="AB227" s="65" t="n"/>
      <c r="AC227" s="65" t="n"/>
      <c r="AD227" s="65" t="n"/>
      <c r="AE227" s="65" t="n"/>
      <c r="AF227" s="65" t="n"/>
      <c r="AG227" s="65" t="n"/>
      <c r="AH227" s="65" t="n"/>
      <c r="AI227" s="65" t="n"/>
      <c r="AJ227" s="65" t="n"/>
      <c r="AK227" s="65" t="n"/>
      <c r="AL227" s="65" t="n"/>
      <c r="AM227" s="65" t="n"/>
      <c r="AN227" s="65" t="n"/>
      <c r="AO227" s="65" t="n"/>
      <c r="AP227" s="65" t="n"/>
    </row>
    <row r="228">
      <c r="F228" s="68" t="n"/>
      <c r="G228" s="68">
        <f>IF(B228="","",F228-I228 )</f>
        <v/>
      </c>
      <c r="H228" s="5">
        <f>IF(G228="","",G228/F228)</f>
        <v/>
      </c>
      <c r="J228" s="65" t="n"/>
      <c r="K228" s="65" t="n"/>
      <c r="L228" s="65" t="n"/>
      <c r="M228" s="65" t="n"/>
      <c r="N228" s="65" t="n"/>
      <c r="O228" s="65" t="n"/>
      <c r="P228" s="65" t="n"/>
      <c r="Q228" s="65" t="n"/>
      <c r="R228" s="65" t="n"/>
      <c r="S228" s="65" t="n"/>
      <c r="T228" s="65" t="n"/>
      <c r="U228" s="65" t="n"/>
      <c r="V228" s="77" t="n"/>
      <c r="W228" s="65" t="n"/>
      <c r="X228" s="65" t="n"/>
      <c r="Y228" s="65" t="n"/>
      <c r="Z228" s="65" t="n"/>
      <c r="AA228" s="65" t="n"/>
      <c r="AB228" s="65" t="n"/>
      <c r="AC228" s="65" t="n"/>
      <c r="AD228" s="65" t="n"/>
      <c r="AE228" s="65" t="n"/>
      <c r="AF228" s="65" t="n"/>
      <c r="AG228" s="65" t="n"/>
      <c r="AH228" s="65" t="n"/>
      <c r="AI228" s="65" t="n"/>
      <c r="AJ228" s="65" t="n"/>
      <c r="AK228" s="65" t="n"/>
      <c r="AL228" s="65" t="n"/>
      <c r="AM228" s="65" t="n"/>
      <c r="AN228" s="65" t="n"/>
      <c r="AO228" s="65" t="n"/>
      <c r="AP228" s="65" t="n"/>
    </row>
    <row r="229">
      <c r="F229" s="68" t="n"/>
      <c r="G229" s="68">
        <f>IF(B229="","",F229-I229 )</f>
        <v/>
      </c>
      <c r="H229" s="5">
        <f>IF(G229="","",G229/F229)</f>
        <v/>
      </c>
      <c r="J229" s="65" t="n"/>
      <c r="K229" s="65" t="n"/>
      <c r="L229" s="65" t="n"/>
      <c r="M229" s="65" t="n"/>
      <c r="N229" s="65" t="n"/>
      <c r="O229" s="65" t="n"/>
      <c r="P229" s="65" t="n"/>
      <c r="Q229" s="65" t="n"/>
      <c r="R229" s="65" t="n"/>
      <c r="S229" s="65" t="n"/>
      <c r="T229" s="65" t="n"/>
      <c r="U229" s="65" t="n"/>
      <c r="V229" s="77" t="n"/>
      <c r="W229" s="65" t="n"/>
      <c r="X229" s="65" t="n"/>
      <c r="Y229" s="65" t="n"/>
      <c r="Z229" s="65" t="n"/>
      <c r="AA229" s="65" t="n"/>
      <c r="AB229" s="65" t="n"/>
      <c r="AC229" s="65" t="n"/>
      <c r="AD229" s="65" t="n"/>
      <c r="AE229" s="65" t="n"/>
      <c r="AF229" s="65" t="n"/>
      <c r="AG229" s="65" t="n"/>
      <c r="AH229" s="65" t="n"/>
      <c r="AI229" s="65" t="n"/>
      <c r="AJ229" s="65" t="n"/>
      <c r="AK229" s="65" t="n"/>
      <c r="AL229" s="65" t="n"/>
      <c r="AM229" s="65" t="n"/>
      <c r="AN229" s="65" t="n"/>
      <c r="AO229" s="65" t="n"/>
      <c r="AP229" s="65" t="n"/>
    </row>
    <row r="230">
      <c r="F230" s="68" t="n"/>
      <c r="G230" s="68">
        <f>IF(B230="","",F230-I230 )</f>
        <v/>
      </c>
      <c r="H230" s="5">
        <f>IF(G230="","",G230/F230)</f>
        <v/>
      </c>
      <c r="J230" s="65" t="n"/>
      <c r="K230" s="65" t="n"/>
      <c r="L230" s="65" t="n"/>
      <c r="M230" s="65" t="n"/>
      <c r="N230" s="65" t="n"/>
      <c r="O230" s="65" t="n"/>
      <c r="P230" s="65" t="n"/>
      <c r="Q230" s="65" t="n"/>
      <c r="R230" s="65" t="n"/>
      <c r="S230" s="65" t="n"/>
      <c r="T230" s="65" t="n"/>
      <c r="U230" s="65" t="n"/>
      <c r="V230" s="77" t="n"/>
      <c r="W230" s="65" t="n"/>
      <c r="X230" s="65" t="n"/>
      <c r="Y230" s="65" t="n"/>
      <c r="Z230" s="65" t="n"/>
      <c r="AA230" s="65" t="n"/>
      <c r="AB230" s="65" t="n"/>
      <c r="AC230" s="65" t="n"/>
      <c r="AD230" s="65" t="n"/>
      <c r="AE230" s="65" t="n"/>
      <c r="AF230" s="65" t="n"/>
      <c r="AG230" s="65" t="n"/>
      <c r="AH230" s="65" t="n"/>
      <c r="AI230" s="65" t="n"/>
      <c r="AJ230" s="65" t="n"/>
      <c r="AK230" s="65" t="n"/>
      <c r="AL230" s="65" t="n"/>
      <c r="AM230" s="65" t="n"/>
      <c r="AN230" s="65" t="n"/>
      <c r="AO230" s="65" t="n"/>
      <c r="AP230" s="65" t="n"/>
    </row>
    <row r="231">
      <c r="F231" s="68" t="n"/>
      <c r="G231" s="68">
        <f>IF(B231="","",F231-I231 )</f>
        <v/>
      </c>
      <c r="H231" s="5">
        <f>IF(G231="","",G231/F231)</f>
        <v/>
      </c>
      <c r="J231" s="65" t="n"/>
      <c r="K231" s="65" t="n"/>
      <c r="L231" s="65" t="n"/>
      <c r="M231" s="65" t="n"/>
      <c r="N231" s="65" t="n"/>
      <c r="O231" s="65" t="n"/>
      <c r="P231" s="65" t="n"/>
      <c r="Q231" s="65" t="n"/>
      <c r="R231" s="65" t="n"/>
      <c r="S231" s="65" t="n"/>
      <c r="T231" s="65" t="n"/>
      <c r="U231" s="65" t="n"/>
      <c r="V231" s="77" t="n"/>
      <c r="W231" s="65" t="n"/>
      <c r="X231" s="65" t="n"/>
      <c r="Y231" s="65" t="n"/>
      <c r="Z231" s="65" t="n"/>
      <c r="AA231" s="65" t="n"/>
      <c r="AB231" s="65" t="n"/>
      <c r="AC231" s="65" t="n"/>
      <c r="AD231" s="65" t="n"/>
      <c r="AE231" s="65" t="n"/>
      <c r="AF231" s="65" t="n"/>
      <c r="AG231" s="65" t="n"/>
      <c r="AH231" s="65" t="n"/>
      <c r="AI231" s="65" t="n"/>
      <c r="AJ231" s="65" t="n"/>
      <c r="AK231" s="65" t="n"/>
      <c r="AL231" s="65" t="n"/>
      <c r="AM231" s="65" t="n"/>
      <c r="AN231" s="65" t="n"/>
      <c r="AO231" s="65" t="n"/>
      <c r="AP231" s="65" t="n"/>
    </row>
    <row r="232">
      <c r="F232" s="68" t="n"/>
      <c r="G232" s="68">
        <f>IF(B232="","",F232-I232 )</f>
        <v/>
      </c>
      <c r="H232" s="5">
        <f>IF(G232="","",G232/F232)</f>
        <v/>
      </c>
      <c r="J232" s="65" t="n"/>
      <c r="K232" s="65" t="n"/>
      <c r="L232" s="65" t="n"/>
      <c r="M232" s="65" t="n"/>
      <c r="N232" s="65" t="n"/>
      <c r="O232" s="65" t="n"/>
      <c r="P232" s="65" t="n"/>
      <c r="Q232" s="65" t="n"/>
      <c r="R232" s="65" t="n"/>
      <c r="S232" s="65" t="n"/>
      <c r="T232" s="65" t="n"/>
      <c r="U232" s="65" t="n"/>
      <c r="V232" s="77" t="n"/>
      <c r="W232" s="65" t="n"/>
      <c r="X232" s="65" t="n"/>
      <c r="Y232" s="65" t="n"/>
      <c r="Z232" s="65" t="n"/>
      <c r="AA232" s="65" t="n"/>
      <c r="AB232" s="65" t="n"/>
      <c r="AC232" s="65" t="n"/>
      <c r="AD232" s="65" t="n"/>
      <c r="AE232" s="65" t="n"/>
      <c r="AF232" s="65" t="n"/>
      <c r="AG232" s="65" t="n"/>
      <c r="AH232" s="65" t="n"/>
      <c r="AI232" s="65" t="n"/>
      <c r="AJ232" s="65" t="n"/>
      <c r="AK232" s="65" t="n"/>
      <c r="AL232" s="65" t="n"/>
      <c r="AM232" s="65" t="n"/>
      <c r="AN232" s="65" t="n"/>
      <c r="AO232" s="65" t="n"/>
      <c r="AP232" s="65" t="n"/>
    </row>
    <row r="233">
      <c r="F233" s="68" t="n"/>
      <c r="G233" s="68">
        <f>IF(B233="","",F233-I233 )</f>
        <v/>
      </c>
      <c r="H233" s="5">
        <f>IF(G233="","",G233/F233)</f>
        <v/>
      </c>
      <c r="J233" s="65" t="n"/>
      <c r="K233" s="65" t="n"/>
      <c r="L233" s="65" t="n"/>
      <c r="M233" s="65" t="n"/>
      <c r="N233" s="65" t="n"/>
      <c r="O233" s="65" t="n"/>
      <c r="P233" s="65" t="n"/>
      <c r="Q233" s="65" t="n"/>
      <c r="R233" s="65" t="n"/>
      <c r="S233" s="65" t="n"/>
      <c r="T233" s="65" t="n"/>
      <c r="U233" s="65" t="n"/>
      <c r="V233" s="77" t="n"/>
      <c r="W233" s="65" t="n"/>
      <c r="X233" s="65" t="n"/>
      <c r="Y233" s="65" t="n"/>
      <c r="Z233" s="65" t="n"/>
      <c r="AA233" s="65" t="n"/>
      <c r="AB233" s="65" t="n"/>
      <c r="AC233" s="65" t="n"/>
      <c r="AD233" s="65" t="n"/>
      <c r="AE233" s="65" t="n"/>
      <c r="AF233" s="65" t="n"/>
      <c r="AG233" s="65" t="n"/>
      <c r="AH233" s="65" t="n"/>
      <c r="AI233" s="65" t="n"/>
      <c r="AJ233" s="65" t="n"/>
      <c r="AK233" s="65" t="n"/>
      <c r="AL233" s="65" t="n"/>
      <c r="AM233" s="65" t="n"/>
      <c r="AN233" s="65" t="n"/>
      <c r="AO233" s="65" t="n"/>
      <c r="AP233" s="65" t="n"/>
    </row>
    <row r="234">
      <c r="F234" s="68" t="n"/>
      <c r="G234" s="68">
        <f>IF(B234="","",F234-I234 )</f>
        <v/>
      </c>
      <c r="H234" s="5">
        <f>IF(G234="","",G234/F234)</f>
        <v/>
      </c>
      <c r="J234" s="65" t="n"/>
      <c r="K234" s="65" t="n"/>
      <c r="L234" s="65" t="n"/>
      <c r="M234" s="65" t="n"/>
      <c r="N234" s="65" t="n"/>
      <c r="O234" s="65" t="n"/>
      <c r="P234" s="65" t="n"/>
      <c r="Q234" s="65" t="n"/>
      <c r="R234" s="65" t="n"/>
      <c r="S234" s="65" t="n"/>
      <c r="T234" s="65" t="n"/>
      <c r="U234" s="65" t="n"/>
      <c r="V234" s="77" t="n"/>
      <c r="W234" s="65" t="n"/>
      <c r="X234" s="65" t="n"/>
      <c r="Y234" s="65" t="n"/>
      <c r="Z234" s="65" t="n"/>
      <c r="AA234" s="65" t="n"/>
      <c r="AB234" s="65" t="n"/>
      <c r="AC234" s="65" t="n"/>
      <c r="AD234" s="65" t="n"/>
      <c r="AE234" s="65" t="n"/>
      <c r="AF234" s="65" t="n"/>
      <c r="AG234" s="65" t="n"/>
      <c r="AH234" s="65" t="n"/>
      <c r="AI234" s="65" t="n"/>
      <c r="AJ234" s="65" t="n"/>
      <c r="AK234" s="65" t="n"/>
      <c r="AL234" s="65" t="n"/>
      <c r="AM234" s="65" t="n"/>
      <c r="AN234" s="65" t="n"/>
      <c r="AO234" s="65" t="n"/>
      <c r="AP234" s="65" t="n"/>
    </row>
    <row r="235">
      <c r="F235" s="68" t="n"/>
      <c r="G235" s="68">
        <f>IF(B235="","",F235-I235 )</f>
        <v/>
      </c>
      <c r="H235" s="5">
        <f>IF(G235="","",G235/F235)</f>
        <v/>
      </c>
      <c r="J235" s="65" t="n"/>
      <c r="K235" s="65" t="n"/>
      <c r="L235" s="65" t="n"/>
      <c r="M235" s="65" t="n"/>
      <c r="N235" s="65" t="n"/>
      <c r="O235" s="65" t="n"/>
      <c r="P235" s="65" t="n"/>
      <c r="Q235" s="65" t="n"/>
      <c r="R235" s="65" t="n"/>
      <c r="S235" s="65" t="n"/>
      <c r="T235" s="65" t="n"/>
      <c r="U235" s="65" t="n"/>
      <c r="V235" s="77" t="n"/>
      <c r="W235" s="65" t="n"/>
      <c r="X235" s="65" t="n"/>
      <c r="Y235" s="65" t="n"/>
      <c r="Z235" s="65" t="n"/>
      <c r="AA235" s="65" t="n"/>
      <c r="AB235" s="65" t="n"/>
      <c r="AC235" s="65" t="n"/>
      <c r="AD235" s="65" t="n"/>
      <c r="AE235" s="65" t="n"/>
      <c r="AF235" s="65" t="n"/>
      <c r="AG235" s="65" t="n"/>
      <c r="AH235" s="65" t="n"/>
      <c r="AI235" s="65" t="n"/>
      <c r="AJ235" s="65" t="n"/>
      <c r="AK235" s="65" t="n"/>
      <c r="AL235" s="65" t="n"/>
      <c r="AM235" s="65" t="n"/>
      <c r="AN235" s="65" t="n"/>
      <c r="AO235" s="65" t="n"/>
      <c r="AP235" s="65" t="n"/>
    </row>
    <row r="236">
      <c r="F236" s="68" t="n"/>
      <c r="G236" s="68">
        <f>IF(B236="","",F236-I236 )</f>
        <v/>
      </c>
      <c r="H236" s="5">
        <f>IF(G236="","",G236/F236)</f>
        <v/>
      </c>
      <c r="J236" s="65" t="n"/>
      <c r="K236" s="65" t="n"/>
      <c r="L236" s="65" t="n"/>
      <c r="M236" s="65" t="n"/>
      <c r="N236" s="65" t="n"/>
      <c r="O236" s="65" t="n"/>
      <c r="P236" s="65" t="n"/>
      <c r="Q236" s="65" t="n"/>
      <c r="R236" s="65" t="n"/>
      <c r="S236" s="65" t="n"/>
      <c r="T236" s="65" t="n"/>
      <c r="U236" s="65" t="n"/>
      <c r="V236" s="77" t="n"/>
      <c r="W236" s="65" t="n"/>
      <c r="X236" s="65" t="n"/>
      <c r="Y236" s="65" t="n"/>
      <c r="Z236" s="65" t="n"/>
      <c r="AA236" s="65" t="n"/>
      <c r="AB236" s="65" t="n"/>
      <c r="AC236" s="65" t="n"/>
      <c r="AD236" s="65" t="n"/>
      <c r="AE236" s="65" t="n"/>
      <c r="AF236" s="65" t="n"/>
      <c r="AG236" s="65" t="n"/>
      <c r="AH236" s="65" t="n"/>
      <c r="AI236" s="65" t="n"/>
      <c r="AJ236" s="65" t="n"/>
      <c r="AK236" s="65" t="n"/>
      <c r="AL236" s="65" t="n"/>
      <c r="AM236" s="65" t="n"/>
      <c r="AN236" s="65" t="n"/>
      <c r="AO236" s="65" t="n"/>
      <c r="AP236" s="65" t="n"/>
    </row>
    <row r="237">
      <c r="F237" s="68" t="n"/>
      <c r="G237" s="68">
        <f>IF(B237="","",F237-I237 )</f>
        <v/>
      </c>
      <c r="H237" s="5">
        <f>IF(G237="","",G237/F237)</f>
        <v/>
      </c>
      <c r="J237" s="65" t="n"/>
      <c r="K237" s="65" t="n"/>
      <c r="L237" s="65" t="n"/>
      <c r="M237" s="65" t="n"/>
      <c r="N237" s="65" t="n"/>
      <c r="O237" s="65" t="n"/>
      <c r="P237" s="65" t="n"/>
      <c r="Q237" s="65" t="n"/>
      <c r="R237" s="65" t="n"/>
      <c r="S237" s="65" t="n"/>
      <c r="T237" s="65" t="n"/>
      <c r="U237" s="65" t="n"/>
      <c r="V237" s="77" t="n"/>
      <c r="W237" s="65" t="n"/>
      <c r="X237" s="65" t="n"/>
      <c r="Y237" s="65" t="n"/>
      <c r="Z237" s="65" t="n"/>
      <c r="AA237" s="65" t="n"/>
      <c r="AB237" s="65" t="n"/>
      <c r="AC237" s="65" t="n"/>
      <c r="AD237" s="65" t="n"/>
      <c r="AE237" s="65" t="n"/>
      <c r="AF237" s="65" t="n"/>
      <c r="AG237" s="65" t="n"/>
      <c r="AH237" s="65" t="n"/>
      <c r="AI237" s="65" t="n"/>
      <c r="AJ237" s="65" t="n"/>
      <c r="AK237" s="65" t="n"/>
      <c r="AL237" s="65" t="n"/>
      <c r="AM237" s="65" t="n"/>
      <c r="AN237" s="65" t="n"/>
      <c r="AO237" s="65" t="n"/>
      <c r="AP237" s="65" t="n"/>
    </row>
    <row r="238">
      <c r="F238" s="68" t="n"/>
      <c r="G238" s="68">
        <f>IF(B238="","",F238-I238 )</f>
        <v/>
      </c>
      <c r="H238" s="5">
        <f>IF(G238="","",G238/F238)</f>
        <v/>
      </c>
      <c r="J238" s="65" t="n"/>
      <c r="K238" s="65" t="n"/>
      <c r="L238" s="65" t="n"/>
      <c r="M238" s="65" t="n"/>
      <c r="N238" s="65" t="n"/>
      <c r="O238" s="65" t="n"/>
      <c r="P238" s="65" t="n"/>
      <c r="Q238" s="65" t="n"/>
      <c r="R238" s="65" t="n"/>
      <c r="S238" s="65" t="n"/>
      <c r="T238" s="65" t="n"/>
      <c r="U238" s="65" t="n"/>
      <c r="V238" s="77" t="n"/>
      <c r="W238" s="65" t="n"/>
      <c r="X238" s="65" t="n"/>
      <c r="Y238" s="65" t="n"/>
      <c r="Z238" s="65" t="n"/>
      <c r="AA238" s="65" t="n"/>
      <c r="AB238" s="65" t="n"/>
      <c r="AC238" s="65" t="n"/>
      <c r="AD238" s="65" t="n"/>
      <c r="AE238" s="65" t="n"/>
      <c r="AF238" s="65" t="n"/>
      <c r="AG238" s="65" t="n"/>
      <c r="AH238" s="65" t="n"/>
      <c r="AI238" s="65" t="n"/>
      <c r="AJ238" s="65" t="n"/>
      <c r="AK238" s="65" t="n"/>
      <c r="AL238" s="65" t="n"/>
      <c r="AM238" s="65" t="n"/>
      <c r="AN238" s="65" t="n"/>
      <c r="AO238" s="65" t="n"/>
      <c r="AP238" s="65" t="n"/>
    </row>
    <row r="239">
      <c r="F239" s="68" t="n"/>
      <c r="G239" s="68">
        <f>IF(B239="","",F239-I239 )</f>
        <v/>
      </c>
      <c r="H239" s="5">
        <f>IF(G239="","",G239/F239)</f>
        <v/>
      </c>
      <c r="J239" s="65" t="n"/>
      <c r="K239" s="65" t="n"/>
      <c r="L239" s="65" t="n"/>
      <c r="M239" s="65" t="n"/>
      <c r="N239" s="65" t="n"/>
      <c r="O239" s="65" t="n"/>
      <c r="P239" s="65" t="n"/>
      <c r="Q239" s="65" t="n"/>
      <c r="R239" s="65" t="n"/>
      <c r="S239" s="65" t="n"/>
      <c r="T239" s="65" t="n"/>
      <c r="U239" s="65" t="n"/>
      <c r="V239" s="77" t="n"/>
      <c r="W239" s="65" t="n"/>
      <c r="X239" s="65" t="n"/>
      <c r="Y239" s="65" t="n"/>
      <c r="Z239" s="65" t="n"/>
      <c r="AA239" s="65" t="n"/>
      <c r="AB239" s="65" t="n"/>
      <c r="AC239" s="65" t="n"/>
      <c r="AD239" s="65" t="n"/>
      <c r="AE239" s="65" t="n"/>
      <c r="AF239" s="65" t="n"/>
      <c r="AG239" s="65" t="n"/>
      <c r="AH239" s="65" t="n"/>
      <c r="AI239" s="65" t="n"/>
      <c r="AJ239" s="65" t="n"/>
      <c r="AK239" s="65" t="n"/>
      <c r="AL239" s="65" t="n"/>
      <c r="AM239" s="65" t="n"/>
      <c r="AN239" s="65" t="n"/>
      <c r="AO239" s="65" t="n"/>
      <c r="AP239" s="65" t="n"/>
    </row>
    <row r="240">
      <c r="F240" s="68" t="n"/>
      <c r="G240" s="68">
        <f>IF(B240="","",F240-I240 )</f>
        <v/>
      </c>
      <c r="H240" s="5">
        <f>IF(G240="","",G240/F240)</f>
        <v/>
      </c>
      <c r="J240" s="65" t="n"/>
      <c r="K240" s="65" t="n"/>
      <c r="L240" s="65" t="n"/>
      <c r="M240" s="65" t="n"/>
      <c r="N240" s="65" t="n"/>
      <c r="O240" s="65" t="n"/>
      <c r="P240" s="65" t="n"/>
      <c r="Q240" s="65" t="n"/>
      <c r="R240" s="65" t="n"/>
      <c r="S240" s="65" t="n"/>
      <c r="T240" s="65" t="n"/>
      <c r="U240" s="65" t="n"/>
      <c r="V240" s="77" t="n"/>
      <c r="W240" s="65" t="n"/>
      <c r="X240" s="65" t="n"/>
      <c r="Y240" s="65" t="n"/>
      <c r="Z240" s="65" t="n"/>
      <c r="AA240" s="65" t="n"/>
      <c r="AB240" s="65" t="n"/>
      <c r="AC240" s="65" t="n"/>
      <c r="AD240" s="65" t="n"/>
      <c r="AE240" s="65" t="n"/>
      <c r="AF240" s="65" t="n"/>
      <c r="AG240" s="65" t="n"/>
      <c r="AH240" s="65" t="n"/>
      <c r="AI240" s="65" t="n"/>
      <c r="AJ240" s="65" t="n"/>
      <c r="AK240" s="65" t="n"/>
      <c r="AL240" s="65" t="n"/>
      <c r="AM240" s="65" t="n"/>
      <c r="AN240" s="65" t="n"/>
      <c r="AO240" s="65" t="n"/>
      <c r="AP240" s="65" t="n"/>
    </row>
    <row r="241">
      <c r="F241" s="68" t="n"/>
      <c r="G241" s="68">
        <f>IF(B241="","",F241-I241 )</f>
        <v/>
      </c>
      <c r="H241" s="5">
        <f>IF(G241="","",G241/F241)</f>
        <v/>
      </c>
      <c r="J241" s="65" t="n"/>
      <c r="K241" s="65" t="n"/>
      <c r="L241" s="65" t="n"/>
      <c r="M241" s="65" t="n"/>
      <c r="N241" s="65" t="n"/>
      <c r="O241" s="65" t="n"/>
      <c r="P241" s="65" t="n"/>
      <c r="Q241" s="65" t="n"/>
      <c r="R241" s="65" t="n"/>
      <c r="S241" s="65" t="n"/>
      <c r="T241" s="65" t="n"/>
      <c r="U241" s="65" t="n"/>
      <c r="V241" s="77" t="n"/>
      <c r="W241" s="65" t="n"/>
      <c r="X241" s="65" t="n"/>
      <c r="Y241" s="65" t="n"/>
      <c r="Z241" s="65" t="n"/>
      <c r="AA241" s="65" t="n"/>
      <c r="AB241" s="65" t="n"/>
      <c r="AC241" s="65" t="n"/>
      <c r="AD241" s="65" t="n"/>
      <c r="AE241" s="65" t="n"/>
      <c r="AF241" s="65" t="n"/>
      <c r="AG241" s="65" t="n"/>
      <c r="AH241" s="65" t="n"/>
      <c r="AI241" s="65" t="n"/>
      <c r="AJ241" s="65" t="n"/>
      <c r="AK241" s="65" t="n"/>
      <c r="AL241" s="65" t="n"/>
      <c r="AM241" s="65" t="n"/>
      <c r="AN241" s="65" t="n"/>
      <c r="AO241" s="65" t="n"/>
      <c r="AP241" s="65" t="n"/>
    </row>
    <row r="242">
      <c r="F242" s="68" t="n"/>
      <c r="G242" s="68">
        <f>IF(B242="","",F242-I242 )</f>
        <v/>
      </c>
      <c r="H242" s="5">
        <f>IF(G242="","",G242/F242)</f>
        <v/>
      </c>
      <c r="J242" s="65" t="n"/>
      <c r="K242" s="65" t="n"/>
      <c r="L242" s="65" t="n"/>
      <c r="M242" s="65" t="n"/>
      <c r="N242" s="65" t="n"/>
      <c r="O242" s="65" t="n"/>
      <c r="P242" s="65" t="n"/>
      <c r="Q242" s="65" t="n"/>
      <c r="R242" s="65" t="n"/>
      <c r="S242" s="65" t="n"/>
      <c r="T242" s="65" t="n"/>
      <c r="U242" s="65" t="n"/>
      <c r="V242" s="77" t="n"/>
      <c r="W242" s="65" t="n"/>
      <c r="X242" s="65" t="n"/>
      <c r="Y242" s="65" t="n"/>
      <c r="Z242" s="65" t="n"/>
      <c r="AA242" s="65" t="n"/>
      <c r="AB242" s="65" t="n"/>
      <c r="AC242" s="65" t="n"/>
      <c r="AD242" s="65" t="n"/>
      <c r="AE242" s="65" t="n"/>
      <c r="AF242" s="65" t="n"/>
      <c r="AG242" s="65" t="n"/>
      <c r="AH242" s="65" t="n"/>
      <c r="AI242" s="65" t="n"/>
      <c r="AJ242" s="65" t="n"/>
      <c r="AK242" s="65" t="n"/>
      <c r="AL242" s="65" t="n"/>
      <c r="AM242" s="65" t="n"/>
      <c r="AN242" s="65" t="n"/>
      <c r="AO242" s="65" t="n"/>
      <c r="AP242" s="65" t="n"/>
    </row>
    <row r="243">
      <c r="F243" s="68" t="n"/>
      <c r="G243" s="68">
        <f>IF(B243="","",F243-I243 )</f>
        <v/>
      </c>
      <c r="H243" s="5">
        <f>IF(G243="","",G243/F243)</f>
        <v/>
      </c>
      <c r="J243" s="65" t="n"/>
      <c r="K243" s="65" t="n"/>
      <c r="L243" s="65" t="n"/>
      <c r="M243" s="65" t="n"/>
      <c r="N243" s="65" t="n"/>
      <c r="O243" s="65" t="n"/>
      <c r="P243" s="65" t="n"/>
      <c r="Q243" s="65" t="n"/>
      <c r="R243" s="65" t="n"/>
      <c r="S243" s="65" t="n"/>
      <c r="T243" s="65" t="n"/>
      <c r="U243" s="65" t="n"/>
      <c r="V243" s="77" t="n"/>
      <c r="W243" s="65" t="n"/>
      <c r="X243" s="65" t="n"/>
      <c r="Y243" s="65" t="n"/>
      <c r="Z243" s="65" t="n"/>
      <c r="AA243" s="65" t="n"/>
      <c r="AB243" s="65" t="n"/>
      <c r="AC243" s="65" t="n"/>
      <c r="AD243" s="65" t="n"/>
      <c r="AE243" s="65" t="n"/>
      <c r="AF243" s="65" t="n"/>
      <c r="AG243" s="65" t="n"/>
      <c r="AH243" s="65" t="n"/>
      <c r="AI243" s="65" t="n"/>
      <c r="AJ243" s="65" t="n"/>
      <c r="AK243" s="65" t="n"/>
      <c r="AL243" s="65" t="n"/>
      <c r="AM243" s="65" t="n"/>
      <c r="AN243" s="65" t="n"/>
      <c r="AO243" s="65" t="n"/>
      <c r="AP243" s="65" t="n"/>
    </row>
    <row r="244">
      <c r="F244" s="68" t="n"/>
      <c r="G244" s="68">
        <f>IF(B244="","",F244-I244 )</f>
        <v/>
      </c>
      <c r="H244" s="5">
        <f>IF(G244="","",G244/F244)</f>
        <v/>
      </c>
      <c r="J244" s="65" t="n"/>
      <c r="K244" s="65" t="n"/>
      <c r="L244" s="65" t="n"/>
      <c r="M244" s="65" t="n"/>
      <c r="N244" s="65" t="n"/>
      <c r="O244" s="65" t="n"/>
      <c r="P244" s="65" t="n"/>
      <c r="Q244" s="65" t="n"/>
      <c r="R244" s="65" t="n"/>
      <c r="S244" s="65" t="n"/>
      <c r="T244" s="65" t="n"/>
      <c r="U244" s="65" t="n"/>
      <c r="V244" s="77" t="n"/>
      <c r="W244" s="65" t="n"/>
      <c r="X244" s="65" t="n"/>
      <c r="Y244" s="65" t="n"/>
      <c r="Z244" s="65" t="n"/>
      <c r="AA244" s="65" t="n"/>
      <c r="AB244" s="65" t="n"/>
      <c r="AC244" s="65" t="n"/>
      <c r="AD244" s="65" t="n"/>
      <c r="AE244" s="65" t="n"/>
      <c r="AF244" s="65" t="n"/>
      <c r="AG244" s="65" t="n"/>
      <c r="AH244" s="65" t="n"/>
      <c r="AI244" s="65" t="n"/>
      <c r="AJ244" s="65" t="n"/>
      <c r="AK244" s="65" t="n"/>
      <c r="AL244" s="65" t="n"/>
      <c r="AM244" s="65" t="n"/>
      <c r="AN244" s="65" t="n"/>
      <c r="AO244" s="65" t="n"/>
      <c r="AP244" s="65" t="n"/>
    </row>
    <row r="245">
      <c r="F245" s="68" t="n"/>
      <c r="G245" s="68">
        <f>IF(B245="","",F245-I245 )</f>
        <v/>
      </c>
      <c r="H245" s="5">
        <f>IF(G245="","",G245/F245)</f>
        <v/>
      </c>
      <c r="J245" s="65" t="n"/>
      <c r="K245" s="65" t="n"/>
      <c r="L245" s="65" t="n"/>
      <c r="M245" s="65" t="n"/>
      <c r="N245" s="65" t="n"/>
      <c r="O245" s="65" t="n"/>
      <c r="P245" s="65" t="n"/>
      <c r="Q245" s="65" t="n"/>
      <c r="R245" s="65" t="n"/>
      <c r="S245" s="65" t="n"/>
      <c r="T245" s="65" t="n"/>
      <c r="U245" s="65" t="n"/>
      <c r="V245" s="77" t="n"/>
      <c r="W245" s="65" t="n"/>
      <c r="X245" s="65" t="n"/>
      <c r="Y245" s="65" t="n"/>
      <c r="Z245" s="65" t="n"/>
      <c r="AA245" s="65" t="n"/>
      <c r="AB245" s="65" t="n"/>
      <c r="AC245" s="65" t="n"/>
      <c r="AD245" s="65" t="n"/>
      <c r="AE245" s="65" t="n"/>
      <c r="AF245" s="65" t="n"/>
      <c r="AG245" s="65" t="n"/>
      <c r="AH245" s="65" t="n"/>
      <c r="AI245" s="65" t="n"/>
      <c r="AJ245" s="65" t="n"/>
      <c r="AK245" s="65" t="n"/>
      <c r="AL245" s="65" t="n"/>
      <c r="AM245" s="65" t="n"/>
      <c r="AN245" s="65" t="n"/>
      <c r="AO245" s="65" t="n"/>
      <c r="AP245" s="65" t="n"/>
    </row>
    <row r="246">
      <c r="F246" s="68" t="n"/>
      <c r="G246" s="68">
        <f>IF(B246="","",F246-I246 )</f>
        <v/>
      </c>
      <c r="H246" s="5">
        <f>IF(G246="","",G246/F246)</f>
        <v/>
      </c>
      <c r="J246" s="65" t="n"/>
      <c r="K246" s="65" t="n"/>
      <c r="L246" s="65" t="n"/>
      <c r="M246" s="65" t="n"/>
      <c r="N246" s="65" t="n"/>
      <c r="O246" s="65" t="n"/>
      <c r="P246" s="65" t="n"/>
      <c r="Q246" s="65" t="n"/>
      <c r="R246" s="65" t="n"/>
      <c r="S246" s="65" t="n"/>
      <c r="T246" s="65" t="n"/>
      <c r="U246" s="65" t="n"/>
      <c r="V246" s="77" t="n"/>
      <c r="W246" s="65" t="n"/>
      <c r="X246" s="65" t="n"/>
      <c r="Y246" s="65" t="n"/>
      <c r="Z246" s="65" t="n"/>
      <c r="AA246" s="65" t="n"/>
      <c r="AB246" s="65" t="n"/>
      <c r="AC246" s="65" t="n"/>
      <c r="AD246" s="65" t="n"/>
      <c r="AE246" s="65" t="n"/>
      <c r="AF246" s="65" t="n"/>
      <c r="AG246" s="65" t="n"/>
      <c r="AH246" s="65" t="n"/>
      <c r="AI246" s="65" t="n"/>
      <c r="AJ246" s="65" t="n"/>
      <c r="AK246" s="65" t="n"/>
      <c r="AL246" s="65" t="n"/>
      <c r="AM246" s="65" t="n"/>
      <c r="AN246" s="65" t="n"/>
      <c r="AO246" s="65" t="n"/>
      <c r="AP246" s="65" t="n"/>
    </row>
    <row r="247">
      <c r="F247" s="68" t="n"/>
      <c r="G247" s="68">
        <f>IF(B247="","",F247-I247 )</f>
        <v/>
      </c>
      <c r="H247" s="5">
        <f>IF(G247="","",G247/F247)</f>
        <v/>
      </c>
      <c r="J247" s="65" t="n"/>
      <c r="K247" s="65" t="n"/>
      <c r="L247" s="65" t="n"/>
      <c r="M247" s="65" t="n"/>
      <c r="N247" s="65" t="n"/>
      <c r="O247" s="65" t="n"/>
      <c r="P247" s="65" t="n"/>
      <c r="Q247" s="65" t="n"/>
      <c r="R247" s="65" t="n"/>
      <c r="S247" s="65" t="n"/>
      <c r="T247" s="65" t="n"/>
      <c r="U247" s="65" t="n"/>
      <c r="V247" s="77" t="n"/>
      <c r="W247" s="65" t="n"/>
      <c r="X247" s="65" t="n"/>
      <c r="Y247" s="65" t="n"/>
      <c r="Z247" s="65" t="n"/>
      <c r="AA247" s="65" t="n"/>
      <c r="AB247" s="65" t="n"/>
      <c r="AC247" s="65" t="n"/>
      <c r="AD247" s="65" t="n"/>
      <c r="AE247" s="65" t="n"/>
      <c r="AF247" s="65" t="n"/>
      <c r="AG247" s="65" t="n"/>
      <c r="AH247" s="65" t="n"/>
      <c r="AI247" s="65" t="n"/>
      <c r="AJ247" s="65" t="n"/>
      <c r="AK247" s="65" t="n"/>
      <c r="AL247" s="65" t="n"/>
      <c r="AM247" s="65" t="n"/>
      <c r="AN247" s="65" t="n"/>
      <c r="AO247" s="65" t="n"/>
      <c r="AP247" s="65" t="n"/>
    </row>
    <row r="248">
      <c r="F248" s="68" t="n"/>
      <c r="G248" s="68">
        <f>IF(B248="","",F248-I248 )</f>
        <v/>
      </c>
      <c r="H248" s="5">
        <f>IF(G248="","",G248/F248)</f>
        <v/>
      </c>
      <c r="J248" s="65" t="n"/>
      <c r="K248" s="65" t="n"/>
      <c r="L248" s="65" t="n"/>
      <c r="M248" s="65" t="n"/>
      <c r="N248" s="65" t="n"/>
      <c r="O248" s="65" t="n"/>
      <c r="P248" s="65" t="n"/>
      <c r="Q248" s="65" t="n"/>
      <c r="R248" s="65" t="n"/>
      <c r="S248" s="65" t="n"/>
      <c r="T248" s="65" t="n"/>
      <c r="U248" s="65" t="n"/>
      <c r="V248" s="77" t="n"/>
      <c r="W248" s="65" t="n"/>
      <c r="X248" s="65" t="n"/>
      <c r="Y248" s="65" t="n"/>
      <c r="Z248" s="65" t="n"/>
      <c r="AA248" s="65" t="n"/>
      <c r="AB248" s="65" t="n"/>
      <c r="AC248" s="65" t="n"/>
      <c r="AD248" s="65" t="n"/>
      <c r="AE248" s="65" t="n"/>
      <c r="AF248" s="65" t="n"/>
      <c r="AG248" s="65" t="n"/>
      <c r="AH248" s="65" t="n"/>
      <c r="AI248" s="65" t="n"/>
      <c r="AJ248" s="65" t="n"/>
      <c r="AK248" s="65" t="n"/>
      <c r="AL248" s="65" t="n"/>
      <c r="AM248" s="65" t="n"/>
      <c r="AN248" s="65" t="n"/>
      <c r="AO248" s="65" t="n"/>
      <c r="AP248" s="65" t="n"/>
    </row>
    <row r="249">
      <c r="F249" s="68" t="n"/>
      <c r="G249" s="68">
        <f>IF(B249="","",F249-I249 )</f>
        <v/>
      </c>
      <c r="H249" s="5">
        <f>IF(G249="","",G249/F249)</f>
        <v/>
      </c>
      <c r="J249" s="65" t="n"/>
      <c r="K249" s="65" t="n"/>
      <c r="L249" s="65" t="n"/>
      <c r="M249" s="65" t="n"/>
      <c r="N249" s="65" t="n"/>
      <c r="O249" s="65" t="n"/>
      <c r="P249" s="65" t="n"/>
      <c r="Q249" s="65" t="n"/>
      <c r="R249" s="65" t="n"/>
      <c r="S249" s="65" t="n"/>
      <c r="T249" s="65" t="n"/>
      <c r="U249" s="65" t="n"/>
      <c r="V249" s="77" t="n"/>
      <c r="W249" s="65" t="n"/>
      <c r="X249" s="65" t="n"/>
      <c r="Y249" s="65" t="n"/>
      <c r="Z249" s="65" t="n"/>
      <c r="AA249" s="65" t="n"/>
      <c r="AB249" s="65" t="n"/>
      <c r="AC249" s="65" t="n"/>
      <c r="AD249" s="65" t="n"/>
      <c r="AE249" s="65" t="n"/>
      <c r="AF249" s="65" t="n"/>
      <c r="AG249" s="65" t="n"/>
      <c r="AH249" s="65" t="n"/>
      <c r="AI249" s="65" t="n"/>
      <c r="AJ249" s="65" t="n"/>
      <c r="AK249" s="65" t="n"/>
      <c r="AL249" s="65" t="n"/>
      <c r="AM249" s="65" t="n"/>
      <c r="AN249" s="65" t="n"/>
      <c r="AO249" s="65" t="n"/>
      <c r="AP249" s="65" t="n"/>
    </row>
    <row r="250">
      <c r="F250" s="68" t="n"/>
      <c r="G250" s="68">
        <f>IF(B250="","",F250-I250 )</f>
        <v/>
      </c>
      <c r="H250" s="5">
        <f>IF(G250="","",G250/F250)</f>
        <v/>
      </c>
      <c r="J250" s="65" t="n"/>
      <c r="K250" s="65" t="n"/>
      <c r="L250" s="65" t="n"/>
      <c r="M250" s="65" t="n"/>
      <c r="N250" s="65" t="n"/>
      <c r="O250" s="65" t="n"/>
      <c r="P250" s="65" t="n"/>
      <c r="Q250" s="65" t="n"/>
      <c r="R250" s="65" t="n"/>
      <c r="S250" s="65" t="n"/>
      <c r="T250" s="65" t="n"/>
      <c r="U250" s="65" t="n"/>
      <c r="V250" s="77" t="n"/>
      <c r="W250" s="65" t="n"/>
      <c r="X250" s="65" t="n"/>
      <c r="Y250" s="65" t="n"/>
      <c r="Z250" s="65" t="n"/>
      <c r="AA250" s="65" t="n"/>
      <c r="AB250" s="65" t="n"/>
      <c r="AC250" s="65" t="n"/>
      <c r="AD250" s="65" t="n"/>
      <c r="AE250" s="65" t="n"/>
      <c r="AF250" s="65" t="n"/>
      <c r="AG250" s="65" t="n"/>
      <c r="AH250" s="65" t="n"/>
      <c r="AI250" s="65" t="n"/>
      <c r="AJ250" s="65" t="n"/>
      <c r="AK250" s="65" t="n"/>
      <c r="AL250" s="65" t="n"/>
      <c r="AM250" s="65" t="n"/>
      <c r="AN250" s="65" t="n"/>
      <c r="AO250" s="65" t="n"/>
      <c r="AP250" s="65" t="n"/>
    </row>
    <row r="251">
      <c r="F251" s="68" t="n"/>
      <c r="G251" s="68">
        <f>IF(B251="","",F251-I251 )</f>
        <v/>
      </c>
      <c r="H251" s="5">
        <f>IF(G251="","",G251/F251)</f>
        <v/>
      </c>
      <c r="J251" s="65" t="n"/>
      <c r="K251" s="65" t="n"/>
      <c r="L251" s="65" t="n"/>
      <c r="M251" s="65" t="n"/>
      <c r="N251" s="65" t="n"/>
      <c r="O251" s="65" t="n"/>
      <c r="P251" s="65" t="n"/>
      <c r="Q251" s="65" t="n"/>
      <c r="R251" s="65" t="n"/>
      <c r="S251" s="65" t="n"/>
      <c r="T251" s="65" t="n"/>
      <c r="U251" s="65" t="n"/>
      <c r="V251" s="77" t="n"/>
      <c r="W251" s="65" t="n"/>
      <c r="X251" s="65" t="n"/>
      <c r="Y251" s="65" t="n"/>
      <c r="Z251" s="65" t="n"/>
      <c r="AA251" s="65" t="n"/>
      <c r="AB251" s="65" t="n"/>
      <c r="AC251" s="65" t="n"/>
      <c r="AD251" s="65" t="n"/>
      <c r="AE251" s="65" t="n"/>
      <c r="AF251" s="65" t="n"/>
      <c r="AG251" s="65" t="n"/>
      <c r="AH251" s="65" t="n"/>
      <c r="AI251" s="65" t="n"/>
      <c r="AJ251" s="65" t="n"/>
      <c r="AK251" s="65" t="n"/>
      <c r="AL251" s="65" t="n"/>
      <c r="AM251" s="65" t="n"/>
      <c r="AN251" s="65" t="n"/>
      <c r="AO251" s="65" t="n"/>
      <c r="AP251" s="65" t="n"/>
    </row>
    <row r="252">
      <c r="F252" s="68" t="n"/>
      <c r="G252" s="68">
        <f>IF(B252="","",F252-I252 )</f>
        <v/>
      </c>
      <c r="H252" s="5">
        <f>IF(G252="","",G252/F252)</f>
        <v/>
      </c>
      <c r="J252" s="65" t="n"/>
      <c r="K252" s="65" t="n"/>
      <c r="L252" s="65" t="n"/>
      <c r="M252" s="65" t="n"/>
      <c r="N252" s="65" t="n"/>
      <c r="O252" s="65" t="n"/>
      <c r="P252" s="65" t="n"/>
      <c r="Q252" s="65" t="n"/>
      <c r="R252" s="65" t="n"/>
      <c r="S252" s="65" t="n"/>
      <c r="T252" s="65" t="n"/>
      <c r="U252" s="65" t="n"/>
      <c r="V252" s="77" t="n"/>
      <c r="W252" s="65" t="n"/>
      <c r="X252" s="65" t="n"/>
      <c r="Y252" s="65" t="n"/>
      <c r="Z252" s="65" t="n"/>
      <c r="AA252" s="65" t="n"/>
      <c r="AB252" s="65" t="n"/>
      <c r="AC252" s="65" t="n"/>
      <c r="AD252" s="65" t="n"/>
      <c r="AE252" s="65" t="n"/>
      <c r="AF252" s="65" t="n"/>
      <c r="AG252" s="65" t="n"/>
      <c r="AH252" s="65" t="n"/>
      <c r="AI252" s="65" t="n"/>
      <c r="AJ252" s="65" t="n"/>
      <c r="AK252" s="65" t="n"/>
      <c r="AL252" s="65" t="n"/>
      <c r="AM252" s="65" t="n"/>
      <c r="AN252" s="65" t="n"/>
      <c r="AO252" s="65" t="n"/>
      <c r="AP252" s="65" t="n"/>
    </row>
    <row r="253">
      <c r="F253" s="68" t="n"/>
      <c r="G253" s="68">
        <f>IF(B253="","",F253-I253 )</f>
        <v/>
      </c>
      <c r="H253" s="5">
        <f>IF(G253="","",G253/F253)</f>
        <v/>
      </c>
      <c r="J253" s="65" t="n"/>
      <c r="K253" s="65" t="n"/>
      <c r="L253" s="65" t="n"/>
      <c r="M253" s="65" t="n"/>
      <c r="N253" s="65" t="n"/>
      <c r="O253" s="65" t="n"/>
      <c r="P253" s="65" t="n"/>
      <c r="Q253" s="65" t="n"/>
      <c r="R253" s="65" t="n"/>
      <c r="S253" s="65" t="n"/>
      <c r="T253" s="65" t="n"/>
      <c r="U253" s="65" t="n"/>
      <c r="V253" s="77" t="n"/>
      <c r="W253" s="65" t="n"/>
      <c r="X253" s="65" t="n"/>
      <c r="Y253" s="65" t="n"/>
      <c r="Z253" s="65" t="n"/>
      <c r="AA253" s="65" t="n"/>
      <c r="AB253" s="65" t="n"/>
      <c r="AC253" s="65" t="n"/>
      <c r="AD253" s="65" t="n"/>
      <c r="AE253" s="65" t="n"/>
      <c r="AF253" s="65" t="n"/>
      <c r="AG253" s="65" t="n"/>
      <c r="AH253" s="65" t="n"/>
      <c r="AI253" s="65" t="n"/>
      <c r="AJ253" s="65" t="n"/>
      <c r="AK253" s="65" t="n"/>
      <c r="AL253" s="65" t="n"/>
      <c r="AM253" s="65" t="n"/>
      <c r="AN253" s="65" t="n"/>
      <c r="AO253" s="65" t="n"/>
      <c r="AP253" s="65" t="n"/>
    </row>
    <row r="254">
      <c r="F254" s="68" t="n"/>
      <c r="G254" s="68">
        <f>IF(B254="","",F254-I254 )</f>
        <v/>
      </c>
      <c r="H254" s="5">
        <f>IF(G254="","",G254/F254)</f>
        <v/>
      </c>
      <c r="J254" s="65" t="n"/>
      <c r="K254" s="65" t="n"/>
      <c r="L254" s="65" t="n"/>
      <c r="M254" s="65" t="n"/>
      <c r="N254" s="65" t="n"/>
      <c r="O254" s="65" t="n"/>
      <c r="P254" s="65" t="n"/>
      <c r="Q254" s="65" t="n"/>
      <c r="R254" s="65" t="n"/>
      <c r="S254" s="65" t="n"/>
      <c r="T254" s="65" t="n"/>
      <c r="U254" s="65" t="n"/>
      <c r="V254" s="77" t="n"/>
      <c r="W254" s="65" t="n"/>
      <c r="X254" s="65" t="n"/>
      <c r="Y254" s="65" t="n"/>
      <c r="Z254" s="65" t="n"/>
      <c r="AA254" s="65" t="n"/>
      <c r="AB254" s="65" t="n"/>
      <c r="AC254" s="65" t="n"/>
      <c r="AD254" s="65" t="n"/>
      <c r="AE254" s="65" t="n"/>
      <c r="AF254" s="65" t="n"/>
      <c r="AG254" s="65" t="n"/>
      <c r="AH254" s="65" t="n"/>
      <c r="AI254" s="65" t="n"/>
      <c r="AJ254" s="65" t="n"/>
      <c r="AK254" s="65" t="n"/>
      <c r="AL254" s="65" t="n"/>
      <c r="AM254" s="65" t="n"/>
      <c r="AN254" s="65" t="n"/>
      <c r="AO254" s="65" t="n"/>
      <c r="AP254" s="65" t="n"/>
    </row>
    <row r="255">
      <c r="F255" s="68" t="n"/>
      <c r="G255" s="68">
        <f>IF(B255="","",F255-I255 )</f>
        <v/>
      </c>
      <c r="H255" s="5">
        <f>IF(G255="","",G255/F255)</f>
        <v/>
      </c>
      <c r="J255" s="65" t="n"/>
      <c r="K255" s="65" t="n"/>
      <c r="L255" s="65" t="n"/>
      <c r="M255" s="65" t="n"/>
      <c r="N255" s="65" t="n"/>
      <c r="O255" s="65" t="n"/>
      <c r="P255" s="65" t="n"/>
      <c r="Q255" s="65" t="n"/>
      <c r="R255" s="65" t="n"/>
      <c r="S255" s="65" t="n"/>
      <c r="T255" s="65" t="n"/>
      <c r="U255" s="65" t="n"/>
      <c r="V255" s="77" t="n"/>
      <c r="W255" s="65" t="n"/>
      <c r="X255" s="65" t="n"/>
      <c r="Y255" s="65" t="n"/>
      <c r="Z255" s="65" t="n"/>
      <c r="AA255" s="65" t="n"/>
      <c r="AB255" s="65" t="n"/>
      <c r="AC255" s="65" t="n"/>
      <c r="AD255" s="65" t="n"/>
      <c r="AE255" s="65" t="n"/>
      <c r="AF255" s="65" t="n"/>
      <c r="AG255" s="65" t="n"/>
      <c r="AH255" s="65" t="n"/>
      <c r="AI255" s="65" t="n"/>
      <c r="AJ255" s="65" t="n"/>
      <c r="AK255" s="65" t="n"/>
      <c r="AL255" s="65" t="n"/>
      <c r="AM255" s="65" t="n"/>
      <c r="AN255" s="65" t="n"/>
      <c r="AO255" s="65" t="n"/>
      <c r="AP255" s="65" t="n"/>
    </row>
    <row r="256">
      <c r="F256" s="68" t="n"/>
      <c r="G256" s="68">
        <f>IF(B256="","",F256-I256 )</f>
        <v/>
      </c>
      <c r="H256" s="5">
        <f>IF(G256="","",G256/F256)</f>
        <v/>
      </c>
      <c r="J256" s="65" t="n"/>
      <c r="K256" s="65" t="n"/>
      <c r="L256" s="65" t="n"/>
      <c r="M256" s="65" t="n"/>
      <c r="N256" s="65" t="n"/>
      <c r="O256" s="65" t="n"/>
      <c r="P256" s="65" t="n"/>
      <c r="Q256" s="65" t="n"/>
      <c r="R256" s="65" t="n"/>
      <c r="S256" s="65" t="n"/>
      <c r="T256" s="65" t="n"/>
      <c r="U256" s="65" t="n"/>
      <c r="V256" s="77" t="n"/>
      <c r="W256" s="65" t="n"/>
      <c r="X256" s="65" t="n"/>
      <c r="Y256" s="65" t="n"/>
      <c r="Z256" s="65" t="n"/>
      <c r="AA256" s="65" t="n"/>
      <c r="AB256" s="65" t="n"/>
      <c r="AC256" s="65" t="n"/>
      <c r="AD256" s="65" t="n"/>
      <c r="AE256" s="65" t="n"/>
      <c r="AF256" s="65" t="n"/>
      <c r="AG256" s="65" t="n"/>
      <c r="AH256" s="65" t="n"/>
      <c r="AI256" s="65" t="n"/>
      <c r="AJ256" s="65" t="n"/>
      <c r="AK256" s="65" t="n"/>
      <c r="AL256" s="65" t="n"/>
      <c r="AM256" s="65" t="n"/>
      <c r="AN256" s="65" t="n"/>
      <c r="AO256" s="65" t="n"/>
      <c r="AP256" s="65" t="n"/>
    </row>
    <row r="257">
      <c r="F257" s="68" t="n"/>
      <c r="G257" s="68">
        <f>IF(B257="","",F257-I257 )</f>
        <v/>
      </c>
      <c r="H257" s="5">
        <f>IF(G257="","",G257/F257)</f>
        <v/>
      </c>
      <c r="J257" s="65" t="n"/>
      <c r="K257" s="65" t="n"/>
      <c r="L257" s="65" t="n"/>
      <c r="M257" s="65" t="n"/>
      <c r="N257" s="65" t="n"/>
      <c r="O257" s="65" t="n"/>
      <c r="P257" s="65" t="n"/>
      <c r="Q257" s="65" t="n"/>
      <c r="R257" s="65" t="n"/>
      <c r="S257" s="65" t="n"/>
      <c r="T257" s="65" t="n"/>
      <c r="U257" s="65" t="n"/>
      <c r="V257" s="77" t="n"/>
      <c r="W257" s="65" t="n"/>
      <c r="X257" s="65" t="n"/>
      <c r="Y257" s="65" t="n"/>
      <c r="Z257" s="65" t="n"/>
      <c r="AA257" s="65" t="n"/>
      <c r="AB257" s="65" t="n"/>
      <c r="AC257" s="65" t="n"/>
      <c r="AD257" s="65" t="n"/>
      <c r="AE257" s="65" t="n"/>
      <c r="AF257" s="65" t="n"/>
      <c r="AG257" s="65" t="n"/>
      <c r="AH257" s="65" t="n"/>
      <c r="AI257" s="65" t="n"/>
      <c r="AJ257" s="65" t="n"/>
      <c r="AK257" s="65" t="n"/>
      <c r="AL257" s="65" t="n"/>
      <c r="AM257" s="65" t="n"/>
      <c r="AN257" s="65" t="n"/>
      <c r="AO257" s="65" t="n"/>
      <c r="AP257" s="65" t="n"/>
    </row>
    <row r="258">
      <c r="F258" s="68" t="n"/>
      <c r="G258" s="68">
        <f>IF(B258="","",F258-I258 )</f>
        <v/>
      </c>
      <c r="H258" s="5">
        <f>IF(G258="","",G258/F258)</f>
        <v/>
      </c>
      <c r="J258" s="65" t="n"/>
      <c r="K258" s="65" t="n"/>
      <c r="L258" s="65" t="n"/>
      <c r="M258" s="65" t="n"/>
      <c r="N258" s="65" t="n"/>
      <c r="O258" s="65" t="n"/>
      <c r="P258" s="65" t="n"/>
      <c r="Q258" s="65" t="n"/>
      <c r="R258" s="65" t="n"/>
      <c r="S258" s="65" t="n"/>
      <c r="T258" s="65" t="n"/>
      <c r="U258" s="65" t="n"/>
      <c r="V258" s="77" t="n"/>
      <c r="W258" s="65" t="n"/>
      <c r="X258" s="65" t="n"/>
      <c r="Y258" s="65" t="n"/>
      <c r="Z258" s="65" t="n"/>
      <c r="AA258" s="65" t="n"/>
      <c r="AB258" s="65" t="n"/>
      <c r="AC258" s="65" t="n"/>
      <c r="AD258" s="65" t="n"/>
      <c r="AE258" s="65" t="n"/>
      <c r="AF258" s="65" t="n"/>
      <c r="AG258" s="65" t="n"/>
      <c r="AH258" s="65" t="n"/>
      <c r="AI258" s="65" t="n"/>
      <c r="AJ258" s="65" t="n"/>
      <c r="AK258" s="65" t="n"/>
      <c r="AL258" s="65" t="n"/>
      <c r="AM258" s="65" t="n"/>
      <c r="AN258" s="65" t="n"/>
      <c r="AO258" s="65" t="n"/>
      <c r="AP258" s="65" t="n"/>
    </row>
    <row r="259">
      <c r="F259" s="68" t="n"/>
      <c r="G259" s="68">
        <f>IF(B259="","",F259-I259 )</f>
        <v/>
      </c>
      <c r="H259" s="5">
        <f>IF(G259="","",G259/F259)</f>
        <v/>
      </c>
      <c r="J259" s="65" t="n"/>
      <c r="K259" s="65" t="n"/>
      <c r="L259" s="65" t="n"/>
      <c r="M259" s="65" t="n"/>
      <c r="N259" s="65" t="n"/>
      <c r="O259" s="65" t="n"/>
      <c r="P259" s="65" t="n"/>
      <c r="Q259" s="65" t="n"/>
      <c r="R259" s="65" t="n"/>
      <c r="S259" s="65" t="n"/>
      <c r="T259" s="65" t="n"/>
      <c r="U259" s="65" t="n"/>
      <c r="V259" s="77" t="n"/>
      <c r="W259" s="65" t="n"/>
      <c r="X259" s="65" t="n"/>
      <c r="Y259" s="65" t="n"/>
      <c r="Z259" s="65" t="n"/>
      <c r="AA259" s="65" t="n"/>
      <c r="AB259" s="65" t="n"/>
      <c r="AC259" s="65" t="n"/>
      <c r="AD259" s="65" t="n"/>
      <c r="AE259" s="65" t="n"/>
      <c r="AF259" s="65" t="n"/>
      <c r="AG259" s="65" t="n"/>
      <c r="AH259" s="65" t="n"/>
      <c r="AI259" s="65" t="n"/>
      <c r="AJ259" s="65" t="n"/>
      <c r="AK259" s="65" t="n"/>
      <c r="AL259" s="65" t="n"/>
      <c r="AM259" s="65" t="n"/>
      <c r="AN259" s="65" t="n"/>
      <c r="AO259" s="65" t="n"/>
      <c r="AP259" s="65" t="n"/>
    </row>
    <row r="260">
      <c r="F260" s="68" t="n"/>
      <c r="G260" s="68">
        <f>IF(B260="","",F260-I260 )</f>
        <v/>
      </c>
      <c r="H260" s="5">
        <f>IF(G260="","",G260/F260)</f>
        <v/>
      </c>
      <c r="J260" s="65" t="n"/>
      <c r="K260" s="65" t="n"/>
      <c r="L260" s="65" t="n"/>
      <c r="M260" s="65" t="n"/>
      <c r="N260" s="65" t="n"/>
      <c r="O260" s="65" t="n"/>
      <c r="P260" s="65" t="n"/>
      <c r="Q260" s="65" t="n"/>
      <c r="R260" s="65" t="n"/>
      <c r="S260" s="65" t="n"/>
      <c r="T260" s="65" t="n"/>
      <c r="U260" s="65" t="n"/>
      <c r="V260" s="77" t="n"/>
      <c r="W260" s="65" t="n"/>
      <c r="X260" s="65" t="n"/>
      <c r="Y260" s="65" t="n"/>
      <c r="Z260" s="65" t="n"/>
      <c r="AA260" s="65" t="n"/>
      <c r="AB260" s="65" t="n"/>
      <c r="AC260" s="65" t="n"/>
      <c r="AD260" s="65" t="n"/>
      <c r="AE260" s="65" t="n"/>
      <c r="AF260" s="65" t="n"/>
      <c r="AG260" s="65" t="n"/>
      <c r="AH260" s="65" t="n"/>
      <c r="AI260" s="65" t="n"/>
      <c r="AJ260" s="65" t="n"/>
      <c r="AK260" s="65" t="n"/>
      <c r="AL260" s="65" t="n"/>
      <c r="AM260" s="65" t="n"/>
      <c r="AN260" s="65" t="n"/>
      <c r="AO260" s="65" t="n"/>
      <c r="AP260" s="65" t="n"/>
    </row>
    <row r="261">
      <c r="F261" s="68" t="n"/>
      <c r="G261" s="68">
        <f>IF(B261="","",F261-I261 )</f>
        <v/>
      </c>
      <c r="H261" s="5">
        <f>IF(G261="","",G261/F261)</f>
        <v/>
      </c>
      <c r="J261" s="65" t="n"/>
      <c r="K261" s="65" t="n"/>
      <c r="L261" s="65" t="n"/>
      <c r="M261" s="65" t="n"/>
      <c r="N261" s="65" t="n"/>
      <c r="O261" s="65" t="n"/>
      <c r="P261" s="65" t="n"/>
      <c r="Q261" s="65" t="n"/>
      <c r="R261" s="65" t="n"/>
      <c r="S261" s="65" t="n"/>
      <c r="T261" s="65" t="n"/>
      <c r="U261" s="65" t="n"/>
      <c r="V261" s="77" t="n"/>
      <c r="W261" s="65" t="n"/>
      <c r="X261" s="65" t="n"/>
      <c r="Y261" s="65" t="n"/>
      <c r="Z261" s="65" t="n"/>
      <c r="AA261" s="65" t="n"/>
      <c r="AB261" s="65" t="n"/>
      <c r="AC261" s="65" t="n"/>
      <c r="AD261" s="65" t="n"/>
      <c r="AE261" s="65" t="n"/>
      <c r="AF261" s="65" t="n"/>
      <c r="AG261" s="65" t="n"/>
      <c r="AH261" s="65" t="n"/>
      <c r="AI261" s="65" t="n"/>
      <c r="AJ261" s="65" t="n"/>
      <c r="AK261" s="65" t="n"/>
      <c r="AL261" s="65" t="n"/>
      <c r="AM261" s="65" t="n"/>
      <c r="AN261" s="65" t="n"/>
      <c r="AO261" s="65" t="n"/>
      <c r="AP261" s="65" t="n"/>
    </row>
    <row r="262">
      <c r="F262" s="68" t="n"/>
      <c r="G262" s="68">
        <f>IF(B262="","",F262-I262 )</f>
        <v/>
      </c>
      <c r="H262" s="5">
        <f>IF(G262="","",G262/F262)</f>
        <v/>
      </c>
      <c r="J262" s="65" t="n"/>
      <c r="K262" s="65" t="n"/>
      <c r="L262" s="65" t="n"/>
      <c r="M262" s="65" t="n"/>
      <c r="N262" s="65" t="n"/>
      <c r="O262" s="65" t="n"/>
      <c r="P262" s="65" t="n"/>
      <c r="Q262" s="65" t="n"/>
      <c r="R262" s="65" t="n"/>
      <c r="S262" s="65" t="n"/>
      <c r="T262" s="65" t="n"/>
      <c r="U262" s="65" t="n"/>
      <c r="V262" s="77" t="n"/>
      <c r="W262" s="65" t="n"/>
      <c r="X262" s="65" t="n"/>
      <c r="Y262" s="65" t="n"/>
      <c r="Z262" s="65" t="n"/>
      <c r="AA262" s="65" t="n"/>
      <c r="AB262" s="65" t="n"/>
      <c r="AC262" s="65" t="n"/>
      <c r="AD262" s="65" t="n"/>
      <c r="AE262" s="65" t="n"/>
      <c r="AF262" s="65" t="n"/>
      <c r="AG262" s="65" t="n"/>
      <c r="AH262" s="65" t="n"/>
      <c r="AI262" s="65" t="n"/>
      <c r="AJ262" s="65" t="n"/>
      <c r="AK262" s="65" t="n"/>
      <c r="AL262" s="65" t="n"/>
      <c r="AM262" s="65" t="n"/>
      <c r="AN262" s="65" t="n"/>
      <c r="AO262" s="65" t="n"/>
      <c r="AP262" s="65" t="n"/>
    </row>
    <row r="263">
      <c r="F263" s="68" t="n"/>
      <c r="G263" s="68">
        <f>IF(B263="","",F263-I263 )</f>
        <v/>
      </c>
      <c r="H263" s="5">
        <f>IF(G263="","",G263/F263)</f>
        <v/>
      </c>
      <c r="J263" s="65" t="n"/>
      <c r="K263" s="65" t="n"/>
      <c r="L263" s="65" t="n"/>
      <c r="M263" s="65" t="n"/>
      <c r="N263" s="65" t="n"/>
      <c r="O263" s="65" t="n"/>
      <c r="P263" s="65" t="n"/>
      <c r="Q263" s="65" t="n"/>
      <c r="R263" s="65" t="n"/>
      <c r="S263" s="65" t="n"/>
      <c r="T263" s="65" t="n"/>
      <c r="U263" s="65" t="n"/>
      <c r="V263" s="77" t="n"/>
      <c r="W263" s="65" t="n"/>
      <c r="X263" s="65" t="n"/>
      <c r="Y263" s="65" t="n"/>
      <c r="Z263" s="65" t="n"/>
      <c r="AA263" s="65" t="n"/>
      <c r="AB263" s="65" t="n"/>
      <c r="AC263" s="65" t="n"/>
      <c r="AD263" s="65" t="n"/>
      <c r="AE263" s="65" t="n"/>
      <c r="AF263" s="65" t="n"/>
      <c r="AG263" s="65" t="n"/>
      <c r="AH263" s="65" t="n"/>
      <c r="AI263" s="65" t="n"/>
      <c r="AJ263" s="65" t="n"/>
      <c r="AK263" s="65" t="n"/>
      <c r="AL263" s="65" t="n"/>
      <c r="AM263" s="65" t="n"/>
      <c r="AN263" s="65" t="n"/>
      <c r="AO263" s="65" t="n"/>
      <c r="AP263" s="65" t="n"/>
    </row>
    <row r="264">
      <c r="F264" s="68" t="n"/>
      <c r="G264" s="68">
        <f>IF(B264="","",F264-I264 )</f>
        <v/>
      </c>
      <c r="H264" s="5">
        <f>IF(G264="","",G264/F264)</f>
        <v/>
      </c>
      <c r="J264" s="65" t="n"/>
      <c r="K264" s="65" t="n"/>
      <c r="L264" s="65" t="n"/>
      <c r="M264" s="65" t="n"/>
      <c r="N264" s="65" t="n"/>
      <c r="O264" s="65" t="n"/>
      <c r="P264" s="65" t="n"/>
      <c r="Q264" s="65" t="n"/>
      <c r="R264" s="65" t="n"/>
      <c r="S264" s="65" t="n"/>
      <c r="T264" s="65" t="n"/>
      <c r="U264" s="65" t="n"/>
      <c r="V264" s="77" t="n"/>
      <c r="W264" s="65" t="n"/>
      <c r="X264" s="65" t="n"/>
      <c r="Y264" s="65" t="n"/>
      <c r="Z264" s="65" t="n"/>
      <c r="AA264" s="65" t="n"/>
      <c r="AB264" s="65" t="n"/>
      <c r="AC264" s="65" t="n"/>
      <c r="AD264" s="65" t="n"/>
      <c r="AE264" s="65" t="n"/>
      <c r="AF264" s="65" t="n"/>
      <c r="AG264" s="65" t="n"/>
      <c r="AH264" s="65" t="n"/>
      <c r="AI264" s="65" t="n"/>
      <c r="AJ264" s="65" t="n"/>
      <c r="AK264" s="65" t="n"/>
      <c r="AL264" s="65" t="n"/>
      <c r="AM264" s="65" t="n"/>
      <c r="AN264" s="65" t="n"/>
      <c r="AO264" s="65" t="n"/>
      <c r="AP264" s="65" t="n"/>
    </row>
    <row r="265">
      <c r="F265" s="68" t="n"/>
      <c r="G265" s="68">
        <f>IF(B265="","",F265-I265 )</f>
        <v/>
      </c>
      <c r="H265" s="5">
        <f>IF(G265="","",G265/F265)</f>
        <v/>
      </c>
      <c r="J265" s="65" t="n"/>
      <c r="K265" s="65" t="n"/>
      <c r="L265" s="65" t="n"/>
      <c r="M265" s="65" t="n"/>
      <c r="N265" s="65" t="n"/>
      <c r="O265" s="65" t="n"/>
      <c r="P265" s="65" t="n"/>
      <c r="Q265" s="65" t="n"/>
      <c r="R265" s="65" t="n"/>
      <c r="S265" s="65" t="n"/>
      <c r="T265" s="65" t="n"/>
      <c r="U265" s="65" t="n"/>
      <c r="V265" s="77" t="n"/>
      <c r="W265" s="65" t="n"/>
      <c r="X265" s="65" t="n"/>
      <c r="Y265" s="65" t="n"/>
      <c r="Z265" s="65" t="n"/>
      <c r="AA265" s="65" t="n"/>
      <c r="AB265" s="65" t="n"/>
      <c r="AC265" s="65" t="n"/>
      <c r="AD265" s="65" t="n"/>
      <c r="AE265" s="65" t="n"/>
      <c r="AF265" s="65" t="n"/>
      <c r="AG265" s="65" t="n"/>
      <c r="AH265" s="65" t="n"/>
      <c r="AI265" s="65" t="n"/>
      <c r="AJ265" s="65" t="n"/>
      <c r="AK265" s="65" t="n"/>
      <c r="AL265" s="65" t="n"/>
      <c r="AM265" s="65" t="n"/>
      <c r="AN265" s="65" t="n"/>
      <c r="AO265" s="65" t="n"/>
      <c r="AP265" s="65" t="n"/>
    </row>
    <row r="266">
      <c r="F266" s="68" t="n"/>
      <c r="G266" s="68">
        <f>IF(B266="","",F266-I266 )</f>
        <v/>
      </c>
      <c r="H266" s="5">
        <f>IF(G266="","",G266/F266)</f>
        <v/>
      </c>
      <c r="J266" s="65" t="n"/>
      <c r="K266" s="65" t="n"/>
      <c r="L266" s="65" t="n"/>
      <c r="M266" s="65" t="n"/>
      <c r="N266" s="65" t="n"/>
      <c r="O266" s="65" t="n"/>
      <c r="P266" s="65" t="n"/>
      <c r="Q266" s="65" t="n"/>
      <c r="R266" s="65" t="n"/>
      <c r="S266" s="65" t="n"/>
      <c r="T266" s="65" t="n"/>
      <c r="U266" s="65" t="n"/>
      <c r="V266" s="77" t="n"/>
      <c r="W266" s="65" t="n"/>
      <c r="X266" s="65" t="n"/>
      <c r="Y266" s="65" t="n"/>
      <c r="Z266" s="65" t="n"/>
      <c r="AA266" s="65" t="n"/>
      <c r="AB266" s="65" t="n"/>
      <c r="AC266" s="65" t="n"/>
      <c r="AD266" s="65" t="n"/>
      <c r="AE266" s="65" t="n"/>
      <c r="AF266" s="65" t="n"/>
      <c r="AG266" s="65" t="n"/>
      <c r="AH266" s="65" t="n"/>
      <c r="AI266" s="65" t="n"/>
      <c r="AJ266" s="65" t="n"/>
      <c r="AK266" s="65" t="n"/>
      <c r="AL266" s="65" t="n"/>
      <c r="AM266" s="65" t="n"/>
      <c r="AN266" s="65" t="n"/>
      <c r="AO266" s="65" t="n"/>
      <c r="AP266" s="65" t="n"/>
    </row>
    <row r="267">
      <c r="F267" s="68" t="n"/>
      <c r="G267" s="68">
        <f>IF(B267="","",F267-I267 )</f>
        <v/>
      </c>
      <c r="H267" s="5">
        <f>IF(G267="","",G267/F267)</f>
        <v/>
      </c>
      <c r="J267" s="65" t="n"/>
      <c r="K267" s="65" t="n"/>
      <c r="L267" s="65" t="n"/>
      <c r="M267" s="65" t="n"/>
      <c r="N267" s="65" t="n"/>
      <c r="O267" s="65" t="n"/>
      <c r="P267" s="65" t="n"/>
      <c r="Q267" s="65" t="n"/>
      <c r="R267" s="65" t="n"/>
      <c r="S267" s="65" t="n"/>
      <c r="T267" s="65" t="n"/>
      <c r="U267" s="65" t="n"/>
      <c r="V267" s="77" t="n"/>
      <c r="W267" s="65" t="n"/>
      <c r="X267" s="65" t="n"/>
      <c r="Y267" s="65" t="n"/>
      <c r="Z267" s="65" t="n"/>
      <c r="AA267" s="65" t="n"/>
      <c r="AB267" s="65" t="n"/>
      <c r="AC267" s="65" t="n"/>
      <c r="AD267" s="65" t="n"/>
      <c r="AE267" s="65" t="n"/>
      <c r="AF267" s="65" t="n"/>
      <c r="AG267" s="65" t="n"/>
      <c r="AH267" s="65" t="n"/>
      <c r="AI267" s="65" t="n"/>
      <c r="AJ267" s="65" t="n"/>
      <c r="AK267" s="65" t="n"/>
      <c r="AL267" s="65" t="n"/>
      <c r="AM267" s="65" t="n"/>
      <c r="AN267" s="65" t="n"/>
      <c r="AO267" s="65" t="n"/>
      <c r="AP267" s="65" t="n"/>
    </row>
    <row r="268">
      <c r="F268" s="68" t="n"/>
      <c r="G268" s="68">
        <f>IF(B268="","",F268-I268 )</f>
        <v/>
      </c>
      <c r="H268" s="5">
        <f>IF(G268="","",G268/F268)</f>
        <v/>
      </c>
      <c r="J268" s="65" t="n"/>
      <c r="K268" s="65" t="n"/>
      <c r="L268" s="65" t="n"/>
      <c r="M268" s="65" t="n"/>
      <c r="N268" s="65" t="n"/>
      <c r="O268" s="65" t="n"/>
      <c r="P268" s="65" t="n"/>
      <c r="Q268" s="65" t="n"/>
      <c r="R268" s="65" t="n"/>
      <c r="S268" s="65" t="n"/>
      <c r="T268" s="65" t="n"/>
      <c r="U268" s="65" t="n"/>
      <c r="V268" s="77" t="n"/>
      <c r="W268" s="65" t="n"/>
      <c r="X268" s="65" t="n"/>
      <c r="Y268" s="65" t="n"/>
      <c r="Z268" s="65" t="n"/>
      <c r="AA268" s="65" t="n"/>
      <c r="AB268" s="65" t="n"/>
      <c r="AC268" s="65" t="n"/>
      <c r="AD268" s="65" t="n"/>
      <c r="AE268" s="65" t="n"/>
      <c r="AF268" s="65" t="n"/>
      <c r="AG268" s="65" t="n"/>
      <c r="AH268" s="65" t="n"/>
      <c r="AI268" s="65" t="n"/>
      <c r="AJ268" s="65" t="n"/>
      <c r="AK268" s="65" t="n"/>
      <c r="AL268" s="65" t="n"/>
      <c r="AM268" s="65" t="n"/>
      <c r="AN268" s="65" t="n"/>
      <c r="AO268" s="65" t="n"/>
      <c r="AP268" s="65" t="n"/>
    </row>
    <row r="269">
      <c r="F269" s="68" t="n"/>
      <c r="G269" s="68">
        <f>IF(B269="","",F269-I269 )</f>
        <v/>
      </c>
      <c r="H269" s="5">
        <f>IF(G269="","",G269/F269)</f>
        <v/>
      </c>
      <c r="J269" s="65" t="n"/>
      <c r="K269" s="65" t="n"/>
      <c r="L269" s="65" t="n"/>
      <c r="M269" s="65" t="n"/>
      <c r="N269" s="65" t="n"/>
      <c r="O269" s="65" t="n"/>
      <c r="P269" s="65" t="n"/>
      <c r="Q269" s="65" t="n"/>
      <c r="R269" s="65" t="n"/>
      <c r="S269" s="65" t="n"/>
      <c r="T269" s="65" t="n"/>
      <c r="U269" s="65" t="n"/>
      <c r="V269" s="77" t="n"/>
      <c r="W269" s="65" t="n"/>
      <c r="X269" s="65" t="n"/>
      <c r="Y269" s="65" t="n"/>
      <c r="Z269" s="65" t="n"/>
      <c r="AA269" s="65" t="n"/>
      <c r="AB269" s="65" t="n"/>
      <c r="AC269" s="65" t="n"/>
      <c r="AD269" s="65" t="n"/>
      <c r="AE269" s="65" t="n"/>
      <c r="AF269" s="65" t="n"/>
      <c r="AG269" s="65" t="n"/>
      <c r="AH269" s="65" t="n"/>
      <c r="AI269" s="65" t="n"/>
      <c r="AJ269" s="65" t="n"/>
      <c r="AK269" s="65" t="n"/>
      <c r="AL269" s="65" t="n"/>
      <c r="AM269" s="65" t="n"/>
      <c r="AN269" s="65" t="n"/>
      <c r="AO269" s="65" t="n"/>
      <c r="AP269" s="65" t="n"/>
    </row>
    <row r="270">
      <c r="F270" s="68" t="n"/>
      <c r="G270" s="68">
        <f>IF(B270="","",F270-I270 )</f>
        <v/>
      </c>
      <c r="H270" s="5">
        <f>IF(G270="","",G270/F270)</f>
        <v/>
      </c>
      <c r="J270" s="65" t="n"/>
      <c r="K270" s="65" t="n"/>
      <c r="L270" s="65" t="n"/>
      <c r="M270" s="65" t="n"/>
      <c r="N270" s="65" t="n"/>
      <c r="O270" s="65" t="n"/>
      <c r="P270" s="65" t="n"/>
      <c r="Q270" s="65" t="n"/>
      <c r="R270" s="65" t="n"/>
      <c r="S270" s="65" t="n"/>
      <c r="T270" s="65" t="n"/>
      <c r="U270" s="65" t="n"/>
      <c r="V270" s="77" t="n"/>
      <c r="W270" s="65" t="n"/>
      <c r="X270" s="65" t="n"/>
      <c r="Y270" s="65" t="n"/>
      <c r="Z270" s="65" t="n"/>
      <c r="AA270" s="65" t="n"/>
      <c r="AB270" s="65" t="n"/>
      <c r="AC270" s="65" t="n"/>
      <c r="AD270" s="65" t="n"/>
      <c r="AE270" s="65" t="n"/>
      <c r="AF270" s="65" t="n"/>
      <c r="AG270" s="65" t="n"/>
      <c r="AH270" s="65" t="n"/>
      <c r="AI270" s="65" t="n"/>
      <c r="AJ270" s="65" t="n"/>
      <c r="AK270" s="65" t="n"/>
      <c r="AL270" s="65" t="n"/>
      <c r="AM270" s="65" t="n"/>
      <c r="AN270" s="65" t="n"/>
      <c r="AO270" s="65" t="n"/>
      <c r="AP270" s="65" t="n"/>
    </row>
    <row r="271">
      <c r="F271" s="68" t="n"/>
      <c r="G271" s="68">
        <f>IF(B271="","",F271-I271 )</f>
        <v/>
      </c>
      <c r="H271" s="5">
        <f>IF(G271="","",G271/F271)</f>
        <v/>
      </c>
      <c r="J271" s="65" t="n"/>
      <c r="K271" s="65" t="n"/>
      <c r="L271" s="65" t="n"/>
      <c r="M271" s="65" t="n"/>
      <c r="N271" s="65" t="n"/>
      <c r="O271" s="65" t="n"/>
      <c r="P271" s="65" t="n"/>
      <c r="Q271" s="65" t="n"/>
      <c r="R271" s="65" t="n"/>
      <c r="S271" s="65" t="n"/>
      <c r="T271" s="65" t="n"/>
      <c r="U271" s="65" t="n"/>
      <c r="V271" s="77" t="n"/>
      <c r="W271" s="65" t="n"/>
      <c r="X271" s="65" t="n"/>
      <c r="Y271" s="65" t="n"/>
      <c r="Z271" s="65" t="n"/>
      <c r="AA271" s="65" t="n"/>
      <c r="AB271" s="65" t="n"/>
      <c r="AC271" s="65" t="n"/>
      <c r="AD271" s="65" t="n"/>
      <c r="AE271" s="65" t="n"/>
      <c r="AF271" s="65" t="n"/>
      <c r="AG271" s="65" t="n"/>
      <c r="AH271" s="65" t="n"/>
      <c r="AI271" s="65" t="n"/>
      <c r="AJ271" s="65" t="n"/>
      <c r="AK271" s="65" t="n"/>
      <c r="AL271" s="65" t="n"/>
      <c r="AM271" s="65" t="n"/>
      <c r="AN271" s="65" t="n"/>
      <c r="AO271" s="65" t="n"/>
      <c r="AP271" s="65" t="n"/>
    </row>
    <row r="272">
      <c r="F272" s="68" t="n"/>
      <c r="G272" s="68">
        <f>IF(B272="","",F272-I272 )</f>
        <v/>
      </c>
      <c r="H272" s="5">
        <f>IF(G272="","",G272/F272)</f>
        <v/>
      </c>
      <c r="J272" s="65" t="n"/>
      <c r="K272" s="65" t="n"/>
      <c r="L272" s="65" t="n"/>
      <c r="M272" s="65" t="n"/>
      <c r="N272" s="65" t="n"/>
      <c r="O272" s="65" t="n"/>
      <c r="P272" s="65" t="n"/>
      <c r="Q272" s="65" t="n"/>
      <c r="R272" s="65" t="n"/>
      <c r="S272" s="65" t="n"/>
      <c r="T272" s="65" t="n"/>
      <c r="U272" s="65" t="n"/>
      <c r="V272" s="77" t="n"/>
      <c r="W272" s="65" t="n"/>
      <c r="X272" s="65" t="n"/>
      <c r="Y272" s="65" t="n"/>
      <c r="Z272" s="65" t="n"/>
      <c r="AA272" s="65" t="n"/>
      <c r="AB272" s="65" t="n"/>
      <c r="AC272" s="65" t="n"/>
      <c r="AD272" s="65" t="n"/>
      <c r="AE272" s="65" t="n"/>
      <c r="AF272" s="65" t="n"/>
      <c r="AG272" s="65" t="n"/>
      <c r="AH272" s="65" t="n"/>
      <c r="AI272" s="65" t="n"/>
      <c r="AJ272" s="65" t="n"/>
      <c r="AK272" s="65" t="n"/>
      <c r="AL272" s="65" t="n"/>
      <c r="AM272" s="65" t="n"/>
      <c r="AN272" s="65" t="n"/>
      <c r="AO272" s="65" t="n"/>
      <c r="AP272" s="65" t="n"/>
    </row>
    <row r="273">
      <c r="F273" s="68" t="n"/>
      <c r="G273" s="68">
        <f>IF(B273="","",F273-I273 )</f>
        <v/>
      </c>
      <c r="H273" s="5">
        <f>IF(G273="","",G273/F273)</f>
        <v/>
      </c>
      <c r="J273" s="65" t="n"/>
      <c r="K273" s="65" t="n"/>
      <c r="L273" s="65" t="n"/>
      <c r="M273" s="65" t="n"/>
      <c r="N273" s="65" t="n"/>
      <c r="O273" s="65" t="n"/>
      <c r="P273" s="65" t="n"/>
      <c r="Q273" s="65" t="n"/>
      <c r="R273" s="65" t="n"/>
      <c r="S273" s="65" t="n"/>
      <c r="T273" s="65" t="n"/>
      <c r="U273" s="65" t="n"/>
      <c r="V273" s="77" t="n"/>
      <c r="W273" s="65" t="n"/>
      <c r="X273" s="65" t="n"/>
      <c r="Y273" s="65" t="n"/>
      <c r="Z273" s="65" t="n"/>
      <c r="AA273" s="65" t="n"/>
      <c r="AB273" s="65" t="n"/>
      <c r="AC273" s="65" t="n"/>
      <c r="AD273" s="65" t="n"/>
      <c r="AE273" s="65" t="n"/>
      <c r="AF273" s="65" t="n"/>
      <c r="AG273" s="65" t="n"/>
      <c r="AH273" s="65" t="n"/>
      <c r="AI273" s="65" t="n"/>
      <c r="AJ273" s="65" t="n"/>
      <c r="AK273" s="65" t="n"/>
      <c r="AL273" s="65" t="n"/>
      <c r="AM273" s="65" t="n"/>
      <c r="AN273" s="65" t="n"/>
      <c r="AO273" s="65" t="n"/>
      <c r="AP273" s="65" t="n"/>
    </row>
    <row r="274">
      <c r="F274" s="68" t="n"/>
      <c r="G274" s="68">
        <f>IF(B274="","",F274-I274 )</f>
        <v/>
      </c>
      <c r="H274" s="5">
        <f>IF(G274="","",G274/F274)</f>
        <v/>
      </c>
      <c r="J274" s="65" t="n"/>
      <c r="K274" s="65" t="n"/>
      <c r="L274" s="65" t="n"/>
      <c r="M274" s="65" t="n"/>
      <c r="N274" s="65" t="n"/>
      <c r="O274" s="65" t="n"/>
      <c r="P274" s="65" t="n"/>
      <c r="Q274" s="65" t="n"/>
      <c r="R274" s="65" t="n"/>
      <c r="S274" s="65" t="n"/>
      <c r="T274" s="65" t="n"/>
      <c r="U274" s="65" t="n"/>
      <c r="V274" s="77" t="n"/>
      <c r="W274" s="65" t="n"/>
      <c r="X274" s="65" t="n"/>
      <c r="Y274" s="65" t="n"/>
      <c r="Z274" s="65" t="n"/>
      <c r="AA274" s="65" t="n"/>
      <c r="AB274" s="65" t="n"/>
      <c r="AC274" s="65" t="n"/>
      <c r="AD274" s="65" t="n"/>
      <c r="AE274" s="65" t="n"/>
      <c r="AF274" s="65" t="n"/>
      <c r="AG274" s="65" t="n"/>
      <c r="AH274" s="65" t="n"/>
      <c r="AI274" s="65" t="n"/>
      <c r="AJ274" s="65" t="n"/>
      <c r="AK274" s="65" t="n"/>
      <c r="AL274" s="65" t="n"/>
      <c r="AM274" s="65" t="n"/>
      <c r="AN274" s="65" t="n"/>
      <c r="AO274" s="65" t="n"/>
      <c r="AP274" s="65" t="n"/>
    </row>
    <row r="275">
      <c r="F275" s="68" t="n"/>
      <c r="G275" s="68">
        <f>IF(B275="","",F275-I275 )</f>
        <v/>
      </c>
      <c r="H275" s="5">
        <f>IF(G275="","",G275/F275)</f>
        <v/>
      </c>
      <c r="J275" s="65" t="n"/>
      <c r="K275" s="65" t="n"/>
      <c r="L275" s="65" t="n"/>
      <c r="M275" s="65" t="n"/>
      <c r="N275" s="65" t="n"/>
      <c r="O275" s="65" t="n"/>
      <c r="P275" s="65" t="n"/>
      <c r="Q275" s="65" t="n"/>
      <c r="R275" s="65" t="n"/>
      <c r="S275" s="65" t="n"/>
      <c r="T275" s="65" t="n"/>
      <c r="U275" s="65" t="n"/>
      <c r="V275" s="77" t="n"/>
      <c r="W275" s="65" t="n"/>
      <c r="X275" s="65" t="n"/>
      <c r="Y275" s="65" t="n"/>
      <c r="Z275" s="65" t="n"/>
      <c r="AA275" s="65" t="n"/>
      <c r="AB275" s="65" t="n"/>
      <c r="AC275" s="65" t="n"/>
      <c r="AD275" s="65" t="n"/>
      <c r="AE275" s="65" t="n"/>
      <c r="AF275" s="65" t="n"/>
      <c r="AG275" s="65" t="n"/>
      <c r="AH275" s="65" t="n"/>
      <c r="AI275" s="65" t="n"/>
      <c r="AJ275" s="65" t="n"/>
      <c r="AK275" s="65" t="n"/>
      <c r="AL275" s="65" t="n"/>
      <c r="AM275" s="65" t="n"/>
      <c r="AN275" s="65" t="n"/>
      <c r="AO275" s="65" t="n"/>
      <c r="AP275" s="65" t="n"/>
    </row>
    <row r="276">
      <c r="F276" s="68" t="n"/>
      <c r="G276" s="68">
        <f>IF(B276="","",F276-I276 )</f>
        <v/>
      </c>
      <c r="H276" s="5">
        <f>IF(G276="","",G276/F276)</f>
        <v/>
      </c>
      <c r="J276" s="65" t="n"/>
      <c r="K276" s="65" t="n"/>
      <c r="L276" s="65" t="n"/>
      <c r="M276" s="65" t="n"/>
      <c r="N276" s="65" t="n"/>
      <c r="O276" s="65" t="n"/>
      <c r="P276" s="65" t="n"/>
      <c r="Q276" s="65" t="n"/>
      <c r="R276" s="65" t="n"/>
      <c r="S276" s="65" t="n"/>
      <c r="T276" s="65" t="n"/>
      <c r="U276" s="65" t="n"/>
      <c r="V276" s="77" t="n"/>
      <c r="W276" s="65" t="n"/>
      <c r="X276" s="65" t="n"/>
      <c r="Y276" s="65" t="n"/>
      <c r="Z276" s="65" t="n"/>
      <c r="AA276" s="65" t="n"/>
      <c r="AB276" s="65" t="n"/>
      <c r="AC276" s="65" t="n"/>
      <c r="AD276" s="65" t="n"/>
      <c r="AE276" s="65" t="n"/>
      <c r="AF276" s="65" t="n"/>
      <c r="AG276" s="65" t="n"/>
      <c r="AH276" s="65" t="n"/>
      <c r="AI276" s="65" t="n"/>
      <c r="AJ276" s="65" t="n"/>
      <c r="AK276" s="65" t="n"/>
      <c r="AL276" s="65" t="n"/>
      <c r="AM276" s="65" t="n"/>
      <c r="AN276" s="65" t="n"/>
      <c r="AO276" s="65" t="n"/>
      <c r="AP276" s="65" t="n"/>
    </row>
    <row r="277">
      <c r="F277" s="68" t="n"/>
      <c r="G277" s="68">
        <f>IF(B277="","",F277-I277 )</f>
        <v/>
      </c>
      <c r="H277" s="5">
        <f>IF(G277="","",G277/F277)</f>
        <v/>
      </c>
      <c r="J277" s="65" t="n"/>
      <c r="K277" s="65" t="n"/>
      <c r="L277" s="65" t="n"/>
      <c r="M277" s="65" t="n"/>
      <c r="N277" s="65" t="n"/>
      <c r="O277" s="65" t="n"/>
      <c r="P277" s="65" t="n"/>
      <c r="Q277" s="65" t="n"/>
      <c r="R277" s="65" t="n"/>
      <c r="S277" s="65" t="n"/>
      <c r="T277" s="65" t="n"/>
      <c r="U277" s="65" t="n"/>
      <c r="V277" s="77" t="n"/>
      <c r="W277" s="65" t="n"/>
      <c r="X277" s="65" t="n"/>
      <c r="Y277" s="65" t="n"/>
      <c r="Z277" s="65" t="n"/>
      <c r="AA277" s="65" t="n"/>
      <c r="AB277" s="65" t="n"/>
      <c r="AC277" s="65" t="n"/>
      <c r="AD277" s="65" t="n"/>
      <c r="AE277" s="65" t="n"/>
      <c r="AF277" s="65" t="n"/>
      <c r="AG277" s="65" t="n"/>
      <c r="AH277" s="65" t="n"/>
      <c r="AI277" s="65" t="n"/>
      <c r="AJ277" s="65" t="n"/>
      <c r="AK277" s="65" t="n"/>
      <c r="AL277" s="65" t="n"/>
      <c r="AM277" s="65" t="n"/>
      <c r="AN277" s="65" t="n"/>
      <c r="AO277" s="65" t="n"/>
      <c r="AP277" s="65" t="n"/>
    </row>
    <row r="278">
      <c r="F278" s="68" t="n"/>
      <c r="G278" s="68">
        <f>IF(B278="","",F278-I278 )</f>
        <v/>
      </c>
      <c r="H278" s="5">
        <f>IF(G278="","",G278/F278)</f>
        <v/>
      </c>
      <c r="J278" s="65" t="n"/>
      <c r="K278" s="65" t="n"/>
      <c r="L278" s="65" t="n"/>
      <c r="M278" s="65" t="n"/>
      <c r="N278" s="65" t="n"/>
      <c r="O278" s="65" t="n"/>
      <c r="P278" s="65" t="n"/>
      <c r="Q278" s="65" t="n"/>
      <c r="R278" s="65" t="n"/>
      <c r="S278" s="65" t="n"/>
      <c r="T278" s="65" t="n"/>
      <c r="U278" s="65" t="n"/>
      <c r="V278" s="77" t="n"/>
      <c r="W278" s="65" t="n"/>
      <c r="X278" s="65" t="n"/>
      <c r="Y278" s="65" t="n"/>
      <c r="Z278" s="65" t="n"/>
      <c r="AA278" s="65" t="n"/>
      <c r="AB278" s="65" t="n"/>
      <c r="AC278" s="65" t="n"/>
      <c r="AD278" s="65" t="n"/>
      <c r="AE278" s="65" t="n"/>
      <c r="AF278" s="65" t="n"/>
      <c r="AG278" s="65" t="n"/>
      <c r="AH278" s="65" t="n"/>
      <c r="AI278" s="65" t="n"/>
      <c r="AJ278" s="65" t="n"/>
      <c r="AK278" s="65" t="n"/>
      <c r="AL278" s="65" t="n"/>
      <c r="AM278" s="65" t="n"/>
      <c r="AN278" s="65" t="n"/>
      <c r="AO278" s="65" t="n"/>
      <c r="AP278" s="65" t="n"/>
    </row>
    <row r="279">
      <c r="F279" s="68" t="n"/>
      <c r="G279" s="68">
        <f>IF(B279="","",F279-I279 )</f>
        <v/>
      </c>
      <c r="H279" s="5">
        <f>IF(G279="","",G279/F279)</f>
        <v/>
      </c>
      <c r="J279" s="65" t="n"/>
      <c r="K279" s="65" t="n"/>
      <c r="L279" s="65" t="n"/>
      <c r="M279" s="65" t="n"/>
      <c r="N279" s="65" t="n"/>
      <c r="O279" s="65" t="n"/>
      <c r="P279" s="65" t="n"/>
      <c r="Q279" s="65" t="n"/>
      <c r="R279" s="65" t="n"/>
      <c r="S279" s="65" t="n"/>
      <c r="T279" s="65" t="n"/>
      <c r="U279" s="65" t="n"/>
      <c r="V279" s="77" t="n"/>
      <c r="W279" s="65" t="n"/>
      <c r="X279" s="65" t="n"/>
      <c r="Y279" s="65" t="n"/>
      <c r="Z279" s="65" t="n"/>
      <c r="AA279" s="65" t="n"/>
      <c r="AB279" s="65" t="n"/>
      <c r="AC279" s="65" t="n"/>
      <c r="AD279" s="65" t="n"/>
      <c r="AE279" s="65" t="n"/>
      <c r="AF279" s="65" t="n"/>
      <c r="AG279" s="65" t="n"/>
      <c r="AH279" s="65" t="n"/>
      <c r="AI279" s="65" t="n"/>
      <c r="AJ279" s="65" t="n"/>
      <c r="AK279" s="65" t="n"/>
      <c r="AL279" s="65" t="n"/>
      <c r="AM279" s="65" t="n"/>
      <c r="AN279" s="65" t="n"/>
      <c r="AO279" s="65" t="n"/>
      <c r="AP279" s="65" t="n"/>
    </row>
    <row r="280">
      <c r="F280" s="68" t="n"/>
      <c r="G280" s="68">
        <f>IF(B280="","",F280-I280 )</f>
        <v/>
      </c>
      <c r="H280" s="5">
        <f>IF(G280="","",G280/F280)</f>
        <v/>
      </c>
      <c r="J280" s="65" t="n"/>
      <c r="K280" s="65" t="n"/>
      <c r="L280" s="65" t="n"/>
      <c r="M280" s="65" t="n"/>
      <c r="N280" s="65" t="n"/>
      <c r="O280" s="65" t="n"/>
      <c r="P280" s="65" t="n"/>
      <c r="Q280" s="65" t="n"/>
      <c r="R280" s="65" t="n"/>
      <c r="S280" s="65" t="n"/>
      <c r="T280" s="65" t="n"/>
      <c r="U280" s="65" t="n"/>
      <c r="V280" s="77" t="n"/>
      <c r="W280" s="65" t="n"/>
      <c r="X280" s="65" t="n"/>
      <c r="Y280" s="65" t="n"/>
      <c r="Z280" s="65" t="n"/>
      <c r="AA280" s="65" t="n"/>
      <c r="AB280" s="65" t="n"/>
      <c r="AC280" s="65" t="n"/>
      <c r="AD280" s="65" t="n"/>
      <c r="AE280" s="65" t="n"/>
      <c r="AF280" s="65" t="n"/>
      <c r="AG280" s="65" t="n"/>
      <c r="AH280" s="65" t="n"/>
      <c r="AI280" s="65" t="n"/>
      <c r="AJ280" s="65" t="n"/>
      <c r="AK280" s="65" t="n"/>
      <c r="AL280" s="65" t="n"/>
      <c r="AM280" s="65" t="n"/>
      <c r="AN280" s="65" t="n"/>
      <c r="AO280" s="65" t="n"/>
      <c r="AP280" s="65" t="n"/>
    </row>
    <row r="281">
      <c r="F281" s="68" t="n"/>
      <c r="G281" s="68">
        <f>IF(B281="","",F281-I281 )</f>
        <v/>
      </c>
      <c r="H281" s="5">
        <f>IF(G281="","",G281/F281)</f>
        <v/>
      </c>
      <c r="J281" s="65" t="n"/>
      <c r="K281" s="65" t="n"/>
      <c r="L281" s="65" t="n"/>
      <c r="M281" s="65" t="n"/>
      <c r="N281" s="65" t="n"/>
      <c r="O281" s="65" t="n"/>
      <c r="P281" s="65" t="n"/>
      <c r="Q281" s="65" t="n"/>
      <c r="R281" s="65" t="n"/>
      <c r="S281" s="65" t="n"/>
      <c r="T281" s="65" t="n"/>
      <c r="U281" s="65" t="n"/>
      <c r="V281" s="77" t="n"/>
      <c r="W281" s="65" t="n"/>
      <c r="X281" s="65" t="n"/>
      <c r="Y281" s="65" t="n"/>
      <c r="Z281" s="65" t="n"/>
      <c r="AA281" s="65" t="n"/>
      <c r="AB281" s="65" t="n"/>
      <c r="AC281" s="65" t="n"/>
      <c r="AD281" s="65" t="n"/>
      <c r="AE281" s="65" t="n"/>
      <c r="AF281" s="65" t="n"/>
      <c r="AG281" s="65" t="n"/>
      <c r="AH281" s="65" t="n"/>
      <c r="AI281" s="65" t="n"/>
      <c r="AJ281" s="65" t="n"/>
      <c r="AK281" s="65" t="n"/>
      <c r="AL281" s="65" t="n"/>
      <c r="AM281" s="65" t="n"/>
      <c r="AN281" s="65" t="n"/>
      <c r="AO281" s="65" t="n"/>
      <c r="AP281" s="65" t="n"/>
    </row>
    <row r="282">
      <c r="F282" s="68" t="n"/>
      <c r="G282" s="68">
        <f>IF(B282="","",F282-I282 )</f>
        <v/>
      </c>
      <c r="H282" s="5">
        <f>IF(G282="","",G282/F282)</f>
        <v/>
      </c>
      <c r="J282" s="65" t="n"/>
      <c r="K282" s="65" t="n"/>
      <c r="L282" s="65" t="n"/>
      <c r="M282" s="65" t="n"/>
      <c r="N282" s="65" t="n"/>
      <c r="O282" s="65" t="n"/>
      <c r="P282" s="65" t="n"/>
      <c r="Q282" s="65" t="n"/>
      <c r="R282" s="65" t="n"/>
      <c r="S282" s="65" t="n"/>
      <c r="T282" s="65" t="n"/>
      <c r="U282" s="65" t="n"/>
      <c r="V282" s="77" t="n"/>
      <c r="W282" s="65" t="n"/>
      <c r="X282" s="65" t="n"/>
      <c r="Y282" s="65" t="n"/>
      <c r="Z282" s="65" t="n"/>
      <c r="AA282" s="65" t="n"/>
      <c r="AB282" s="65" t="n"/>
      <c r="AC282" s="65" t="n"/>
      <c r="AD282" s="65" t="n"/>
      <c r="AE282" s="65" t="n"/>
      <c r="AF282" s="65" t="n"/>
      <c r="AG282" s="65" t="n"/>
      <c r="AH282" s="65" t="n"/>
      <c r="AI282" s="65" t="n"/>
      <c r="AJ282" s="65" t="n"/>
      <c r="AK282" s="65" t="n"/>
      <c r="AL282" s="65" t="n"/>
      <c r="AM282" s="65" t="n"/>
      <c r="AN282" s="65" t="n"/>
      <c r="AO282" s="65" t="n"/>
      <c r="AP282" s="65" t="n"/>
    </row>
    <row r="283">
      <c r="F283" s="68" t="n"/>
      <c r="G283" s="68">
        <f>IF(B283="","",F283-I283 )</f>
        <v/>
      </c>
      <c r="H283" s="5">
        <f>IF(G283="","",G283/F283)</f>
        <v/>
      </c>
      <c r="J283" s="65" t="n"/>
      <c r="K283" s="65" t="n"/>
      <c r="L283" s="65" t="n"/>
      <c r="M283" s="65" t="n"/>
      <c r="N283" s="65" t="n"/>
      <c r="O283" s="65" t="n"/>
      <c r="P283" s="65" t="n"/>
      <c r="Q283" s="65" t="n"/>
      <c r="R283" s="65" t="n"/>
      <c r="S283" s="65" t="n"/>
      <c r="T283" s="65" t="n"/>
      <c r="U283" s="65" t="n"/>
      <c r="V283" s="77" t="n"/>
      <c r="W283" s="65" t="n"/>
      <c r="X283" s="65" t="n"/>
      <c r="Y283" s="65" t="n"/>
      <c r="Z283" s="65" t="n"/>
      <c r="AA283" s="65" t="n"/>
      <c r="AB283" s="65" t="n"/>
      <c r="AC283" s="65" t="n"/>
      <c r="AD283" s="65" t="n"/>
      <c r="AE283" s="65" t="n"/>
      <c r="AF283" s="65" t="n"/>
      <c r="AG283" s="65" t="n"/>
      <c r="AH283" s="65" t="n"/>
      <c r="AI283" s="65" t="n"/>
      <c r="AJ283" s="65" t="n"/>
      <c r="AK283" s="65" t="n"/>
      <c r="AL283" s="65" t="n"/>
      <c r="AM283" s="65" t="n"/>
      <c r="AN283" s="65" t="n"/>
      <c r="AO283" s="65" t="n"/>
      <c r="AP283" s="65" t="n"/>
    </row>
    <row r="284">
      <c r="F284" s="68" t="n"/>
      <c r="G284" s="68">
        <f>IF(B284="","",F284-I284 )</f>
        <v/>
      </c>
      <c r="H284" s="5">
        <f>IF(G284="","",G284/F284)</f>
        <v/>
      </c>
      <c r="J284" s="65" t="n"/>
      <c r="K284" s="65" t="n"/>
      <c r="L284" s="65" t="n"/>
      <c r="M284" s="65" t="n"/>
      <c r="N284" s="65" t="n"/>
      <c r="O284" s="65" t="n"/>
      <c r="P284" s="65" t="n"/>
      <c r="Q284" s="65" t="n"/>
      <c r="R284" s="65" t="n"/>
      <c r="S284" s="65" t="n"/>
      <c r="T284" s="65" t="n"/>
      <c r="U284" s="65" t="n"/>
      <c r="V284" s="77" t="n"/>
      <c r="W284" s="65" t="n"/>
      <c r="X284" s="65" t="n"/>
      <c r="Y284" s="65" t="n"/>
      <c r="Z284" s="65" t="n"/>
      <c r="AA284" s="65" t="n"/>
      <c r="AB284" s="65" t="n"/>
      <c r="AC284" s="65" t="n"/>
      <c r="AD284" s="65" t="n"/>
      <c r="AE284" s="65" t="n"/>
      <c r="AF284" s="65" t="n"/>
      <c r="AG284" s="65" t="n"/>
      <c r="AH284" s="65" t="n"/>
      <c r="AI284" s="65" t="n"/>
      <c r="AJ284" s="65" t="n"/>
      <c r="AK284" s="65" t="n"/>
      <c r="AL284" s="65" t="n"/>
      <c r="AM284" s="65" t="n"/>
      <c r="AN284" s="65" t="n"/>
      <c r="AO284" s="65" t="n"/>
      <c r="AP284" s="65" t="n"/>
    </row>
    <row r="285">
      <c r="F285" s="68" t="n"/>
      <c r="G285" s="68">
        <f>IF(B285="","",F285-I285 )</f>
        <v/>
      </c>
      <c r="H285" s="5">
        <f>IF(G285="","",G285/F285)</f>
        <v/>
      </c>
      <c r="J285" s="65" t="n"/>
      <c r="K285" s="65" t="n"/>
      <c r="L285" s="65" t="n"/>
      <c r="M285" s="65" t="n"/>
      <c r="N285" s="65" t="n"/>
      <c r="O285" s="65" t="n"/>
      <c r="P285" s="65" t="n"/>
      <c r="Q285" s="65" t="n"/>
      <c r="R285" s="65" t="n"/>
      <c r="S285" s="65" t="n"/>
      <c r="T285" s="65" t="n"/>
      <c r="U285" s="65" t="n"/>
      <c r="V285" s="77" t="n"/>
      <c r="W285" s="65" t="n"/>
      <c r="X285" s="65" t="n"/>
      <c r="Y285" s="65" t="n"/>
      <c r="Z285" s="65" t="n"/>
      <c r="AA285" s="65" t="n"/>
      <c r="AB285" s="65" t="n"/>
      <c r="AC285" s="65" t="n"/>
      <c r="AD285" s="65" t="n"/>
      <c r="AE285" s="65" t="n"/>
      <c r="AF285" s="65" t="n"/>
      <c r="AG285" s="65" t="n"/>
      <c r="AH285" s="65" t="n"/>
      <c r="AI285" s="65" t="n"/>
      <c r="AJ285" s="65" t="n"/>
      <c r="AK285" s="65" t="n"/>
      <c r="AL285" s="65" t="n"/>
      <c r="AM285" s="65" t="n"/>
      <c r="AN285" s="65" t="n"/>
      <c r="AO285" s="65" t="n"/>
      <c r="AP285" s="65" t="n"/>
    </row>
    <row r="286">
      <c r="F286" s="68" t="n"/>
      <c r="G286" s="68">
        <f>IF(B286="","",F286-I286 )</f>
        <v/>
      </c>
      <c r="H286" s="5">
        <f>IF(G286="","",G286/F286)</f>
        <v/>
      </c>
      <c r="J286" s="65" t="n"/>
      <c r="K286" s="65" t="n"/>
      <c r="L286" s="65" t="n"/>
      <c r="M286" s="65" t="n"/>
      <c r="N286" s="65" t="n"/>
      <c r="O286" s="65" t="n"/>
      <c r="P286" s="65" t="n"/>
      <c r="Q286" s="65" t="n"/>
      <c r="R286" s="65" t="n"/>
      <c r="S286" s="65" t="n"/>
      <c r="T286" s="65" t="n"/>
      <c r="U286" s="65" t="n"/>
      <c r="V286" s="77" t="n"/>
      <c r="W286" s="65" t="n"/>
      <c r="X286" s="65" t="n"/>
      <c r="Y286" s="65" t="n"/>
      <c r="Z286" s="65" t="n"/>
      <c r="AA286" s="65" t="n"/>
      <c r="AB286" s="65" t="n"/>
      <c r="AC286" s="65" t="n"/>
      <c r="AD286" s="65" t="n"/>
      <c r="AE286" s="65" t="n"/>
      <c r="AF286" s="65" t="n"/>
      <c r="AG286" s="65" t="n"/>
      <c r="AH286" s="65" t="n"/>
      <c r="AI286" s="65" t="n"/>
      <c r="AJ286" s="65" t="n"/>
      <c r="AK286" s="65" t="n"/>
      <c r="AL286" s="65" t="n"/>
      <c r="AM286" s="65" t="n"/>
      <c r="AN286" s="65" t="n"/>
      <c r="AO286" s="65" t="n"/>
      <c r="AP286" s="65" t="n"/>
    </row>
    <row r="287">
      <c r="F287" s="68" t="n"/>
      <c r="G287" s="68">
        <f>IF(B287="","",F287-I287 )</f>
        <v/>
      </c>
      <c r="H287" s="5">
        <f>IF(G287="","",G287/F287)</f>
        <v/>
      </c>
      <c r="J287" s="65" t="n"/>
      <c r="K287" s="65" t="n"/>
      <c r="L287" s="65" t="n"/>
      <c r="M287" s="65" t="n"/>
      <c r="N287" s="65" t="n"/>
      <c r="O287" s="65" t="n"/>
      <c r="P287" s="65" t="n"/>
      <c r="Q287" s="65" t="n"/>
      <c r="R287" s="65" t="n"/>
      <c r="S287" s="65" t="n"/>
      <c r="T287" s="65" t="n"/>
      <c r="U287" s="65" t="n"/>
      <c r="V287" s="77" t="n"/>
      <c r="W287" s="65" t="n"/>
      <c r="X287" s="65" t="n"/>
      <c r="Y287" s="65" t="n"/>
      <c r="Z287" s="65" t="n"/>
      <c r="AA287" s="65" t="n"/>
      <c r="AB287" s="65" t="n"/>
      <c r="AC287" s="65" t="n"/>
      <c r="AD287" s="65" t="n"/>
      <c r="AE287" s="65" t="n"/>
      <c r="AF287" s="65" t="n"/>
      <c r="AG287" s="65" t="n"/>
      <c r="AH287" s="65" t="n"/>
      <c r="AI287" s="65" t="n"/>
      <c r="AJ287" s="65" t="n"/>
      <c r="AK287" s="65" t="n"/>
      <c r="AL287" s="65" t="n"/>
      <c r="AM287" s="65" t="n"/>
      <c r="AN287" s="65" t="n"/>
      <c r="AO287" s="65" t="n"/>
      <c r="AP287" s="65" t="n"/>
    </row>
    <row r="288">
      <c r="F288" s="68" t="n"/>
      <c r="G288" s="68">
        <f>IF(B288="","",F288-I288 )</f>
        <v/>
      </c>
      <c r="H288" s="5">
        <f>IF(G288="","",G288/F288)</f>
        <v/>
      </c>
      <c r="J288" s="65" t="n"/>
      <c r="K288" s="65" t="n"/>
      <c r="L288" s="65" t="n"/>
      <c r="M288" s="65" t="n"/>
      <c r="N288" s="65" t="n"/>
      <c r="O288" s="65" t="n"/>
      <c r="P288" s="65" t="n"/>
      <c r="Q288" s="65" t="n"/>
      <c r="R288" s="65" t="n"/>
      <c r="S288" s="65" t="n"/>
      <c r="T288" s="65" t="n"/>
      <c r="U288" s="65" t="n"/>
      <c r="V288" s="77" t="n"/>
      <c r="W288" s="65" t="n"/>
      <c r="X288" s="65" t="n"/>
      <c r="Y288" s="65" t="n"/>
      <c r="Z288" s="65" t="n"/>
      <c r="AA288" s="65" t="n"/>
      <c r="AB288" s="65" t="n"/>
      <c r="AC288" s="65" t="n"/>
      <c r="AD288" s="65" t="n"/>
      <c r="AE288" s="65" t="n"/>
      <c r="AF288" s="65" t="n"/>
      <c r="AG288" s="65" t="n"/>
      <c r="AH288" s="65" t="n"/>
      <c r="AI288" s="65" t="n"/>
      <c r="AJ288" s="65" t="n"/>
      <c r="AK288" s="65" t="n"/>
      <c r="AL288" s="65" t="n"/>
      <c r="AM288" s="65" t="n"/>
      <c r="AN288" s="65" t="n"/>
      <c r="AO288" s="65" t="n"/>
      <c r="AP288" s="65" t="n"/>
    </row>
    <row r="289">
      <c r="F289" s="68" t="n"/>
      <c r="G289" s="68">
        <f>IF(B289="","",F289-I289 )</f>
        <v/>
      </c>
      <c r="H289" s="5">
        <f>IF(G289="","",G289/F289)</f>
        <v/>
      </c>
      <c r="J289" s="65" t="n"/>
      <c r="K289" s="65" t="n"/>
      <c r="L289" s="65" t="n"/>
      <c r="M289" s="65" t="n"/>
      <c r="N289" s="65" t="n"/>
      <c r="O289" s="65" t="n"/>
      <c r="P289" s="65" t="n"/>
      <c r="Q289" s="65" t="n"/>
      <c r="R289" s="65" t="n"/>
      <c r="S289" s="65" t="n"/>
      <c r="T289" s="65" t="n"/>
      <c r="U289" s="65" t="n"/>
      <c r="V289" s="77" t="n"/>
      <c r="W289" s="65" t="n"/>
      <c r="X289" s="65" t="n"/>
      <c r="Y289" s="65" t="n"/>
      <c r="Z289" s="65" t="n"/>
      <c r="AA289" s="65" t="n"/>
      <c r="AB289" s="65" t="n"/>
      <c r="AC289" s="65" t="n"/>
      <c r="AD289" s="65" t="n"/>
      <c r="AE289" s="65" t="n"/>
      <c r="AF289" s="65" t="n"/>
      <c r="AG289" s="65" t="n"/>
      <c r="AH289" s="65" t="n"/>
      <c r="AI289" s="65" t="n"/>
      <c r="AJ289" s="65" t="n"/>
      <c r="AK289" s="65" t="n"/>
      <c r="AL289" s="65" t="n"/>
      <c r="AM289" s="65" t="n"/>
      <c r="AN289" s="65" t="n"/>
      <c r="AO289" s="65" t="n"/>
      <c r="AP289" s="65" t="n"/>
    </row>
    <row r="290">
      <c r="F290" s="68" t="n"/>
      <c r="G290" s="68">
        <f>IF(B290="","",F290-I290 )</f>
        <v/>
      </c>
      <c r="H290" s="5">
        <f>IF(G290="","",G290/F290)</f>
        <v/>
      </c>
      <c r="J290" s="65" t="n"/>
      <c r="K290" s="65" t="n"/>
      <c r="L290" s="65" t="n"/>
      <c r="M290" s="65" t="n"/>
      <c r="N290" s="65" t="n"/>
      <c r="O290" s="65" t="n"/>
      <c r="P290" s="65" t="n"/>
      <c r="Q290" s="65" t="n"/>
      <c r="R290" s="65" t="n"/>
      <c r="S290" s="65" t="n"/>
      <c r="T290" s="65" t="n"/>
      <c r="U290" s="65" t="n"/>
      <c r="V290" s="77" t="n"/>
      <c r="W290" s="65" t="n"/>
      <c r="X290" s="65" t="n"/>
      <c r="Y290" s="65" t="n"/>
      <c r="Z290" s="65" t="n"/>
      <c r="AA290" s="65" t="n"/>
      <c r="AB290" s="65" t="n"/>
      <c r="AC290" s="65" t="n"/>
      <c r="AD290" s="65" t="n"/>
      <c r="AE290" s="65" t="n"/>
      <c r="AF290" s="65" t="n"/>
      <c r="AG290" s="65" t="n"/>
      <c r="AH290" s="65" t="n"/>
      <c r="AI290" s="65" t="n"/>
      <c r="AJ290" s="65" t="n"/>
      <c r="AK290" s="65" t="n"/>
      <c r="AL290" s="65" t="n"/>
      <c r="AM290" s="65" t="n"/>
      <c r="AN290" s="65" t="n"/>
      <c r="AO290" s="65" t="n"/>
      <c r="AP290" s="65" t="n"/>
    </row>
    <row r="291">
      <c r="F291" s="68" t="n"/>
      <c r="G291" s="68">
        <f>IF(B291="","",F291-I291 )</f>
        <v/>
      </c>
      <c r="H291" s="5">
        <f>IF(G291="","",G291/F291)</f>
        <v/>
      </c>
      <c r="J291" s="65" t="n"/>
      <c r="K291" s="65" t="n"/>
      <c r="L291" s="65" t="n"/>
      <c r="M291" s="65" t="n"/>
      <c r="N291" s="65" t="n"/>
      <c r="O291" s="65" t="n"/>
      <c r="P291" s="65" t="n"/>
      <c r="Q291" s="65" t="n"/>
      <c r="R291" s="65" t="n"/>
      <c r="S291" s="65" t="n"/>
      <c r="T291" s="65" t="n"/>
      <c r="U291" s="65" t="n"/>
      <c r="V291" s="77" t="n"/>
      <c r="W291" s="65" t="n"/>
      <c r="X291" s="65" t="n"/>
      <c r="Y291" s="65" t="n"/>
      <c r="Z291" s="65" t="n"/>
      <c r="AA291" s="65" t="n"/>
      <c r="AB291" s="65" t="n"/>
      <c r="AC291" s="65" t="n"/>
      <c r="AD291" s="65" t="n"/>
      <c r="AE291" s="65" t="n"/>
      <c r="AF291" s="65" t="n"/>
      <c r="AG291" s="65" t="n"/>
      <c r="AH291" s="65" t="n"/>
      <c r="AI291" s="65" t="n"/>
      <c r="AJ291" s="65" t="n"/>
      <c r="AK291" s="65" t="n"/>
      <c r="AL291" s="65" t="n"/>
      <c r="AM291" s="65" t="n"/>
      <c r="AN291" s="65" t="n"/>
      <c r="AO291" s="65" t="n"/>
      <c r="AP291" s="65" t="n"/>
    </row>
    <row r="292">
      <c r="F292" s="68" t="n"/>
      <c r="G292" s="68">
        <f>IF(B292="","",F292-I292 )</f>
        <v/>
      </c>
      <c r="H292" s="5">
        <f>IF(G292="","",G292/F292)</f>
        <v/>
      </c>
      <c r="J292" s="65" t="n"/>
      <c r="K292" s="65" t="n"/>
      <c r="L292" s="65" t="n"/>
      <c r="M292" s="65" t="n"/>
      <c r="N292" s="65" t="n"/>
      <c r="O292" s="65" t="n"/>
      <c r="P292" s="65" t="n"/>
      <c r="Q292" s="65" t="n"/>
      <c r="R292" s="65" t="n"/>
      <c r="S292" s="65" t="n"/>
      <c r="T292" s="65" t="n"/>
      <c r="U292" s="65" t="n"/>
      <c r="V292" s="77" t="n"/>
      <c r="W292" s="65" t="n"/>
      <c r="X292" s="65" t="n"/>
      <c r="Y292" s="65" t="n"/>
      <c r="Z292" s="65" t="n"/>
      <c r="AA292" s="65" t="n"/>
      <c r="AB292" s="65" t="n"/>
      <c r="AC292" s="65" t="n"/>
      <c r="AD292" s="65" t="n"/>
      <c r="AE292" s="65" t="n"/>
      <c r="AF292" s="65" t="n"/>
      <c r="AG292" s="65" t="n"/>
      <c r="AH292" s="65" t="n"/>
      <c r="AI292" s="65" t="n"/>
      <c r="AJ292" s="65" t="n"/>
      <c r="AK292" s="65" t="n"/>
      <c r="AL292" s="65" t="n"/>
      <c r="AM292" s="65" t="n"/>
      <c r="AN292" s="65" t="n"/>
      <c r="AO292" s="65" t="n"/>
      <c r="AP292" s="65" t="n"/>
    </row>
    <row r="293">
      <c r="F293" s="68" t="n"/>
      <c r="G293" s="68">
        <f>IF(B293="","",F293-I293 )</f>
        <v/>
      </c>
      <c r="H293" s="5">
        <f>IF(G293="","",G293/F293)</f>
        <v/>
      </c>
      <c r="J293" s="65" t="n"/>
      <c r="K293" s="65" t="n"/>
      <c r="L293" s="65" t="n"/>
      <c r="M293" s="65" t="n"/>
      <c r="N293" s="65" t="n"/>
      <c r="O293" s="65" t="n"/>
      <c r="P293" s="65" t="n"/>
      <c r="Q293" s="65" t="n"/>
      <c r="R293" s="65" t="n"/>
      <c r="S293" s="65" t="n"/>
      <c r="T293" s="65" t="n"/>
      <c r="U293" s="65" t="n"/>
      <c r="V293" s="77" t="n"/>
      <c r="W293" s="65" t="n"/>
      <c r="X293" s="65" t="n"/>
      <c r="Y293" s="65" t="n"/>
      <c r="Z293" s="65" t="n"/>
      <c r="AA293" s="65" t="n"/>
      <c r="AB293" s="65" t="n"/>
      <c r="AC293" s="65" t="n"/>
      <c r="AD293" s="65" t="n"/>
      <c r="AE293" s="65" t="n"/>
      <c r="AF293" s="65" t="n"/>
      <c r="AG293" s="65" t="n"/>
      <c r="AH293" s="65" t="n"/>
      <c r="AI293" s="65" t="n"/>
      <c r="AJ293" s="65" t="n"/>
      <c r="AK293" s="65" t="n"/>
      <c r="AL293" s="65" t="n"/>
      <c r="AM293" s="65" t="n"/>
      <c r="AN293" s="65" t="n"/>
      <c r="AO293" s="65" t="n"/>
      <c r="AP293" s="65" t="n"/>
    </row>
    <row r="294">
      <c r="F294" s="68" t="n"/>
      <c r="G294" s="68">
        <f>IF(B294="","",F294-I294 )</f>
        <v/>
      </c>
      <c r="H294" s="5">
        <f>IF(G294="","",G294/F294)</f>
        <v/>
      </c>
      <c r="J294" s="65" t="n"/>
      <c r="K294" s="65" t="n"/>
      <c r="L294" s="65" t="n"/>
      <c r="M294" s="65" t="n"/>
      <c r="N294" s="65" t="n"/>
      <c r="O294" s="65" t="n"/>
      <c r="P294" s="65" t="n"/>
      <c r="Q294" s="65" t="n"/>
      <c r="R294" s="65" t="n"/>
      <c r="S294" s="65" t="n"/>
      <c r="T294" s="65" t="n"/>
      <c r="U294" s="65" t="n"/>
      <c r="V294" s="77" t="n"/>
      <c r="W294" s="65" t="n"/>
      <c r="X294" s="65" t="n"/>
      <c r="Y294" s="65" t="n"/>
      <c r="Z294" s="65" t="n"/>
      <c r="AA294" s="65" t="n"/>
      <c r="AB294" s="65" t="n"/>
      <c r="AC294" s="65" t="n"/>
      <c r="AD294" s="65" t="n"/>
      <c r="AE294" s="65" t="n"/>
      <c r="AF294" s="65" t="n"/>
      <c r="AG294" s="65" t="n"/>
      <c r="AH294" s="65" t="n"/>
      <c r="AI294" s="65" t="n"/>
      <c r="AJ294" s="65" t="n"/>
      <c r="AK294" s="65" t="n"/>
      <c r="AL294" s="65" t="n"/>
      <c r="AM294" s="65" t="n"/>
      <c r="AN294" s="65" t="n"/>
      <c r="AO294" s="65" t="n"/>
      <c r="AP294" s="65" t="n"/>
    </row>
    <row r="295">
      <c r="F295" s="68" t="n"/>
      <c r="G295" s="68">
        <f>IF(B295="","",F295-I295 )</f>
        <v/>
      </c>
      <c r="H295" s="5">
        <f>IF(G295="","",G295/F295)</f>
        <v/>
      </c>
      <c r="J295" s="65" t="n"/>
      <c r="K295" s="65" t="n"/>
      <c r="L295" s="65" t="n"/>
      <c r="M295" s="65" t="n"/>
      <c r="N295" s="65" t="n"/>
      <c r="O295" s="65" t="n"/>
      <c r="P295" s="65" t="n"/>
      <c r="Q295" s="65" t="n"/>
      <c r="R295" s="65" t="n"/>
      <c r="S295" s="65" t="n"/>
      <c r="T295" s="65" t="n"/>
      <c r="U295" s="65" t="n"/>
      <c r="V295" s="77" t="n"/>
      <c r="W295" s="65" t="n"/>
      <c r="X295" s="65" t="n"/>
      <c r="Y295" s="65" t="n"/>
      <c r="Z295" s="65" t="n"/>
      <c r="AA295" s="65" t="n"/>
      <c r="AB295" s="65" t="n"/>
      <c r="AC295" s="65" t="n"/>
      <c r="AD295" s="65" t="n"/>
      <c r="AE295" s="65" t="n"/>
      <c r="AF295" s="65" t="n"/>
      <c r="AG295" s="65" t="n"/>
      <c r="AH295" s="65" t="n"/>
      <c r="AI295" s="65" t="n"/>
      <c r="AJ295" s="65" t="n"/>
      <c r="AK295" s="65" t="n"/>
      <c r="AL295" s="65" t="n"/>
      <c r="AM295" s="65" t="n"/>
      <c r="AN295" s="65" t="n"/>
      <c r="AO295" s="65" t="n"/>
      <c r="AP295" s="65" t="n"/>
    </row>
    <row r="296">
      <c r="F296" s="68" t="n"/>
      <c r="G296" s="68">
        <f>IF(B296="","",F296-I296 )</f>
        <v/>
      </c>
      <c r="H296" s="5">
        <f>IF(G296="","",G296/F296)</f>
        <v/>
      </c>
      <c r="J296" s="65" t="n"/>
      <c r="K296" s="65" t="n"/>
      <c r="L296" s="65" t="n"/>
      <c r="M296" s="65" t="n"/>
      <c r="N296" s="65" t="n"/>
      <c r="O296" s="65" t="n"/>
      <c r="P296" s="65" t="n"/>
      <c r="Q296" s="65" t="n"/>
      <c r="R296" s="65" t="n"/>
      <c r="S296" s="65" t="n"/>
      <c r="T296" s="65" t="n"/>
      <c r="U296" s="65" t="n"/>
      <c r="V296" s="77" t="n"/>
      <c r="W296" s="65" t="n"/>
      <c r="X296" s="65" t="n"/>
      <c r="Y296" s="65" t="n"/>
      <c r="Z296" s="65" t="n"/>
      <c r="AA296" s="65" t="n"/>
      <c r="AB296" s="65" t="n"/>
      <c r="AC296" s="65" t="n"/>
      <c r="AD296" s="65" t="n"/>
      <c r="AE296" s="65" t="n"/>
      <c r="AF296" s="65" t="n"/>
      <c r="AG296" s="65" t="n"/>
      <c r="AH296" s="65" t="n"/>
      <c r="AI296" s="65" t="n"/>
      <c r="AJ296" s="65" t="n"/>
      <c r="AK296" s="65" t="n"/>
      <c r="AL296" s="65" t="n"/>
      <c r="AM296" s="65" t="n"/>
      <c r="AN296" s="65" t="n"/>
      <c r="AO296" s="65" t="n"/>
      <c r="AP296" s="65" t="n"/>
    </row>
    <row r="297">
      <c r="F297" s="68" t="n"/>
      <c r="G297" s="68">
        <f>IF(B297="","",F297-I297 )</f>
        <v/>
      </c>
      <c r="H297" s="5">
        <f>IF(G297="","",G297/F297)</f>
        <v/>
      </c>
      <c r="J297" s="65" t="n"/>
      <c r="K297" s="65" t="n"/>
      <c r="L297" s="65" t="n"/>
      <c r="M297" s="65" t="n"/>
      <c r="N297" s="65" t="n"/>
      <c r="O297" s="65" t="n"/>
      <c r="P297" s="65" t="n"/>
      <c r="Q297" s="65" t="n"/>
      <c r="R297" s="65" t="n"/>
      <c r="S297" s="65" t="n"/>
      <c r="T297" s="65" t="n"/>
      <c r="U297" s="65" t="n"/>
      <c r="V297" s="77" t="n"/>
      <c r="W297" s="65" t="n"/>
      <c r="X297" s="65" t="n"/>
      <c r="Y297" s="65" t="n"/>
      <c r="Z297" s="65" t="n"/>
      <c r="AA297" s="65" t="n"/>
      <c r="AB297" s="65" t="n"/>
      <c r="AC297" s="65" t="n"/>
      <c r="AD297" s="65" t="n"/>
      <c r="AE297" s="65" t="n"/>
      <c r="AF297" s="65" t="n"/>
      <c r="AG297" s="65" t="n"/>
      <c r="AH297" s="65" t="n"/>
      <c r="AI297" s="65" t="n"/>
      <c r="AJ297" s="65" t="n"/>
      <c r="AK297" s="65" t="n"/>
      <c r="AL297" s="65" t="n"/>
      <c r="AM297" s="65" t="n"/>
      <c r="AN297" s="65" t="n"/>
      <c r="AO297" s="65" t="n"/>
      <c r="AP297" s="65" t="n"/>
    </row>
    <row r="298">
      <c r="F298" s="68" t="n"/>
      <c r="G298" s="68">
        <f>IF(B298="","",F298-I298 )</f>
        <v/>
      </c>
      <c r="H298" s="5">
        <f>IF(G298="","",G298/F298)</f>
        <v/>
      </c>
      <c r="J298" s="65" t="n"/>
      <c r="K298" s="65" t="n"/>
      <c r="L298" s="65" t="n"/>
      <c r="M298" s="65" t="n"/>
      <c r="N298" s="65" t="n"/>
      <c r="O298" s="65" t="n"/>
      <c r="P298" s="65" t="n"/>
      <c r="Q298" s="65" t="n"/>
      <c r="R298" s="65" t="n"/>
      <c r="S298" s="65" t="n"/>
      <c r="T298" s="65" t="n"/>
      <c r="U298" s="65" t="n"/>
      <c r="V298" s="77" t="n"/>
      <c r="W298" s="65" t="n"/>
      <c r="X298" s="65" t="n"/>
      <c r="Y298" s="65" t="n"/>
      <c r="Z298" s="65" t="n"/>
      <c r="AA298" s="65" t="n"/>
      <c r="AB298" s="65" t="n"/>
      <c r="AC298" s="65" t="n"/>
      <c r="AD298" s="65" t="n"/>
      <c r="AE298" s="65" t="n"/>
      <c r="AF298" s="65" t="n"/>
      <c r="AG298" s="65" t="n"/>
      <c r="AH298" s="65" t="n"/>
      <c r="AI298" s="65" t="n"/>
      <c r="AJ298" s="65" t="n"/>
      <c r="AK298" s="65" t="n"/>
      <c r="AL298" s="65" t="n"/>
      <c r="AM298" s="65" t="n"/>
      <c r="AN298" s="65" t="n"/>
      <c r="AO298" s="65" t="n"/>
      <c r="AP298" s="65" t="n"/>
    </row>
    <row r="299">
      <c r="F299" s="68" t="n"/>
      <c r="G299" s="68">
        <f>IF(B299="","",F299-I299 )</f>
        <v/>
      </c>
      <c r="H299" s="5">
        <f>IF(G299="","",G299/F299)</f>
        <v/>
      </c>
      <c r="J299" s="65" t="n"/>
      <c r="K299" s="65" t="n"/>
      <c r="L299" s="65" t="n"/>
      <c r="M299" s="65" t="n"/>
      <c r="N299" s="65" t="n"/>
      <c r="O299" s="65" t="n"/>
      <c r="P299" s="65" t="n"/>
      <c r="Q299" s="65" t="n"/>
      <c r="R299" s="65" t="n"/>
      <c r="S299" s="65" t="n"/>
      <c r="T299" s="65" t="n"/>
      <c r="U299" s="65" t="n"/>
      <c r="V299" s="77" t="n"/>
      <c r="W299" s="65" t="n"/>
      <c r="X299" s="65" t="n"/>
      <c r="Y299" s="65" t="n"/>
      <c r="Z299" s="65" t="n"/>
      <c r="AA299" s="65" t="n"/>
      <c r="AB299" s="65" t="n"/>
      <c r="AC299" s="65" t="n"/>
      <c r="AD299" s="65" t="n"/>
      <c r="AE299" s="65" t="n"/>
      <c r="AF299" s="65" t="n"/>
      <c r="AG299" s="65" t="n"/>
      <c r="AH299" s="65" t="n"/>
      <c r="AI299" s="65" t="n"/>
      <c r="AJ299" s="65" t="n"/>
      <c r="AK299" s="65" t="n"/>
      <c r="AL299" s="65" t="n"/>
      <c r="AM299" s="65" t="n"/>
      <c r="AN299" s="65" t="n"/>
      <c r="AO299" s="65" t="n"/>
      <c r="AP299" s="65" t="n"/>
    </row>
    <row r="300">
      <c r="F300" s="68" t="n"/>
      <c r="G300" s="68">
        <f>IF(B300="","",F300-I300 )</f>
        <v/>
      </c>
      <c r="H300" s="5">
        <f>IF(G300="","",G300/F300)</f>
        <v/>
      </c>
      <c r="J300" s="65" t="n"/>
      <c r="K300" s="65" t="n"/>
      <c r="L300" s="65" t="n"/>
      <c r="M300" s="65" t="n"/>
      <c r="N300" s="65" t="n"/>
      <c r="O300" s="65" t="n"/>
      <c r="P300" s="65" t="n"/>
      <c r="Q300" s="65" t="n"/>
      <c r="R300" s="65" t="n"/>
      <c r="S300" s="65" t="n"/>
      <c r="T300" s="65" t="n"/>
      <c r="U300" s="65" t="n"/>
      <c r="V300" s="77" t="n"/>
      <c r="W300" s="65" t="n"/>
      <c r="X300" s="65" t="n"/>
      <c r="Y300" s="65" t="n"/>
      <c r="Z300" s="65" t="n"/>
      <c r="AA300" s="65" t="n"/>
      <c r="AB300" s="65" t="n"/>
      <c r="AC300" s="65" t="n"/>
      <c r="AD300" s="65" t="n"/>
      <c r="AE300" s="65" t="n"/>
      <c r="AF300" s="65" t="n"/>
      <c r="AG300" s="65" t="n"/>
      <c r="AH300" s="65" t="n"/>
      <c r="AI300" s="65" t="n"/>
      <c r="AJ300" s="65" t="n"/>
      <c r="AK300" s="65" t="n"/>
      <c r="AL300" s="65" t="n"/>
      <c r="AM300" s="65" t="n"/>
      <c r="AN300" s="65" t="n"/>
      <c r="AO300" s="65" t="n"/>
      <c r="AP300" s="65" t="n"/>
    </row>
    <row r="301">
      <c r="F301" s="68" t="n"/>
      <c r="G301" s="68">
        <f>IF(B301="","",F301-I301 )</f>
        <v/>
      </c>
      <c r="H301" s="5">
        <f>IF(G301="","",G301/F301)</f>
        <v/>
      </c>
      <c r="J301" s="65" t="n"/>
      <c r="K301" s="65" t="n"/>
      <c r="L301" s="65" t="n"/>
      <c r="M301" s="65" t="n"/>
      <c r="N301" s="65" t="n"/>
      <c r="O301" s="65" t="n"/>
      <c r="P301" s="65" t="n"/>
      <c r="Q301" s="65" t="n"/>
      <c r="R301" s="65" t="n"/>
      <c r="S301" s="65" t="n"/>
      <c r="T301" s="65" t="n"/>
      <c r="U301" s="65" t="n"/>
      <c r="V301" s="77" t="n"/>
      <c r="W301" s="65" t="n"/>
      <c r="X301" s="65" t="n"/>
      <c r="Y301" s="65" t="n"/>
      <c r="Z301" s="65" t="n"/>
      <c r="AA301" s="65" t="n"/>
      <c r="AB301" s="65" t="n"/>
      <c r="AC301" s="65" t="n"/>
      <c r="AD301" s="65" t="n"/>
      <c r="AE301" s="65" t="n"/>
      <c r="AF301" s="65" t="n"/>
      <c r="AG301" s="65" t="n"/>
      <c r="AH301" s="65" t="n"/>
      <c r="AI301" s="65" t="n"/>
      <c r="AJ301" s="65" t="n"/>
      <c r="AK301" s="65" t="n"/>
      <c r="AL301" s="65" t="n"/>
      <c r="AM301" s="65" t="n"/>
      <c r="AN301" s="65" t="n"/>
      <c r="AO301" s="65" t="n"/>
      <c r="AP301" s="65" t="n"/>
    </row>
    <row r="302">
      <c r="F302" s="68" t="n"/>
      <c r="G302" s="68">
        <f>IF(B302="","",F302-I302 )</f>
        <v/>
      </c>
      <c r="H302" s="5">
        <f>IF(G302="","",G302/F302)</f>
        <v/>
      </c>
      <c r="J302" s="65" t="n"/>
      <c r="K302" s="65" t="n"/>
      <c r="L302" s="65" t="n"/>
      <c r="M302" s="65" t="n"/>
      <c r="N302" s="65" t="n"/>
      <c r="O302" s="65" t="n"/>
      <c r="P302" s="65" t="n"/>
      <c r="Q302" s="65" t="n"/>
      <c r="R302" s="65" t="n"/>
      <c r="S302" s="65" t="n"/>
      <c r="T302" s="65" t="n"/>
      <c r="U302" s="65" t="n"/>
      <c r="V302" s="77" t="n"/>
      <c r="W302" s="65" t="n"/>
      <c r="X302" s="65" t="n"/>
      <c r="Y302" s="65" t="n"/>
      <c r="Z302" s="65" t="n"/>
      <c r="AA302" s="65" t="n"/>
      <c r="AB302" s="65" t="n"/>
      <c r="AC302" s="65" t="n"/>
      <c r="AD302" s="65" t="n"/>
      <c r="AE302" s="65" t="n"/>
      <c r="AF302" s="65" t="n"/>
      <c r="AG302" s="65" t="n"/>
      <c r="AH302" s="65" t="n"/>
      <c r="AI302" s="65" t="n"/>
      <c r="AJ302" s="65" t="n"/>
      <c r="AK302" s="65" t="n"/>
      <c r="AL302" s="65" t="n"/>
      <c r="AM302" s="65" t="n"/>
      <c r="AN302" s="65" t="n"/>
      <c r="AO302" s="65" t="n"/>
      <c r="AP302" s="65" t="n"/>
    </row>
    <row r="303">
      <c r="F303" s="68" t="n"/>
      <c r="G303" s="68">
        <f>IF(B303="","",F303-I303 )</f>
        <v/>
      </c>
      <c r="H303" s="5">
        <f>IF(G303="","",G303/F303)</f>
        <v/>
      </c>
      <c r="J303" s="65" t="n"/>
      <c r="K303" s="65" t="n"/>
      <c r="L303" s="65" t="n"/>
      <c r="M303" s="65" t="n"/>
      <c r="N303" s="65" t="n"/>
      <c r="O303" s="65" t="n"/>
      <c r="P303" s="65" t="n"/>
      <c r="Q303" s="65" t="n"/>
      <c r="R303" s="65" t="n"/>
      <c r="S303" s="65" t="n"/>
      <c r="T303" s="65" t="n"/>
      <c r="U303" s="65" t="n"/>
      <c r="V303" s="77" t="n"/>
      <c r="W303" s="65" t="n"/>
      <c r="X303" s="65" t="n"/>
      <c r="Y303" s="65" t="n"/>
      <c r="Z303" s="65" t="n"/>
      <c r="AA303" s="65" t="n"/>
      <c r="AB303" s="65" t="n"/>
      <c r="AC303" s="65" t="n"/>
      <c r="AD303" s="65" t="n"/>
      <c r="AE303" s="65" t="n"/>
      <c r="AF303" s="65" t="n"/>
      <c r="AG303" s="65" t="n"/>
      <c r="AH303" s="65" t="n"/>
      <c r="AI303" s="65" t="n"/>
      <c r="AJ303" s="65" t="n"/>
      <c r="AK303" s="65" t="n"/>
      <c r="AL303" s="65" t="n"/>
      <c r="AM303" s="65" t="n"/>
      <c r="AN303" s="65" t="n"/>
      <c r="AO303" s="65" t="n"/>
      <c r="AP303" s="65" t="n"/>
    </row>
    <row r="304">
      <c r="F304" s="68" t="n"/>
      <c r="G304" s="68">
        <f>IF(B304="","",F304-I304 )</f>
        <v/>
      </c>
      <c r="H304" s="5">
        <f>IF(G304="","",G304/F304)</f>
        <v/>
      </c>
      <c r="J304" s="65" t="n"/>
      <c r="K304" s="65" t="n"/>
      <c r="L304" s="65" t="n"/>
      <c r="M304" s="65" t="n"/>
      <c r="N304" s="65" t="n"/>
      <c r="O304" s="65" t="n"/>
      <c r="P304" s="65" t="n"/>
      <c r="Q304" s="65" t="n"/>
      <c r="R304" s="65" t="n"/>
      <c r="S304" s="65" t="n"/>
      <c r="T304" s="65" t="n"/>
      <c r="U304" s="65" t="n"/>
      <c r="V304" s="77" t="n"/>
      <c r="W304" s="65" t="n"/>
      <c r="X304" s="65" t="n"/>
      <c r="Y304" s="65" t="n"/>
      <c r="Z304" s="65" t="n"/>
      <c r="AA304" s="65" t="n"/>
      <c r="AB304" s="65" t="n"/>
      <c r="AC304" s="65" t="n"/>
      <c r="AD304" s="65" t="n"/>
      <c r="AE304" s="65" t="n"/>
      <c r="AF304" s="65" t="n"/>
      <c r="AG304" s="65" t="n"/>
      <c r="AH304" s="65" t="n"/>
      <c r="AI304" s="65" t="n"/>
      <c r="AJ304" s="65" t="n"/>
      <c r="AK304" s="65" t="n"/>
      <c r="AL304" s="65" t="n"/>
      <c r="AM304" s="65" t="n"/>
      <c r="AN304" s="65" t="n"/>
      <c r="AO304" s="65" t="n"/>
      <c r="AP304" s="65" t="n"/>
    </row>
    <row r="305">
      <c r="F305" s="68" t="n"/>
      <c r="G305" s="68">
        <f>IF(B305="","",F305-I305 )</f>
        <v/>
      </c>
      <c r="H305" s="5">
        <f>IF(G305="","",G305/F305)</f>
        <v/>
      </c>
      <c r="J305" s="65" t="n"/>
      <c r="K305" s="65" t="n"/>
      <c r="L305" s="65" t="n"/>
      <c r="M305" s="65" t="n"/>
      <c r="N305" s="65" t="n"/>
      <c r="O305" s="65" t="n"/>
      <c r="P305" s="65" t="n"/>
      <c r="Q305" s="65" t="n"/>
      <c r="R305" s="65" t="n"/>
      <c r="S305" s="65" t="n"/>
      <c r="T305" s="65" t="n"/>
      <c r="U305" s="65" t="n"/>
      <c r="V305" s="77" t="n"/>
      <c r="W305" s="65" t="n"/>
      <c r="X305" s="65" t="n"/>
      <c r="Y305" s="65" t="n"/>
      <c r="Z305" s="65" t="n"/>
      <c r="AA305" s="65" t="n"/>
      <c r="AB305" s="65" t="n"/>
      <c r="AC305" s="65" t="n"/>
      <c r="AD305" s="65" t="n"/>
      <c r="AE305" s="65" t="n"/>
      <c r="AF305" s="65" t="n"/>
      <c r="AG305" s="65" t="n"/>
      <c r="AH305" s="65" t="n"/>
      <c r="AI305" s="65" t="n"/>
      <c r="AJ305" s="65" t="n"/>
      <c r="AK305" s="65" t="n"/>
      <c r="AL305" s="65" t="n"/>
      <c r="AM305" s="65" t="n"/>
      <c r="AN305" s="65" t="n"/>
      <c r="AO305" s="65" t="n"/>
      <c r="AP305" s="65" t="n"/>
    </row>
    <row r="306">
      <c r="F306" s="68" t="n"/>
      <c r="G306" s="68">
        <f>IF(B306="","",F306-I306 )</f>
        <v/>
      </c>
      <c r="H306" s="5">
        <f>IF(G306="","",G306/F306)</f>
        <v/>
      </c>
      <c r="J306" s="65" t="n"/>
      <c r="K306" s="65" t="n"/>
      <c r="L306" s="65" t="n"/>
      <c r="M306" s="65" t="n"/>
      <c r="N306" s="65" t="n"/>
      <c r="O306" s="65" t="n"/>
      <c r="P306" s="65" t="n"/>
      <c r="Q306" s="65" t="n"/>
      <c r="R306" s="65" t="n"/>
      <c r="S306" s="65" t="n"/>
      <c r="T306" s="65" t="n"/>
      <c r="U306" s="65" t="n"/>
      <c r="V306" s="77" t="n"/>
      <c r="W306" s="65" t="n"/>
      <c r="X306" s="65" t="n"/>
      <c r="Y306" s="65" t="n"/>
      <c r="Z306" s="65" t="n"/>
      <c r="AA306" s="65" t="n"/>
      <c r="AB306" s="65" t="n"/>
      <c r="AC306" s="65" t="n"/>
      <c r="AD306" s="65" t="n"/>
      <c r="AE306" s="65" t="n"/>
      <c r="AF306" s="65" t="n"/>
      <c r="AG306" s="65" t="n"/>
      <c r="AH306" s="65" t="n"/>
      <c r="AI306" s="65" t="n"/>
      <c r="AJ306" s="65" t="n"/>
      <c r="AK306" s="65" t="n"/>
      <c r="AL306" s="65" t="n"/>
      <c r="AM306" s="65" t="n"/>
      <c r="AN306" s="65" t="n"/>
      <c r="AO306" s="65" t="n"/>
      <c r="AP306" s="65" t="n"/>
    </row>
    <row r="307">
      <c r="F307" s="68" t="n"/>
      <c r="G307" s="68">
        <f>IF(B307="","",F307-I307 )</f>
        <v/>
      </c>
      <c r="H307" s="5">
        <f>IF(G307="","",G307/F307)</f>
        <v/>
      </c>
      <c r="J307" s="65" t="n"/>
      <c r="K307" s="65" t="n"/>
      <c r="L307" s="65" t="n"/>
      <c r="M307" s="65" t="n"/>
      <c r="N307" s="65" t="n"/>
      <c r="O307" s="65" t="n"/>
      <c r="P307" s="65" t="n"/>
      <c r="Q307" s="65" t="n"/>
      <c r="R307" s="65" t="n"/>
      <c r="S307" s="65" t="n"/>
      <c r="T307" s="65" t="n"/>
      <c r="U307" s="65" t="n"/>
      <c r="V307" s="77" t="n"/>
      <c r="W307" s="65" t="n"/>
      <c r="X307" s="65" t="n"/>
      <c r="Y307" s="65" t="n"/>
      <c r="Z307" s="65" t="n"/>
      <c r="AA307" s="65" t="n"/>
      <c r="AB307" s="65" t="n"/>
      <c r="AC307" s="65" t="n"/>
      <c r="AD307" s="65" t="n"/>
      <c r="AE307" s="65" t="n"/>
      <c r="AF307" s="65" t="n"/>
      <c r="AG307" s="65" t="n"/>
      <c r="AH307" s="65" t="n"/>
      <c r="AI307" s="65" t="n"/>
      <c r="AJ307" s="65" t="n"/>
      <c r="AK307" s="65" t="n"/>
      <c r="AL307" s="65" t="n"/>
      <c r="AM307" s="65" t="n"/>
      <c r="AN307" s="65" t="n"/>
      <c r="AO307" s="65" t="n"/>
      <c r="AP307" s="65" t="n"/>
    </row>
    <row r="308">
      <c r="F308" s="68" t="n"/>
      <c r="G308" s="68">
        <f>IF(B308="","",F308-I308 )</f>
        <v/>
      </c>
      <c r="H308" s="5">
        <f>IF(G308="","",G308/F308)</f>
        <v/>
      </c>
      <c r="J308" s="65" t="n"/>
      <c r="K308" s="65" t="n"/>
      <c r="L308" s="65" t="n"/>
      <c r="M308" s="65" t="n"/>
      <c r="N308" s="65" t="n"/>
      <c r="O308" s="65" t="n"/>
      <c r="P308" s="65" t="n"/>
      <c r="Q308" s="65" t="n"/>
      <c r="R308" s="65" t="n"/>
      <c r="S308" s="65" t="n"/>
      <c r="T308" s="65" t="n"/>
      <c r="U308" s="65" t="n"/>
      <c r="V308" s="77" t="n"/>
      <c r="W308" s="65" t="n"/>
      <c r="X308" s="65" t="n"/>
      <c r="Y308" s="65" t="n"/>
      <c r="Z308" s="65" t="n"/>
      <c r="AA308" s="65" t="n"/>
      <c r="AB308" s="65" t="n"/>
      <c r="AC308" s="65" t="n"/>
      <c r="AD308" s="65" t="n"/>
      <c r="AE308" s="65" t="n"/>
      <c r="AF308" s="65" t="n"/>
      <c r="AG308" s="65" t="n"/>
      <c r="AH308" s="65" t="n"/>
      <c r="AI308" s="65" t="n"/>
      <c r="AJ308" s="65" t="n"/>
      <c r="AK308" s="65" t="n"/>
      <c r="AL308" s="65" t="n"/>
      <c r="AM308" s="65" t="n"/>
      <c r="AN308" s="65" t="n"/>
      <c r="AO308" s="65" t="n"/>
      <c r="AP308" s="65" t="n"/>
    </row>
    <row r="309">
      <c r="F309" s="68" t="n"/>
      <c r="G309" s="68">
        <f>IF(B309="","",F309-I309 )</f>
        <v/>
      </c>
      <c r="H309" s="5">
        <f>IF(G309="","",G309/F309)</f>
        <v/>
      </c>
      <c r="J309" s="65" t="n"/>
      <c r="K309" s="65" t="n"/>
      <c r="L309" s="65" t="n"/>
      <c r="M309" s="65" t="n"/>
      <c r="N309" s="65" t="n"/>
      <c r="O309" s="65" t="n"/>
      <c r="P309" s="65" t="n"/>
      <c r="Q309" s="65" t="n"/>
      <c r="R309" s="65" t="n"/>
      <c r="S309" s="65" t="n"/>
      <c r="T309" s="65" t="n"/>
      <c r="U309" s="65" t="n"/>
      <c r="V309" s="77" t="n"/>
      <c r="W309" s="65" t="n"/>
      <c r="X309" s="65" t="n"/>
      <c r="Y309" s="65" t="n"/>
      <c r="Z309" s="65" t="n"/>
      <c r="AA309" s="65" t="n"/>
      <c r="AB309" s="65" t="n"/>
      <c r="AC309" s="65" t="n"/>
      <c r="AD309" s="65" t="n"/>
      <c r="AE309" s="65" t="n"/>
      <c r="AF309" s="65" t="n"/>
      <c r="AG309" s="65" t="n"/>
      <c r="AH309" s="65" t="n"/>
      <c r="AI309" s="65" t="n"/>
      <c r="AJ309" s="65" t="n"/>
      <c r="AK309" s="65" t="n"/>
      <c r="AL309" s="65" t="n"/>
      <c r="AM309" s="65" t="n"/>
      <c r="AN309" s="65" t="n"/>
      <c r="AO309" s="65" t="n"/>
      <c r="AP309" s="65" t="n"/>
    </row>
    <row r="310">
      <c r="F310" s="68" t="n"/>
      <c r="G310" s="68">
        <f>IF(B310="","",F310-I310 )</f>
        <v/>
      </c>
      <c r="H310" s="5">
        <f>IF(G310="","",G310/F310)</f>
        <v/>
      </c>
      <c r="J310" s="65" t="n"/>
      <c r="K310" s="65" t="n"/>
      <c r="L310" s="65" t="n"/>
      <c r="M310" s="65" t="n"/>
      <c r="N310" s="65" t="n"/>
      <c r="O310" s="65" t="n"/>
      <c r="P310" s="65" t="n"/>
      <c r="Q310" s="65" t="n"/>
      <c r="R310" s="65" t="n"/>
      <c r="S310" s="65" t="n"/>
      <c r="T310" s="65" t="n"/>
      <c r="U310" s="65" t="n"/>
      <c r="V310" s="77" t="n"/>
      <c r="W310" s="65" t="n"/>
      <c r="X310" s="65" t="n"/>
      <c r="Y310" s="65" t="n"/>
      <c r="Z310" s="65" t="n"/>
      <c r="AA310" s="65" t="n"/>
      <c r="AB310" s="65" t="n"/>
      <c r="AC310" s="65" t="n"/>
      <c r="AD310" s="65" t="n"/>
      <c r="AE310" s="65" t="n"/>
      <c r="AF310" s="65" t="n"/>
      <c r="AG310" s="65" t="n"/>
      <c r="AH310" s="65" t="n"/>
      <c r="AI310" s="65" t="n"/>
      <c r="AJ310" s="65" t="n"/>
      <c r="AK310" s="65" t="n"/>
      <c r="AL310" s="65" t="n"/>
      <c r="AM310" s="65" t="n"/>
      <c r="AN310" s="65" t="n"/>
      <c r="AO310" s="65" t="n"/>
      <c r="AP310" s="65" t="n"/>
    </row>
    <row r="311">
      <c r="F311" s="68" t="n"/>
      <c r="G311" s="68">
        <f>IF(B311="","",F311-I311 )</f>
        <v/>
      </c>
      <c r="H311" s="5">
        <f>IF(G311="","",G311/F311)</f>
        <v/>
      </c>
      <c r="J311" s="65" t="n"/>
      <c r="K311" s="65" t="n"/>
      <c r="L311" s="65" t="n"/>
      <c r="M311" s="65" t="n"/>
      <c r="N311" s="65" t="n"/>
      <c r="O311" s="65" t="n"/>
      <c r="P311" s="65" t="n"/>
      <c r="Q311" s="65" t="n"/>
      <c r="R311" s="65" t="n"/>
      <c r="S311" s="65" t="n"/>
      <c r="T311" s="65" t="n"/>
      <c r="U311" s="65" t="n"/>
      <c r="V311" s="77" t="n"/>
      <c r="W311" s="65" t="n"/>
      <c r="X311" s="65" t="n"/>
      <c r="Y311" s="65" t="n"/>
      <c r="Z311" s="65" t="n"/>
      <c r="AA311" s="65" t="n"/>
      <c r="AB311" s="65" t="n"/>
      <c r="AC311" s="65" t="n"/>
      <c r="AD311" s="65" t="n"/>
      <c r="AE311" s="65" t="n"/>
      <c r="AF311" s="65" t="n"/>
      <c r="AG311" s="65" t="n"/>
      <c r="AH311" s="65" t="n"/>
      <c r="AI311" s="65" t="n"/>
      <c r="AJ311" s="65" t="n"/>
      <c r="AK311" s="65" t="n"/>
      <c r="AL311" s="65" t="n"/>
      <c r="AM311" s="65" t="n"/>
      <c r="AN311" s="65" t="n"/>
      <c r="AO311" s="65" t="n"/>
      <c r="AP311" s="65" t="n"/>
    </row>
    <row r="312">
      <c r="F312" s="68" t="n"/>
      <c r="G312" s="68">
        <f>IF(B312="","",F312-I312 )</f>
        <v/>
      </c>
      <c r="H312" s="5">
        <f>IF(G312="","",G312/F312)</f>
        <v/>
      </c>
      <c r="J312" s="65" t="n"/>
      <c r="K312" s="65" t="n"/>
      <c r="L312" s="65" t="n"/>
      <c r="M312" s="65" t="n"/>
      <c r="N312" s="65" t="n"/>
      <c r="O312" s="65" t="n"/>
      <c r="P312" s="65" t="n"/>
      <c r="Q312" s="65" t="n"/>
      <c r="R312" s="65" t="n"/>
      <c r="S312" s="65" t="n"/>
      <c r="T312" s="65" t="n"/>
      <c r="U312" s="65" t="n"/>
      <c r="V312" s="77" t="n"/>
      <c r="W312" s="65" t="n"/>
      <c r="X312" s="65" t="n"/>
      <c r="Y312" s="65" t="n"/>
      <c r="Z312" s="65" t="n"/>
      <c r="AA312" s="65" t="n"/>
      <c r="AB312" s="65" t="n"/>
      <c r="AC312" s="65" t="n"/>
      <c r="AD312" s="65" t="n"/>
      <c r="AE312" s="65" t="n"/>
      <c r="AF312" s="65" t="n"/>
      <c r="AG312" s="65" t="n"/>
      <c r="AH312" s="65" t="n"/>
      <c r="AI312" s="65" t="n"/>
      <c r="AJ312" s="65" t="n"/>
      <c r="AK312" s="65" t="n"/>
      <c r="AL312" s="65" t="n"/>
      <c r="AM312" s="65" t="n"/>
      <c r="AN312" s="65" t="n"/>
      <c r="AO312" s="65" t="n"/>
      <c r="AP312" s="65" t="n"/>
    </row>
    <row r="313">
      <c r="F313" s="68" t="n"/>
      <c r="G313" s="68">
        <f>IF(B313="","",F313-I313 )</f>
        <v/>
      </c>
      <c r="H313" s="5">
        <f>IF(G313="","",G313/F313)</f>
        <v/>
      </c>
      <c r="J313" s="65" t="n"/>
      <c r="K313" s="65" t="n"/>
      <c r="L313" s="65" t="n"/>
      <c r="M313" s="65" t="n"/>
      <c r="N313" s="65" t="n"/>
      <c r="O313" s="65" t="n"/>
      <c r="P313" s="65" t="n"/>
      <c r="Q313" s="65" t="n"/>
      <c r="R313" s="65" t="n"/>
      <c r="S313" s="65" t="n"/>
      <c r="T313" s="65" t="n"/>
      <c r="U313" s="65" t="n"/>
      <c r="V313" s="77" t="n"/>
      <c r="W313" s="65" t="n"/>
      <c r="X313" s="65" t="n"/>
      <c r="Y313" s="65" t="n"/>
      <c r="Z313" s="65" t="n"/>
      <c r="AA313" s="65" t="n"/>
      <c r="AB313" s="65" t="n"/>
      <c r="AC313" s="65" t="n"/>
      <c r="AD313" s="65" t="n"/>
      <c r="AE313" s="65" t="n"/>
      <c r="AF313" s="65" t="n"/>
      <c r="AG313" s="65" t="n"/>
      <c r="AH313" s="65" t="n"/>
      <c r="AI313" s="65" t="n"/>
      <c r="AJ313" s="65" t="n"/>
      <c r="AK313" s="65" t="n"/>
      <c r="AL313" s="65" t="n"/>
      <c r="AM313" s="65" t="n"/>
      <c r="AN313" s="65" t="n"/>
      <c r="AO313" s="65" t="n"/>
      <c r="AP313" s="65" t="n"/>
    </row>
    <row r="314">
      <c r="F314" s="68" t="n"/>
      <c r="G314" s="68">
        <f>IF(B314="","",F314-I314 )</f>
        <v/>
      </c>
      <c r="H314" s="5">
        <f>IF(G314="","",G314/F314)</f>
        <v/>
      </c>
      <c r="J314" s="65" t="n"/>
      <c r="K314" s="65" t="n"/>
      <c r="L314" s="65" t="n"/>
      <c r="M314" s="65" t="n"/>
      <c r="N314" s="65" t="n"/>
      <c r="O314" s="65" t="n"/>
      <c r="P314" s="65" t="n"/>
      <c r="Q314" s="65" t="n"/>
      <c r="R314" s="65" t="n"/>
      <c r="S314" s="65" t="n"/>
      <c r="T314" s="65" t="n"/>
      <c r="U314" s="65" t="n"/>
      <c r="V314" s="77" t="n"/>
      <c r="W314" s="65" t="n"/>
      <c r="X314" s="65" t="n"/>
      <c r="Y314" s="65" t="n"/>
      <c r="Z314" s="65" t="n"/>
      <c r="AA314" s="65" t="n"/>
      <c r="AB314" s="65" t="n"/>
      <c r="AC314" s="65" t="n"/>
      <c r="AD314" s="65" t="n"/>
      <c r="AE314" s="65" t="n"/>
      <c r="AF314" s="65" t="n"/>
      <c r="AG314" s="65" t="n"/>
      <c r="AH314" s="65" t="n"/>
      <c r="AI314" s="65" t="n"/>
      <c r="AJ314" s="65" t="n"/>
      <c r="AK314" s="65" t="n"/>
      <c r="AL314" s="65" t="n"/>
      <c r="AM314" s="65" t="n"/>
      <c r="AN314" s="65" t="n"/>
      <c r="AO314" s="65" t="n"/>
      <c r="AP314" s="65" t="n"/>
    </row>
    <row r="315">
      <c r="F315" s="68" t="n"/>
      <c r="G315" s="68">
        <f>IF(B315="","",F315-I315 )</f>
        <v/>
      </c>
      <c r="H315" s="5">
        <f>IF(G315="","",G315/F315)</f>
        <v/>
      </c>
      <c r="J315" s="65" t="n"/>
      <c r="K315" s="65" t="n"/>
      <c r="L315" s="65" t="n"/>
      <c r="M315" s="65" t="n"/>
      <c r="N315" s="65" t="n"/>
      <c r="O315" s="65" t="n"/>
      <c r="P315" s="65" t="n"/>
      <c r="Q315" s="65" t="n"/>
      <c r="R315" s="65" t="n"/>
      <c r="S315" s="65" t="n"/>
      <c r="T315" s="65" t="n"/>
      <c r="U315" s="65" t="n"/>
      <c r="V315" s="77" t="n"/>
      <c r="W315" s="65" t="n"/>
      <c r="X315" s="65" t="n"/>
      <c r="Y315" s="65" t="n"/>
      <c r="Z315" s="65" t="n"/>
      <c r="AA315" s="65" t="n"/>
      <c r="AB315" s="65" t="n"/>
      <c r="AC315" s="65" t="n"/>
      <c r="AD315" s="65" t="n"/>
      <c r="AE315" s="65" t="n"/>
      <c r="AF315" s="65" t="n"/>
      <c r="AG315" s="65" t="n"/>
      <c r="AH315" s="65" t="n"/>
      <c r="AI315" s="65" t="n"/>
      <c r="AJ315" s="65" t="n"/>
      <c r="AK315" s="65" t="n"/>
      <c r="AL315" s="65" t="n"/>
      <c r="AM315" s="65" t="n"/>
      <c r="AN315" s="65" t="n"/>
      <c r="AO315" s="65" t="n"/>
      <c r="AP315" s="65" t="n"/>
    </row>
    <row r="316">
      <c r="F316" s="68" t="n"/>
      <c r="G316" s="68">
        <f>IF(B316="","",F316-I316 )</f>
        <v/>
      </c>
      <c r="H316" s="5">
        <f>IF(G316="","",G316/F316)</f>
        <v/>
      </c>
      <c r="J316" s="65" t="n"/>
      <c r="K316" s="65" t="n"/>
      <c r="L316" s="65" t="n"/>
      <c r="M316" s="65" t="n"/>
      <c r="N316" s="65" t="n"/>
      <c r="O316" s="65" t="n"/>
      <c r="P316" s="65" t="n"/>
      <c r="Q316" s="65" t="n"/>
      <c r="R316" s="65" t="n"/>
      <c r="S316" s="65" t="n"/>
      <c r="T316" s="65" t="n"/>
      <c r="U316" s="65" t="n"/>
      <c r="V316" s="77" t="n"/>
      <c r="W316" s="65" t="n"/>
      <c r="X316" s="65" t="n"/>
      <c r="Y316" s="65" t="n"/>
      <c r="Z316" s="65" t="n"/>
      <c r="AA316" s="65" t="n"/>
      <c r="AB316" s="65" t="n"/>
      <c r="AC316" s="65" t="n"/>
      <c r="AD316" s="65" t="n"/>
      <c r="AE316" s="65" t="n"/>
      <c r="AF316" s="65" t="n"/>
      <c r="AG316" s="65" t="n"/>
      <c r="AH316" s="65" t="n"/>
      <c r="AI316" s="65" t="n"/>
      <c r="AJ316" s="65" t="n"/>
      <c r="AK316" s="65" t="n"/>
      <c r="AL316" s="65" t="n"/>
      <c r="AM316" s="65" t="n"/>
      <c r="AN316" s="65" t="n"/>
      <c r="AO316" s="65" t="n"/>
      <c r="AP316" s="65" t="n"/>
    </row>
    <row r="317">
      <c r="F317" s="68" t="n"/>
      <c r="G317" s="68">
        <f>IF(B317="","",F317-I317 )</f>
        <v/>
      </c>
      <c r="H317" s="5">
        <f>IF(G317="","",G317/F317)</f>
        <v/>
      </c>
      <c r="J317" s="65" t="n"/>
      <c r="K317" s="65" t="n"/>
      <c r="L317" s="65" t="n"/>
      <c r="M317" s="65" t="n"/>
      <c r="N317" s="65" t="n"/>
      <c r="O317" s="65" t="n"/>
      <c r="P317" s="65" t="n"/>
      <c r="Q317" s="65" t="n"/>
      <c r="R317" s="65" t="n"/>
      <c r="S317" s="65" t="n"/>
      <c r="T317" s="65" t="n"/>
      <c r="U317" s="65" t="n"/>
      <c r="V317" s="77" t="n"/>
      <c r="W317" s="65" t="n"/>
      <c r="X317" s="65" t="n"/>
      <c r="Y317" s="65" t="n"/>
      <c r="Z317" s="65" t="n"/>
      <c r="AA317" s="65" t="n"/>
      <c r="AB317" s="65" t="n"/>
      <c r="AC317" s="65" t="n"/>
      <c r="AD317" s="65" t="n"/>
      <c r="AE317" s="65" t="n"/>
      <c r="AF317" s="65" t="n"/>
      <c r="AG317" s="65" t="n"/>
      <c r="AH317" s="65" t="n"/>
      <c r="AI317" s="65" t="n"/>
      <c r="AJ317" s="65" t="n"/>
      <c r="AK317" s="65" t="n"/>
      <c r="AL317" s="65" t="n"/>
      <c r="AM317" s="65" t="n"/>
      <c r="AN317" s="65" t="n"/>
      <c r="AO317" s="65" t="n"/>
      <c r="AP317" s="65" t="n"/>
    </row>
    <row r="318">
      <c r="F318" s="68" t="n"/>
      <c r="G318" s="68">
        <f>IF(B318="","",F318-I318 )</f>
        <v/>
      </c>
      <c r="H318" s="5">
        <f>IF(G318="","",G318/F318)</f>
        <v/>
      </c>
      <c r="J318" s="65" t="n"/>
      <c r="K318" s="65" t="n"/>
      <c r="L318" s="65" t="n"/>
      <c r="M318" s="65" t="n"/>
      <c r="N318" s="65" t="n"/>
      <c r="O318" s="65" t="n"/>
      <c r="P318" s="65" t="n"/>
      <c r="Q318" s="65" t="n"/>
      <c r="R318" s="65" t="n"/>
      <c r="S318" s="65" t="n"/>
      <c r="T318" s="65" t="n"/>
      <c r="U318" s="65" t="n"/>
      <c r="V318" s="77" t="n"/>
      <c r="W318" s="65" t="n"/>
      <c r="X318" s="65" t="n"/>
      <c r="Y318" s="65" t="n"/>
      <c r="Z318" s="65" t="n"/>
      <c r="AA318" s="65" t="n"/>
      <c r="AB318" s="65" t="n"/>
      <c r="AC318" s="65" t="n"/>
      <c r="AD318" s="65" t="n"/>
      <c r="AE318" s="65" t="n"/>
      <c r="AF318" s="65" t="n"/>
      <c r="AG318" s="65" t="n"/>
      <c r="AH318" s="65" t="n"/>
      <c r="AI318" s="65" t="n"/>
      <c r="AJ318" s="65" t="n"/>
      <c r="AK318" s="65" t="n"/>
      <c r="AL318" s="65" t="n"/>
      <c r="AM318" s="65" t="n"/>
      <c r="AN318" s="65" t="n"/>
      <c r="AO318" s="65" t="n"/>
      <c r="AP318" s="65" t="n"/>
    </row>
    <row r="319">
      <c r="F319" s="68" t="n"/>
      <c r="G319" s="68">
        <f>IF(B319="","",F319-I319 )</f>
        <v/>
      </c>
      <c r="H319" s="5">
        <f>IF(G319="","",G319/F319)</f>
        <v/>
      </c>
      <c r="J319" s="65" t="n"/>
      <c r="K319" s="65" t="n"/>
      <c r="L319" s="65" t="n"/>
      <c r="M319" s="65" t="n"/>
      <c r="N319" s="65" t="n"/>
      <c r="O319" s="65" t="n"/>
      <c r="P319" s="65" t="n"/>
      <c r="Q319" s="65" t="n"/>
      <c r="R319" s="65" t="n"/>
      <c r="S319" s="65" t="n"/>
      <c r="T319" s="65" t="n"/>
      <c r="U319" s="65" t="n"/>
      <c r="V319" s="77" t="n"/>
      <c r="W319" s="65" t="n"/>
      <c r="X319" s="65" t="n"/>
      <c r="Y319" s="65" t="n"/>
      <c r="Z319" s="65" t="n"/>
      <c r="AA319" s="65" t="n"/>
      <c r="AB319" s="65" t="n"/>
      <c r="AC319" s="65" t="n"/>
      <c r="AD319" s="65" t="n"/>
      <c r="AE319" s="65" t="n"/>
      <c r="AF319" s="65" t="n"/>
      <c r="AG319" s="65" t="n"/>
      <c r="AH319" s="65" t="n"/>
      <c r="AI319" s="65" t="n"/>
      <c r="AJ319" s="65" t="n"/>
      <c r="AK319" s="65" t="n"/>
      <c r="AL319" s="65" t="n"/>
      <c r="AM319" s="65" t="n"/>
      <c r="AN319" s="65" t="n"/>
      <c r="AO319" s="65" t="n"/>
      <c r="AP319" s="65" t="n"/>
    </row>
    <row r="320">
      <c r="F320" s="68" t="n"/>
      <c r="G320" s="68">
        <f>IF(B320="","",F320-I320 )</f>
        <v/>
      </c>
      <c r="H320" s="5">
        <f>IF(G320="","",G320/F320)</f>
        <v/>
      </c>
      <c r="J320" s="65" t="n"/>
      <c r="K320" s="65" t="n"/>
      <c r="L320" s="65" t="n"/>
      <c r="M320" s="65" t="n"/>
      <c r="N320" s="65" t="n"/>
      <c r="O320" s="65" t="n"/>
      <c r="P320" s="65" t="n"/>
      <c r="Q320" s="65" t="n"/>
      <c r="R320" s="65" t="n"/>
      <c r="S320" s="65" t="n"/>
      <c r="T320" s="65" t="n"/>
      <c r="U320" s="65" t="n"/>
      <c r="V320" s="77" t="n"/>
      <c r="W320" s="65" t="n"/>
      <c r="X320" s="65" t="n"/>
      <c r="Y320" s="65" t="n"/>
      <c r="Z320" s="65" t="n"/>
      <c r="AA320" s="65" t="n"/>
      <c r="AB320" s="65" t="n"/>
      <c r="AC320" s="65" t="n"/>
      <c r="AD320" s="65" t="n"/>
      <c r="AE320" s="65" t="n"/>
      <c r="AF320" s="65" t="n"/>
      <c r="AG320" s="65" t="n"/>
      <c r="AH320" s="65" t="n"/>
      <c r="AI320" s="65" t="n"/>
      <c r="AJ320" s="65" t="n"/>
      <c r="AK320" s="65" t="n"/>
      <c r="AL320" s="65" t="n"/>
      <c r="AM320" s="65" t="n"/>
      <c r="AN320" s="65" t="n"/>
      <c r="AO320" s="65" t="n"/>
      <c r="AP320" s="65" t="n"/>
    </row>
    <row r="321">
      <c r="F321" s="68" t="n"/>
      <c r="G321" s="68">
        <f>IF(B321="","",F321-I321 )</f>
        <v/>
      </c>
      <c r="H321" s="5">
        <f>IF(G321="","",G321/F321)</f>
        <v/>
      </c>
      <c r="J321" s="65" t="n"/>
      <c r="K321" s="65" t="n"/>
      <c r="L321" s="65" t="n"/>
      <c r="M321" s="65" t="n"/>
      <c r="N321" s="65" t="n"/>
      <c r="O321" s="65" t="n"/>
      <c r="P321" s="65" t="n"/>
      <c r="Q321" s="65" t="n"/>
      <c r="R321" s="65" t="n"/>
      <c r="S321" s="65" t="n"/>
      <c r="T321" s="65" t="n"/>
      <c r="U321" s="65" t="n"/>
      <c r="V321" s="77" t="n"/>
      <c r="W321" s="65" t="n"/>
      <c r="X321" s="65" t="n"/>
      <c r="Y321" s="65" t="n"/>
      <c r="Z321" s="65" t="n"/>
      <c r="AA321" s="65" t="n"/>
      <c r="AB321" s="65" t="n"/>
      <c r="AC321" s="65" t="n"/>
      <c r="AD321" s="65" t="n"/>
      <c r="AE321" s="65" t="n"/>
      <c r="AF321" s="65" t="n"/>
      <c r="AG321" s="65" t="n"/>
      <c r="AH321" s="65" t="n"/>
      <c r="AI321" s="65" t="n"/>
      <c r="AJ321" s="65" t="n"/>
      <c r="AK321" s="65" t="n"/>
      <c r="AL321" s="65" t="n"/>
      <c r="AM321" s="65" t="n"/>
      <c r="AN321" s="65" t="n"/>
      <c r="AO321" s="65" t="n"/>
      <c r="AP321" s="65" t="n"/>
    </row>
    <row r="322">
      <c r="F322" s="68" t="n"/>
      <c r="G322" s="68">
        <f>IF(B322="","",F322-I322 )</f>
        <v/>
      </c>
      <c r="H322" s="5">
        <f>IF(G322="","",G322/F322)</f>
        <v/>
      </c>
      <c r="J322" s="65" t="n"/>
      <c r="K322" s="65" t="n"/>
      <c r="L322" s="65" t="n"/>
      <c r="M322" s="65" t="n"/>
      <c r="N322" s="65" t="n"/>
      <c r="O322" s="65" t="n"/>
      <c r="P322" s="65" t="n"/>
      <c r="Q322" s="65" t="n"/>
      <c r="R322" s="65" t="n"/>
      <c r="S322" s="65" t="n"/>
      <c r="T322" s="65" t="n"/>
      <c r="U322" s="65" t="n"/>
      <c r="V322" s="77" t="n"/>
      <c r="W322" s="65" t="n"/>
      <c r="X322" s="65" t="n"/>
      <c r="Y322" s="65" t="n"/>
      <c r="Z322" s="65" t="n"/>
      <c r="AA322" s="65" t="n"/>
      <c r="AB322" s="65" t="n"/>
      <c r="AC322" s="65" t="n"/>
      <c r="AD322" s="65" t="n"/>
      <c r="AE322" s="65" t="n"/>
      <c r="AF322" s="65" t="n"/>
      <c r="AG322" s="65" t="n"/>
      <c r="AH322" s="65" t="n"/>
      <c r="AI322" s="65" t="n"/>
      <c r="AJ322" s="65" t="n"/>
      <c r="AK322" s="65" t="n"/>
      <c r="AL322" s="65" t="n"/>
      <c r="AM322" s="65" t="n"/>
      <c r="AN322" s="65" t="n"/>
      <c r="AO322" s="65" t="n"/>
      <c r="AP322" s="65" t="n"/>
    </row>
    <row r="323">
      <c r="F323" s="68" t="n"/>
      <c r="G323" s="68">
        <f>IF(B323="","",F323-I323 )</f>
        <v/>
      </c>
      <c r="H323" s="5">
        <f>IF(G323="","",G323/F323)</f>
        <v/>
      </c>
      <c r="J323" s="65" t="n"/>
      <c r="K323" s="65" t="n"/>
      <c r="L323" s="65" t="n"/>
      <c r="M323" s="65" t="n"/>
      <c r="N323" s="65" t="n"/>
      <c r="O323" s="65" t="n"/>
      <c r="P323" s="65" t="n"/>
      <c r="Q323" s="65" t="n"/>
      <c r="R323" s="65" t="n"/>
      <c r="S323" s="65" t="n"/>
      <c r="T323" s="65" t="n"/>
      <c r="U323" s="65" t="n"/>
      <c r="V323" s="77" t="n"/>
      <c r="W323" s="65" t="n"/>
      <c r="X323" s="65" t="n"/>
      <c r="Y323" s="65" t="n"/>
      <c r="Z323" s="65" t="n"/>
      <c r="AA323" s="65" t="n"/>
      <c r="AB323" s="65" t="n"/>
      <c r="AC323" s="65" t="n"/>
      <c r="AD323" s="65" t="n"/>
      <c r="AE323" s="65" t="n"/>
      <c r="AF323" s="65" t="n"/>
      <c r="AG323" s="65" t="n"/>
      <c r="AH323" s="65" t="n"/>
      <c r="AI323" s="65" t="n"/>
      <c r="AJ323" s="65" t="n"/>
      <c r="AK323" s="65" t="n"/>
      <c r="AL323" s="65" t="n"/>
      <c r="AM323" s="65" t="n"/>
      <c r="AN323" s="65" t="n"/>
      <c r="AO323" s="65" t="n"/>
      <c r="AP323" s="65" t="n"/>
    </row>
    <row r="324">
      <c r="F324" s="68" t="n"/>
      <c r="G324" s="68">
        <f>IF(B324="","",F324-I324 )</f>
        <v/>
      </c>
      <c r="H324" s="5">
        <f>IF(G324="","",G324/F324)</f>
        <v/>
      </c>
      <c r="J324" s="65" t="n"/>
      <c r="K324" s="65" t="n"/>
      <c r="L324" s="65" t="n"/>
      <c r="M324" s="65" t="n"/>
      <c r="N324" s="65" t="n"/>
      <c r="O324" s="65" t="n"/>
      <c r="P324" s="65" t="n"/>
      <c r="Q324" s="65" t="n"/>
      <c r="R324" s="65" t="n"/>
      <c r="S324" s="65" t="n"/>
      <c r="T324" s="65" t="n"/>
      <c r="U324" s="65" t="n"/>
      <c r="V324" s="77" t="n"/>
      <c r="W324" s="65" t="n"/>
      <c r="X324" s="65" t="n"/>
      <c r="Y324" s="65" t="n"/>
      <c r="Z324" s="65" t="n"/>
      <c r="AA324" s="65" t="n"/>
      <c r="AB324" s="65" t="n"/>
      <c r="AC324" s="65" t="n"/>
      <c r="AD324" s="65" t="n"/>
      <c r="AE324" s="65" t="n"/>
      <c r="AF324" s="65" t="n"/>
      <c r="AG324" s="65" t="n"/>
      <c r="AH324" s="65" t="n"/>
      <c r="AI324" s="65" t="n"/>
      <c r="AJ324" s="65" t="n"/>
      <c r="AK324" s="65" t="n"/>
      <c r="AL324" s="65" t="n"/>
      <c r="AM324" s="65" t="n"/>
      <c r="AN324" s="65" t="n"/>
      <c r="AO324" s="65" t="n"/>
      <c r="AP324" s="65" t="n"/>
    </row>
    <row r="325">
      <c r="F325" s="68" t="n"/>
      <c r="G325" s="68">
        <f>IF(B325="","",F325-I325 )</f>
        <v/>
      </c>
      <c r="H325" s="5">
        <f>IF(G325="","",G325/F325)</f>
        <v/>
      </c>
      <c r="J325" s="65" t="n"/>
      <c r="K325" s="65" t="n"/>
      <c r="L325" s="65" t="n"/>
      <c r="M325" s="65" t="n"/>
      <c r="N325" s="65" t="n"/>
      <c r="O325" s="65" t="n"/>
      <c r="P325" s="65" t="n"/>
      <c r="Q325" s="65" t="n"/>
      <c r="R325" s="65" t="n"/>
      <c r="S325" s="65" t="n"/>
      <c r="T325" s="65" t="n"/>
      <c r="U325" s="65" t="n"/>
      <c r="V325" s="77" t="n"/>
      <c r="W325" s="65" t="n"/>
      <c r="X325" s="65" t="n"/>
      <c r="Y325" s="65" t="n"/>
      <c r="Z325" s="65" t="n"/>
      <c r="AA325" s="65" t="n"/>
      <c r="AB325" s="65" t="n"/>
      <c r="AC325" s="65" t="n"/>
      <c r="AD325" s="65" t="n"/>
      <c r="AE325" s="65" t="n"/>
      <c r="AF325" s="65" t="n"/>
      <c r="AG325" s="65" t="n"/>
      <c r="AH325" s="65" t="n"/>
      <c r="AI325" s="65" t="n"/>
      <c r="AJ325" s="65" t="n"/>
      <c r="AK325" s="65" t="n"/>
      <c r="AL325" s="65" t="n"/>
      <c r="AM325" s="65" t="n"/>
      <c r="AN325" s="65" t="n"/>
      <c r="AO325" s="65" t="n"/>
      <c r="AP325" s="65" t="n"/>
    </row>
    <row r="326">
      <c r="F326" s="68" t="n"/>
      <c r="G326" s="68">
        <f>IF(B326="","",F326-I326 )</f>
        <v/>
      </c>
      <c r="H326" s="5">
        <f>IF(G326="","",G326/F326)</f>
        <v/>
      </c>
      <c r="J326" s="65" t="n"/>
      <c r="K326" s="65" t="n"/>
      <c r="L326" s="65" t="n"/>
      <c r="M326" s="65" t="n"/>
      <c r="N326" s="65" t="n"/>
      <c r="O326" s="65" t="n"/>
      <c r="P326" s="65" t="n"/>
      <c r="Q326" s="65" t="n"/>
      <c r="R326" s="65" t="n"/>
      <c r="S326" s="65" t="n"/>
      <c r="T326" s="65" t="n"/>
      <c r="U326" s="65" t="n"/>
      <c r="V326" s="77" t="n"/>
      <c r="W326" s="65" t="n"/>
      <c r="X326" s="65" t="n"/>
      <c r="Y326" s="65" t="n"/>
      <c r="Z326" s="65" t="n"/>
      <c r="AA326" s="65" t="n"/>
      <c r="AB326" s="65" t="n"/>
      <c r="AC326" s="65" t="n"/>
      <c r="AD326" s="65" t="n"/>
      <c r="AE326" s="65" t="n"/>
      <c r="AF326" s="65" t="n"/>
      <c r="AG326" s="65" t="n"/>
      <c r="AH326" s="65" t="n"/>
      <c r="AI326" s="65" t="n"/>
      <c r="AJ326" s="65" t="n"/>
      <c r="AK326" s="65" t="n"/>
      <c r="AL326" s="65" t="n"/>
      <c r="AM326" s="65" t="n"/>
      <c r="AN326" s="65" t="n"/>
      <c r="AO326" s="65" t="n"/>
      <c r="AP326" s="65" t="n"/>
    </row>
    <row r="327">
      <c r="F327" s="68" t="n"/>
      <c r="G327" s="68">
        <f>IF(B327="","",F327-I327 )</f>
        <v/>
      </c>
      <c r="H327" s="5">
        <f>IF(G327="","",G327/F327)</f>
        <v/>
      </c>
      <c r="J327" s="65" t="n"/>
      <c r="K327" s="65" t="n"/>
      <c r="L327" s="65" t="n"/>
      <c r="M327" s="65" t="n"/>
      <c r="N327" s="65" t="n"/>
      <c r="O327" s="65" t="n"/>
      <c r="P327" s="65" t="n"/>
      <c r="Q327" s="65" t="n"/>
      <c r="R327" s="65" t="n"/>
      <c r="S327" s="65" t="n"/>
      <c r="T327" s="65" t="n"/>
      <c r="U327" s="65" t="n"/>
      <c r="V327" s="77" t="n"/>
      <c r="W327" s="65" t="n"/>
      <c r="X327" s="65" t="n"/>
      <c r="Y327" s="65" t="n"/>
      <c r="Z327" s="65" t="n"/>
      <c r="AA327" s="65" t="n"/>
      <c r="AB327" s="65" t="n"/>
      <c r="AC327" s="65" t="n"/>
      <c r="AD327" s="65" t="n"/>
      <c r="AE327" s="65" t="n"/>
      <c r="AF327" s="65" t="n"/>
      <c r="AG327" s="65" t="n"/>
      <c r="AH327" s="65" t="n"/>
      <c r="AI327" s="65" t="n"/>
      <c r="AJ327" s="65" t="n"/>
      <c r="AK327" s="65" t="n"/>
      <c r="AL327" s="65" t="n"/>
      <c r="AM327" s="65" t="n"/>
      <c r="AN327" s="65" t="n"/>
      <c r="AO327" s="65" t="n"/>
      <c r="AP327" s="65" t="n"/>
    </row>
    <row r="328">
      <c r="F328" s="68" t="n"/>
      <c r="G328" s="68">
        <f>IF(B328="","",F328-I328 )</f>
        <v/>
      </c>
      <c r="H328" s="5">
        <f>IF(G328="","",G328/F328)</f>
        <v/>
      </c>
      <c r="J328" s="65" t="n"/>
      <c r="K328" s="65" t="n"/>
      <c r="L328" s="65" t="n"/>
      <c r="M328" s="65" t="n"/>
      <c r="N328" s="65" t="n"/>
      <c r="O328" s="65" t="n"/>
      <c r="P328" s="65" t="n"/>
      <c r="Q328" s="65" t="n"/>
      <c r="R328" s="65" t="n"/>
      <c r="S328" s="65" t="n"/>
      <c r="T328" s="65" t="n"/>
      <c r="U328" s="65" t="n"/>
      <c r="V328" s="77" t="n"/>
      <c r="W328" s="65" t="n"/>
      <c r="X328" s="65" t="n"/>
      <c r="Y328" s="65" t="n"/>
      <c r="Z328" s="65" t="n"/>
      <c r="AA328" s="65" t="n"/>
      <c r="AB328" s="65" t="n"/>
      <c r="AC328" s="65" t="n"/>
      <c r="AD328" s="65" t="n"/>
      <c r="AE328" s="65" t="n"/>
      <c r="AF328" s="65" t="n"/>
      <c r="AG328" s="65" t="n"/>
      <c r="AH328" s="65" t="n"/>
      <c r="AI328" s="65" t="n"/>
      <c r="AJ328" s="65" t="n"/>
      <c r="AK328" s="65" t="n"/>
      <c r="AL328" s="65" t="n"/>
      <c r="AM328" s="65" t="n"/>
      <c r="AN328" s="65" t="n"/>
      <c r="AO328" s="65" t="n"/>
      <c r="AP328" s="65" t="n"/>
    </row>
    <row r="329">
      <c r="F329" s="68" t="n"/>
      <c r="G329" s="68">
        <f>IF(B329="","",F329-I329 )</f>
        <v/>
      </c>
      <c r="H329" s="5">
        <f>IF(G329="","",G329/F329)</f>
        <v/>
      </c>
      <c r="J329" s="65" t="n"/>
      <c r="K329" s="65" t="n"/>
      <c r="L329" s="65" t="n"/>
      <c r="M329" s="65" t="n"/>
      <c r="N329" s="65" t="n"/>
      <c r="O329" s="65" t="n"/>
      <c r="P329" s="65" t="n"/>
      <c r="Q329" s="65" t="n"/>
      <c r="R329" s="65" t="n"/>
      <c r="S329" s="65" t="n"/>
      <c r="T329" s="65" t="n"/>
      <c r="U329" s="65" t="n"/>
      <c r="V329" s="77" t="n"/>
      <c r="W329" s="65" t="n"/>
      <c r="X329" s="65" t="n"/>
      <c r="Y329" s="65" t="n"/>
      <c r="Z329" s="65" t="n"/>
      <c r="AA329" s="65" t="n"/>
      <c r="AB329" s="65" t="n"/>
      <c r="AC329" s="65" t="n"/>
      <c r="AD329" s="65" t="n"/>
      <c r="AE329" s="65" t="n"/>
      <c r="AF329" s="65" t="n"/>
      <c r="AG329" s="65" t="n"/>
      <c r="AH329" s="65" t="n"/>
      <c r="AI329" s="65" t="n"/>
      <c r="AJ329" s="65" t="n"/>
      <c r="AK329" s="65" t="n"/>
      <c r="AL329" s="65" t="n"/>
      <c r="AM329" s="65" t="n"/>
      <c r="AN329" s="65" t="n"/>
      <c r="AO329" s="65" t="n"/>
      <c r="AP329" s="65" t="n"/>
    </row>
    <row r="330">
      <c r="F330" s="68" t="n"/>
      <c r="G330" s="68">
        <f>IF(B330="","",F330-I330 )</f>
        <v/>
      </c>
      <c r="H330" s="5">
        <f>IF(G330="","",G330/F330)</f>
        <v/>
      </c>
      <c r="J330" s="65" t="n"/>
      <c r="K330" s="65" t="n"/>
      <c r="L330" s="65" t="n"/>
      <c r="M330" s="65" t="n"/>
      <c r="N330" s="65" t="n"/>
      <c r="O330" s="65" t="n"/>
      <c r="P330" s="65" t="n"/>
      <c r="Q330" s="65" t="n"/>
      <c r="R330" s="65" t="n"/>
      <c r="S330" s="65" t="n"/>
      <c r="T330" s="65" t="n"/>
      <c r="U330" s="65" t="n"/>
      <c r="V330" s="77" t="n"/>
      <c r="W330" s="65" t="n"/>
      <c r="X330" s="65" t="n"/>
      <c r="Y330" s="65" t="n"/>
      <c r="Z330" s="65" t="n"/>
      <c r="AA330" s="65" t="n"/>
      <c r="AB330" s="65" t="n"/>
      <c r="AC330" s="65" t="n"/>
      <c r="AD330" s="65" t="n"/>
      <c r="AE330" s="65" t="n"/>
      <c r="AF330" s="65" t="n"/>
      <c r="AG330" s="65" t="n"/>
      <c r="AH330" s="65" t="n"/>
      <c r="AI330" s="65" t="n"/>
      <c r="AJ330" s="65" t="n"/>
      <c r="AK330" s="65" t="n"/>
      <c r="AL330" s="65" t="n"/>
      <c r="AM330" s="65" t="n"/>
      <c r="AN330" s="65" t="n"/>
      <c r="AO330" s="65" t="n"/>
      <c r="AP330" s="65" t="n"/>
    </row>
    <row r="331">
      <c r="F331" s="68" t="n"/>
      <c r="G331" s="68">
        <f>IF(B331="","",F331-I331 )</f>
        <v/>
      </c>
      <c r="H331" s="5">
        <f>IF(G331="","",G331/F331)</f>
        <v/>
      </c>
      <c r="J331" s="65" t="n"/>
      <c r="K331" s="65" t="n"/>
      <c r="L331" s="65" t="n"/>
      <c r="M331" s="65" t="n"/>
      <c r="N331" s="65" t="n"/>
      <c r="O331" s="65" t="n"/>
      <c r="P331" s="65" t="n"/>
      <c r="Q331" s="65" t="n"/>
      <c r="R331" s="65" t="n"/>
      <c r="S331" s="65" t="n"/>
      <c r="T331" s="65" t="n"/>
      <c r="U331" s="65" t="n"/>
      <c r="V331" s="77" t="n"/>
      <c r="W331" s="65" t="n"/>
      <c r="X331" s="65" t="n"/>
      <c r="Y331" s="65" t="n"/>
      <c r="Z331" s="65" t="n"/>
      <c r="AA331" s="65" t="n"/>
      <c r="AB331" s="65" t="n"/>
      <c r="AC331" s="65" t="n"/>
      <c r="AD331" s="65" t="n"/>
      <c r="AE331" s="65" t="n"/>
      <c r="AF331" s="65" t="n"/>
      <c r="AG331" s="65" t="n"/>
      <c r="AH331" s="65" t="n"/>
      <c r="AI331" s="65" t="n"/>
      <c r="AJ331" s="65" t="n"/>
      <c r="AK331" s="65" t="n"/>
      <c r="AL331" s="65" t="n"/>
      <c r="AM331" s="65" t="n"/>
      <c r="AN331" s="65" t="n"/>
      <c r="AO331" s="65" t="n"/>
      <c r="AP331" s="65" t="n"/>
    </row>
    <row r="332">
      <c r="F332" s="68" t="n"/>
      <c r="G332" s="68">
        <f>IF(B332="","",F332-I332 )</f>
        <v/>
      </c>
      <c r="H332" s="5">
        <f>IF(G332="","",G332/F332)</f>
        <v/>
      </c>
      <c r="J332" s="65" t="n"/>
      <c r="K332" s="65" t="n"/>
      <c r="L332" s="65" t="n"/>
      <c r="M332" s="65" t="n"/>
      <c r="N332" s="65" t="n"/>
      <c r="O332" s="65" t="n"/>
      <c r="P332" s="65" t="n"/>
      <c r="Q332" s="65" t="n"/>
      <c r="R332" s="65" t="n"/>
      <c r="S332" s="65" t="n"/>
      <c r="T332" s="65" t="n"/>
      <c r="U332" s="65" t="n"/>
      <c r="V332" s="77" t="n"/>
      <c r="W332" s="65" t="n"/>
      <c r="X332" s="65" t="n"/>
      <c r="Y332" s="65" t="n"/>
      <c r="Z332" s="65" t="n"/>
      <c r="AA332" s="65" t="n"/>
      <c r="AB332" s="65" t="n"/>
      <c r="AC332" s="65" t="n"/>
      <c r="AD332" s="65" t="n"/>
      <c r="AE332" s="65" t="n"/>
      <c r="AF332" s="65" t="n"/>
      <c r="AG332" s="65" t="n"/>
      <c r="AH332" s="65" t="n"/>
      <c r="AI332" s="65" t="n"/>
      <c r="AJ332" s="65" t="n"/>
      <c r="AK332" s="65" t="n"/>
      <c r="AL332" s="65" t="n"/>
      <c r="AM332" s="65" t="n"/>
      <c r="AN332" s="65" t="n"/>
      <c r="AO332" s="65" t="n"/>
      <c r="AP332" s="65" t="n"/>
    </row>
    <row r="333">
      <c r="F333" s="68" t="n"/>
      <c r="G333" s="68">
        <f>IF(B333="","",F333-I333 )</f>
        <v/>
      </c>
      <c r="H333" s="5">
        <f>IF(G333="","",G333/F333)</f>
        <v/>
      </c>
      <c r="J333" s="65" t="n"/>
      <c r="K333" s="65" t="n"/>
      <c r="L333" s="65" t="n"/>
      <c r="M333" s="65" t="n"/>
      <c r="N333" s="65" t="n"/>
      <c r="O333" s="65" t="n"/>
      <c r="P333" s="65" t="n"/>
      <c r="Q333" s="65" t="n"/>
      <c r="R333" s="65" t="n"/>
      <c r="S333" s="65" t="n"/>
      <c r="T333" s="65" t="n"/>
      <c r="U333" s="65" t="n"/>
      <c r="V333" s="77" t="n"/>
      <c r="W333" s="65" t="n"/>
      <c r="X333" s="65" t="n"/>
      <c r="Y333" s="65" t="n"/>
      <c r="Z333" s="65" t="n"/>
      <c r="AA333" s="65" t="n"/>
      <c r="AB333" s="65" t="n"/>
      <c r="AC333" s="65" t="n"/>
      <c r="AD333" s="65" t="n"/>
      <c r="AE333" s="65" t="n"/>
      <c r="AF333" s="65" t="n"/>
      <c r="AG333" s="65" t="n"/>
      <c r="AH333" s="65" t="n"/>
      <c r="AI333" s="65" t="n"/>
      <c r="AJ333" s="65" t="n"/>
      <c r="AK333" s="65" t="n"/>
      <c r="AL333" s="65" t="n"/>
      <c r="AM333" s="65" t="n"/>
      <c r="AN333" s="65" t="n"/>
      <c r="AO333" s="65" t="n"/>
      <c r="AP333" s="65" t="n"/>
    </row>
    <row r="334">
      <c r="F334" s="68" t="n"/>
      <c r="G334" s="68">
        <f>IF(B334="","",F334-I334 )</f>
        <v/>
      </c>
      <c r="H334" s="5">
        <f>IF(G334="","",G334/F334)</f>
        <v/>
      </c>
      <c r="J334" s="65" t="n"/>
      <c r="K334" s="65" t="n"/>
      <c r="L334" s="65" t="n"/>
      <c r="M334" s="65" t="n"/>
      <c r="N334" s="65" t="n"/>
      <c r="O334" s="65" t="n"/>
      <c r="P334" s="65" t="n"/>
      <c r="Q334" s="65" t="n"/>
      <c r="R334" s="65" t="n"/>
      <c r="S334" s="65" t="n"/>
      <c r="T334" s="65" t="n"/>
      <c r="U334" s="65" t="n"/>
      <c r="V334" s="77" t="n"/>
      <c r="W334" s="65" t="n"/>
      <c r="X334" s="65" t="n"/>
      <c r="Y334" s="65" t="n"/>
      <c r="Z334" s="65" t="n"/>
      <c r="AA334" s="65" t="n"/>
      <c r="AB334" s="65" t="n"/>
      <c r="AC334" s="65" t="n"/>
      <c r="AD334" s="65" t="n"/>
      <c r="AE334" s="65" t="n"/>
      <c r="AF334" s="65" t="n"/>
      <c r="AG334" s="65" t="n"/>
      <c r="AH334" s="65" t="n"/>
      <c r="AI334" s="65" t="n"/>
      <c r="AJ334" s="65" t="n"/>
      <c r="AK334" s="65" t="n"/>
      <c r="AL334" s="65" t="n"/>
      <c r="AM334" s="65" t="n"/>
      <c r="AN334" s="65" t="n"/>
      <c r="AO334" s="65" t="n"/>
      <c r="AP334" s="65" t="n"/>
    </row>
    <row r="335">
      <c r="F335" s="68" t="n"/>
      <c r="G335" s="68">
        <f>IF(B335="","",F335-I335 )</f>
        <v/>
      </c>
      <c r="H335" s="5">
        <f>IF(G335="","",G335/F335)</f>
        <v/>
      </c>
      <c r="J335" s="65" t="n"/>
      <c r="K335" s="65" t="n"/>
      <c r="L335" s="65" t="n"/>
      <c r="M335" s="65" t="n"/>
      <c r="N335" s="65" t="n"/>
      <c r="O335" s="65" t="n"/>
      <c r="P335" s="65" t="n"/>
      <c r="Q335" s="65" t="n"/>
      <c r="R335" s="65" t="n"/>
      <c r="S335" s="65" t="n"/>
      <c r="T335" s="65" t="n"/>
      <c r="U335" s="65" t="n"/>
      <c r="V335" s="77" t="n"/>
      <c r="W335" s="65" t="n"/>
      <c r="X335" s="65" t="n"/>
      <c r="Y335" s="65" t="n"/>
      <c r="Z335" s="65" t="n"/>
      <c r="AA335" s="65" t="n"/>
      <c r="AB335" s="65" t="n"/>
      <c r="AC335" s="65" t="n"/>
      <c r="AD335" s="65" t="n"/>
      <c r="AE335" s="65" t="n"/>
      <c r="AF335" s="65" t="n"/>
      <c r="AG335" s="65" t="n"/>
      <c r="AH335" s="65" t="n"/>
      <c r="AI335" s="65" t="n"/>
      <c r="AJ335" s="65" t="n"/>
      <c r="AK335" s="65" t="n"/>
      <c r="AL335" s="65" t="n"/>
      <c r="AM335" s="65" t="n"/>
      <c r="AN335" s="65" t="n"/>
      <c r="AO335" s="65" t="n"/>
      <c r="AP335" s="65" t="n"/>
    </row>
    <row r="336">
      <c r="F336" s="68" t="n"/>
      <c r="G336" s="68">
        <f>IF(B336="","",F336-I336 )</f>
        <v/>
      </c>
      <c r="H336" s="5">
        <f>IF(G336="","",G336/F336)</f>
        <v/>
      </c>
      <c r="J336" s="65" t="n"/>
      <c r="K336" s="65" t="n"/>
      <c r="L336" s="65" t="n"/>
      <c r="M336" s="65" t="n"/>
      <c r="N336" s="65" t="n"/>
      <c r="O336" s="65" t="n"/>
      <c r="P336" s="65" t="n"/>
      <c r="Q336" s="65" t="n"/>
      <c r="R336" s="65" t="n"/>
      <c r="S336" s="65" t="n"/>
      <c r="T336" s="65" t="n"/>
      <c r="U336" s="65" t="n"/>
      <c r="V336" s="77" t="n"/>
      <c r="W336" s="65" t="n"/>
      <c r="X336" s="65" t="n"/>
      <c r="Y336" s="65" t="n"/>
      <c r="Z336" s="65" t="n"/>
      <c r="AA336" s="65" t="n"/>
      <c r="AB336" s="65" t="n"/>
      <c r="AC336" s="65" t="n"/>
      <c r="AD336" s="65" t="n"/>
      <c r="AE336" s="65" t="n"/>
      <c r="AF336" s="65" t="n"/>
      <c r="AG336" s="65" t="n"/>
      <c r="AH336" s="65" t="n"/>
      <c r="AI336" s="65" t="n"/>
      <c r="AJ336" s="65" t="n"/>
      <c r="AK336" s="65" t="n"/>
      <c r="AL336" s="65" t="n"/>
      <c r="AM336" s="65" t="n"/>
      <c r="AN336" s="65" t="n"/>
      <c r="AO336" s="65" t="n"/>
      <c r="AP336" s="65" t="n"/>
    </row>
    <row r="337">
      <c r="F337" s="68" t="n"/>
      <c r="G337" s="68">
        <f>IF(B337="","",F337-I337 )</f>
        <v/>
      </c>
      <c r="H337" s="5">
        <f>IF(G337="","",G337/F337)</f>
        <v/>
      </c>
      <c r="J337" s="65" t="n"/>
      <c r="K337" s="65" t="n"/>
      <c r="L337" s="65" t="n"/>
      <c r="M337" s="65" t="n"/>
      <c r="N337" s="65" t="n"/>
      <c r="O337" s="65" t="n"/>
      <c r="P337" s="65" t="n"/>
      <c r="Q337" s="65" t="n"/>
      <c r="R337" s="65" t="n"/>
      <c r="S337" s="65" t="n"/>
      <c r="T337" s="65" t="n"/>
      <c r="U337" s="65" t="n"/>
      <c r="V337" s="77" t="n"/>
      <c r="W337" s="65" t="n"/>
      <c r="X337" s="65" t="n"/>
      <c r="Y337" s="65" t="n"/>
      <c r="Z337" s="65" t="n"/>
      <c r="AA337" s="65" t="n"/>
      <c r="AB337" s="65" t="n"/>
      <c r="AC337" s="65" t="n"/>
      <c r="AD337" s="65" t="n"/>
      <c r="AE337" s="65" t="n"/>
      <c r="AF337" s="65" t="n"/>
      <c r="AG337" s="65" t="n"/>
      <c r="AH337" s="65" t="n"/>
      <c r="AI337" s="65" t="n"/>
      <c r="AJ337" s="65" t="n"/>
      <c r="AK337" s="65" t="n"/>
      <c r="AL337" s="65" t="n"/>
      <c r="AM337" s="65" t="n"/>
      <c r="AN337" s="65" t="n"/>
      <c r="AO337" s="65" t="n"/>
      <c r="AP337" s="65" t="n"/>
    </row>
    <row r="338">
      <c r="F338" s="68" t="n"/>
      <c r="G338" s="68">
        <f>IF(B338="","",F338-I338 )</f>
        <v/>
      </c>
      <c r="H338" s="5">
        <f>IF(G338="","",G338/F338)</f>
        <v/>
      </c>
      <c r="J338" s="65" t="n"/>
      <c r="K338" s="65" t="n"/>
      <c r="L338" s="65" t="n"/>
      <c r="M338" s="65" t="n"/>
      <c r="N338" s="65" t="n"/>
      <c r="O338" s="65" t="n"/>
      <c r="P338" s="65" t="n"/>
      <c r="Q338" s="65" t="n"/>
      <c r="R338" s="65" t="n"/>
      <c r="S338" s="65" t="n"/>
      <c r="T338" s="65" t="n"/>
      <c r="U338" s="65" t="n"/>
      <c r="V338" s="77" t="n"/>
      <c r="W338" s="65" t="n"/>
      <c r="X338" s="65" t="n"/>
      <c r="Y338" s="65" t="n"/>
      <c r="Z338" s="65" t="n"/>
      <c r="AA338" s="65" t="n"/>
      <c r="AB338" s="65" t="n"/>
      <c r="AC338" s="65" t="n"/>
      <c r="AD338" s="65" t="n"/>
      <c r="AE338" s="65" t="n"/>
      <c r="AF338" s="65" t="n"/>
      <c r="AG338" s="65" t="n"/>
      <c r="AH338" s="65" t="n"/>
      <c r="AI338" s="65" t="n"/>
      <c r="AJ338" s="65" t="n"/>
      <c r="AK338" s="65" t="n"/>
      <c r="AL338" s="65" t="n"/>
      <c r="AM338" s="65" t="n"/>
      <c r="AN338" s="65" t="n"/>
      <c r="AO338" s="65" t="n"/>
      <c r="AP338" s="65" t="n"/>
    </row>
    <row r="339">
      <c r="F339" s="68" t="n"/>
      <c r="G339" s="68">
        <f>IF(B339="","",F339-I339 )</f>
        <v/>
      </c>
      <c r="H339" s="5">
        <f>IF(G339="","",G339/F339)</f>
        <v/>
      </c>
      <c r="J339" s="65" t="n"/>
      <c r="K339" s="65" t="n"/>
      <c r="L339" s="65" t="n"/>
      <c r="M339" s="65" t="n"/>
      <c r="N339" s="65" t="n"/>
      <c r="O339" s="65" t="n"/>
      <c r="P339" s="65" t="n"/>
      <c r="Q339" s="65" t="n"/>
      <c r="R339" s="65" t="n"/>
      <c r="S339" s="65" t="n"/>
      <c r="T339" s="65" t="n"/>
      <c r="U339" s="65" t="n"/>
      <c r="V339" s="77" t="n"/>
      <c r="W339" s="65" t="n"/>
      <c r="X339" s="65" t="n"/>
      <c r="Y339" s="65" t="n"/>
      <c r="Z339" s="65" t="n"/>
      <c r="AA339" s="65" t="n"/>
      <c r="AB339" s="65" t="n"/>
      <c r="AC339" s="65" t="n"/>
      <c r="AD339" s="65" t="n"/>
      <c r="AE339" s="65" t="n"/>
      <c r="AF339" s="65" t="n"/>
      <c r="AG339" s="65" t="n"/>
      <c r="AH339" s="65" t="n"/>
      <c r="AI339" s="65" t="n"/>
      <c r="AJ339" s="65" t="n"/>
      <c r="AK339" s="65" t="n"/>
      <c r="AL339" s="65" t="n"/>
      <c r="AM339" s="65" t="n"/>
      <c r="AN339" s="65" t="n"/>
      <c r="AO339" s="65" t="n"/>
      <c r="AP339" s="65" t="n"/>
    </row>
    <row r="340">
      <c r="F340" s="68" t="n"/>
      <c r="G340" s="68">
        <f>IF(B340="","",F340-I340 )</f>
        <v/>
      </c>
      <c r="H340" s="5">
        <f>IF(G340="","",G340/F340)</f>
        <v/>
      </c>
      <c r="J340" s="65" t="n"/>
      <c r="K340" s="65" t="n"/>
      <c r="L340" s="65" t="n"/>
      <c r="M340" s="65" t="n"/>
      <c r="N340" s="65" t="n"/>
      <c r="O340" s="65" t="n"/>
      <c r="P340" s="65" t="n"/>
      <c r="Q340" s="65" t="n"/>
      <c r="R340" s="65" t="n"/>
      <c r="S340" s="65" t="n"/>
      <c r="T340" s="65" t="n"/>
      <c r="U340" s="65" t="n"/>
      <c r="V340" s="77" t="n"/>
      <c r="W340" s="65" t="n"/>
      <c r="X340" s="65" t="n"/>
      <c r="Y340" s="65" t="n"/>
      <c r="Z340" s="65" t="n"/>
      <c r="AA340" s="65" t="n"/>
      <c r="AB340" s="65" t="n"/>
      <c r="AC340" s="65" t="n"/>
      <c r="AD340" s="65" t="n"/>
      <c r="AE340" s="65" t="n"/>
      <c r="AF340" s="65" t="n"/>
      <c r="AG340" s="65" t="n"/>
      <c r="AH340" s="65" t="n"/>
      <c r="AI340" s="65" t="n"/>
      <c r="AJ340" s="65" t="n"/>
      <c r="AK340" s="65" t="n"/>
      <c r="AL340" s="65" t="n"/>
      <c r="AM340" s="65" t="n"/>
      <c r="AN340" s="65" t="n"/>
      <c r="AO340" s="65" t="n"/>
      <c r="AP340" s="65" t="n"/>
    </row>
    <row r="341">
      <c r="F341" s="68" t="n"/>
      <c r="G341" s="68">
        <f>IF(B341="","",F341-I341 )</f>
        <v/>
      </c>
      <c r="H341" s="5">
        <f>IF(G341="","",G341/F341)</f>
        <v/>
      </c>
      <c r="J341" s="65" t="n"/>
      <c r="K341" s="65" t="n"/>
      <c r="L341" s="65" t="n"/>
      <c r="M341" s="65" t="n"/>
      <c r="N341" s="65" t="n"/>
      <c r="O341" s="65" t="n"/>
      <c r="P341" s="65" t="n"/>
      <c r="Q341" s="65" t="n"/>
      <c r="R341" s="65" t="n"/>
      <c r="S341" s="65" t="n"/>
      <c r="T341" s="65" t="n"/>
      <c r="U341" s="65" t="n"/>
      <c r="V341" s="77" t="n"/>
      <c r="W341" s="65" t="n"/>
      <c r="X341" s="65" t="n"/>
      <c r="Y341" s="65" t="n"/>
      <c r="Z341" s="65" t="n"/>
      <c r="AA341" s="65" t="n"/>
      <c r="AB341" s="65" t="n"/>
      <c r="AC341" s="65" t="n"/>
      <c r="AD341" s="65" t="n"/>
      <c r="AE341" s="65" t="n"/>
      <c r="AF341" s="65" t="n"/>
      <c r="AG341" s="65" t="n"/>
      <c r="AH341" s="65" t="n"/>
      <c r="AI341" s="65" t="n"/>
      <c r="AJ341" s="65" t="n"/>
      <c r="AK341" s="65" t="n"/>
      <c r="AL341" s="65" t="n"/>
      <c r="AM341" s="65" t="n"/>
      <c r="AN341" s="65" t="n"/>
      <c r="AO341" s="65" t="n"/>
      <c r="AP341" s="65" t="n"/>
    </row>
    <row r="342">
      <c r="F342" s="68" t="n"/>
      <c r="G342" s="68">
        <f>IF(B342="","",F342-I342 )</f>
        <v/>
      </c>
      <c r="H342" s="5">
        <f>IF(G342="","",G342/F342)</f>
        <v/>
      </c>
      <c r="J342" s="65" t="n"/>
      <c r="K342" s="65" t="n"/>
      <c r="L342" s="65" t="n"/>
      <c r="M342" s="65" t="n"/>
      <c r="N342" s="65" t="n"/>
      <c r="O342" s="65" t="n"/>
      <c r="P342" s="65" t="n"/>
      <c r="Q342" s="65" t="n"/>
      <c r="R342" s="65" t="n"/>
      <c r="S342" s="65" t="n"/>
      <c r="T342" s="65" t="n"/>
      <c r="U342" s="65" t="n"/>
      <c r="V342" s="77" t="n"/>
      <c r="W342" s="65" t="n"/>
      <c r="X342" s="65" t="n"/>
      <c r="Y342" s="65" t="n"/>
      <c r="Z342" s="65" t="n"/>
      <c r="AA342" s="65" t="n"/>
      <c r="AB342" s="65" t="n"/>
      <c r="AC342" s="65" t="n"/>
      <c r="AD342" s="65" t="n"/>
      <c r="AE342" s="65" t="n"/>
      <c r="AF342" s="65" t="n"/>
      <c r="AG342" s="65" t="n"/>
      <c r="AH342" s="65" t="n"/>
      <c r="AI342" s="65" t="n"/>
      <c r="AJ342" s="65" t="n"/>
      <c r="AK342" s="65" t="n"/>
      <c r="AL342" s="65" t="n"/>
      <c r="AM342" s="65" t="n"/>
      <c r="AN342" s="65" t="n"/>
      <c r="AO342" s="65" t="n"/>
      <c r="AP342" s="65" t="n"/>
    </row>
    <row r="343">
      <c r="F343" s="68" t="n"/>
      <c r="G343" s="68">
        <f>IF(B343="","",F343-I343 )</f>
        <v/>
      </c>
      <c r="H343" s="5">
        <f>IF(G343="","",G343/F343)</f>
        <v/>
      </c>
      <c r="J343" s="65" t="n"/>
      <c r="K343" s="65" t="n"/>
      <c r="L343" s="65" t="n"/>
      <c r="M343" s="65" t="n"/>
      <c r="N343" s="65" t="n"/>
      <c r="O343" s="65" t="n"/>
      <c r="P343" s="65" t="n"/>
      <c r="Q343" s="65" t="n"/>
      <c r="R343" s="65" t="n"/>
      <c r="S343" s="65" t="n"/>
      <c r="T343" s="65" t="n"/>
      <c r="U343" s="65" t="n"/>
      <c r="V343" s="77" t="n"/>
      <c r="W343" s="65" t="n"/>
      <c r="X343" s="65" t="n"/>
      <c r="Y343" s="65" t="n"/>
      <c r="Z343" s="65" t="n"/>
      <c r="AA343" s="65" t="n"/>
      <c r="AB343" s="65" t="n"/>
      <c r="AC343" s="65" t="n"/>
      <c r="AD343" s="65" t="n"/>
      <c r="AE343" s="65" t="n"/>
      <c r="AF343" s="65" t="n"/>
      <c r="AG343" s="65" t="n"/>
      <c r="AH343" s="65" t="n"/>
      <c r="AI343" s="65" t="n"/>
      <c r="AJ343" s="65" t="n"/>
      <c r="AK343" s="65" t="n"/>
      <c r="AL343" s="65" t="n"/>
      <c r="AM343" s="65" t="n"/>
      <c r="AN343" s="65" t="n"/>
      <c r="AO343" s="65" t="n"/>
      <c r="AP343" s="65" t="n"/>
    </row>
    <row r="344">
      <c r="F344" s="68" t="n"/>
      <c r="G344" s="68">
        <f>IF(B344="","",F344-I344 )</f>
        <v/>
      </c>
      <c r="H344" s="5">
        <f>IF(G344="","",G344/F344)</f>
        <v/>
      </c>
      <c r="J344" s="65" t="n"/>
      <c r="K344" s="65" t="n"/>
      <c r="L344" s="65" t="n"/>
      <c r="M344" s="65" t="n"/>
      <c r="N344" s="65" t="n"/>
      <c r="O344" s="65" t="n"/>
      <c r="P344" s="65" t="n"/>
      <c r="Q344" s="65" t="n"/>
      <c r="R344" s="65" t="n"/>
      <c r="S344" s="65" t="n"/>
      <c r="T344" s="65" t="n"/>
      <c r="U344" s="65" t="n"/>
      <c r="V344" s="77" t="n"/>
      <c r="W344" s="65" t="n"/>
      <c r="X344" s="65" t="n"/>
      <c r="Y344" s="65" t="n"/>
      <c r="Z344" s="65" t="n"/>
      <c r="AA344" s="65" t="n"/>
      <c r="AB344" s="65" t="n"/>
      <c r="AC344" s="65" t="n"/>
      <c r="AD344" s="65" t="n"/>
      <c r="AE344" s="65" t="n"/>
      <c r="AF344" s="65" t="n"/>
      <c r="AG344" s="65" t="n"/>
      <c r="AH344" s="65" t="n"/>
      <c r="AI344" s="65" t="n"/>
      <c r="AJ344" s="65" t="n"/>
      <c r="AK344" s="65" t="n"/>
      <c r="AL344" s="65" t="n"/>
      <c r="AM344" s="65" t="n"/>
      <c r="AN344" s="65" t="n"/>
      <c r="AO344" s="65" t="n"/>
      <c r="AP344" s="65" t="n"/>
    </row>
    <row r="345">
      <c r="F345" s="68" t="n"/>
      <c r="G345" s="68">
        <f>IF(B345="","",F345-I345 )</f>
        <v/>
      </c>
      <c r="H345" s="5">
        <f>IF(G345="","",G345/F345)</f>
        <v/>
      </c>
      <c r="J345" s="65" t="n"/>
      <c r="K345" s="65" t="n"/>
      <c r="L345" s="65" t="n"/>
      <c r="M345" s="65" t="n"/>
      <c r="N345" s="65" t="n"/>
      <c r="O345" s="65" t="n"/>
      <c r="P345" s="65" t="n"/>
      <c r="Q345" s="65" t="n"/>
      <c r="R345" s="65" t="n"/>
      <c r="S345" s="65" t="n"/>
      <c r="T345" s="65" t="n"/>
      <c r="U345" s="65" t="n"/>
      <c r="V345" s="77" t="n"/>
      <c r="W345" s="65" t="n"/>
      <c r="X345" s="65" t="n"/>
      <c r="Y345" s="65" t="n"/>
      <c r="Z345" s="65" t="n"/>
      <c r="AA345" s="65" t="n"/>
      <c r="AB345" s="65" t="n"/>
      <c r="AC345" s="65" t="n"/>
      <c r="AD345" s="65" t="n"/>
      <c r="AE345" s="65" t="n"/>
      <c r="AF345" s="65" t="n"/>
      <c r="AG345" s="65" t="n"/>
      <c r="AH345" s="65" t="n"/>
      <c r="AI345" s="65" t="n"/>
      <c r="AJ345" s="65" t="n"/>
      <c r="AK345" s="65" t="n"/>
      <c r="AL345" s="65" t="n"/>
      <c r="AM345" s="65" t="n"/>
      <c r="AN345" s="65" t="n"/>
      <c r="AO345" s="65" t="n"/>
      <c r="AP345" s="65" t="n"/>
    </row>
    <row r="346">
      <c r="F346" s="68" t="n"/>
      <c r="G346" s="68">
        <f>IF(B346="","",F346-I346 )</f>
        <v/>
      </c>
      <c r="H346" s="5">
        <f>IF(G346="","",G346/F346)</f>
        <v/>
      </c>
      <c r="J346" s="65" t="n"/>
      <c r="K346" s="65" t="n"/>
      <c r="L346" s="65" t="n"/>
      <c r="M346" s="65" t="n"/>
      <c r="N346" s="65" t="n"/>
      <c r="O346" s="65" t="n"/>
      <c r="P346" s="65" t="n"/>
      <c r="Q346" s="65" t="n"/>
      <c r="R346" s="65" t="n"/>
      <c r="S346" s="65" t="n"/>
      <c r="T346" s="65" t="n"/>
      <c r="U346" s="65" t="n"/>
      <c r="V346" s="77" t="n"/>
      <c r="W346" s="65" t="n"/>
      <c r="X346" s="65" t="n"/>
      <c r="Y346" s="65" t="n"/>
      <c r="Z346" s="65" t="n"/>
      <c r="AA346" s="65" t="n"/>
      <c r="AB346" s="65" t="n"/>
      <c r="AC346" s="65" t="n"/>
      <c r="AD346" s="65" t="n"/>
      <c r="AE346" s="65" t="n"/>
      <c r="AF346" s="65" t="n"/>
      <c r="AG346" s="65" t="n"/>
      <c r="AH346" s="65" t="n"/>
      <c r="AI346" s="65" t="n"/>
      <c r="AJ346" s="65" t="n"/>
      <c r="AK346" s="65" t="n"/>
      <c r="AL346" s="65" t="n"/>
      <c r="AM346" s="65" t="n"/>
      <c r="AN346" s="65" t="n"/>
      <c r="AO346" s="65" t="n"/>
      <c r="AP346" s="65" t="n"/>
    </row>
    <row r="347">
      <c r="F347" s="68" t="n"/>
      <c r="G347" s="68">
        <f>IF(B347="","",F347-I347 )</f>
        <v/>
      </c>
      <c r="H347" s="5">
        <f>IF(G347="","",G347/F347)</f>
        <v/>
      </c>
      <c r="J347" s="65" t="n"/>
      <c r="K347" s="65" t="n"/>
      <c r="L347" s="65" t="n"/>
      <c r="M347" s="65" t="n"/>
      <c r="N347" s="65" t="n"/>
      <c r="O347" s="65" t="n"/>
      <c r="P347" s="65" t="n"/>
      <c r="Q347" s="65" t="n"/>
      <c r="R347" s="65" t="n"/>
      <c r="S347" s="65" t="n"/>
      <c r="T347" s="65" t="n"/>
      <c r="U347" s="65" t="n"/>
      <c r="V347" s="77" t="n"/>
      <c r="W347" s="65" t="n"/>
      <c r="X347" s="65" t="n"/>
      <c r="Y347" s="65" t="n"/>
      <c r="Z347" s="65" t="n"/>
      <c r="AA347" s="65" t="n"/>
      <c r="AB347" s="65" t="n"/>
      <c r="AC347" s="65" t="n"/>
      <c r="AD347" s="65" t="n"/>
      <c r="AE347" s="65" t="n"/>
      <c r="AF347" s="65" t="n"/>
      <c r="AG347" s="65" t="n"/>
      <c r="AH347" s="65" t="n"/>
      <c r="AI347" s="65" t="n"/>
      <c r="AJ347" s="65" t="n"/>
      <c r="AK347" s="65" t="n"/>
      <c r="AL347" s="65" t="n"/>
      <c r="AM347" s="65" t="n"/>
      <c r="AN347" s="65" t="n"/>
      <c r="AO347" s="65" t="n"/>
      <c r="AP347" s="65" t="n"/>
    </row>
    <row r="348">
      <c r="F348" s="68" t="n"/>
      <c r="G348" s="68">
        <f>IF(B348="","",F348-I348 )</f>
        <v/>
      </c>
      <c r="H348" s="5">
        <f>IF(G348="","",G348/F348)</f>
        <v/>
      </c>
      <c r="J348" s="65" t="n"/>
      <c r="K348" s="65" t="n"/>
      <c r="L348" s="65" t="n"/>
      <c r="M348" s="65" t="n"/>
      <c r="N348" s="65" t="n"/>
      <c r="O348" s="65" t="n"/>
      <c r="P348" s="65" t="n"/>
      <c r="Q348" s="65" t="n"/>
      <c r="R348" s="65" t="n"/>
      <c r="S348" s="65" t="n"/>
      <c r="T348" s="65" t="n"/>
      <c r="U348" s="65" t="n"/>
      <c r="V348" s="77" t="n"/>
      <c r="W348" s="65" t="n"/>
      <c r="X348" s="65" t="n"/>
      <c r="Y348" s="65" t="n"/>
      <c r="Z348" s="65" t="n"/>
      <c r="AA348" s="65" t="n"/>
      <c r="AB348" s="65" t="n"/>
      <c r="AC348" s="65" t="n"/>
      <c r="AD348" s="65" t="n"/>
      <c r="AE348" s="65" t="n"/>
      <c r="AF348" s="65" t="n"/>
      <c r="AG348" s="65" t="n"/>
      <c r="AH348" s="65" t="n"/>
      <c r="AI348" s="65" t="n"/>
      <c r="AJ348" s="65" t="n"/>
      <c r="AK348" s="65" t="n"/>
      <c r="AL348" s="65" t="n"/>
      <c r="AM348" s="65" t="n"/>
      <c r="AN348" s="65" t="n"/>
      <c r="AO348" s="65" t="n"/>
      <c r="AP348" s="65" t="n"/>
    </row>
    <row r="349">
      <c r="F349" s="68" t="n"/>
      <c r="G349" s="68">
        <f>IF(B349="","",F349-I349 )</f>
        <v/>
      </c>
      <c r="H349" s="5">
        <f>IF(G349="","",G349/F349)</f>
        <v/>
      </c>
      <c r="J349" s="65" t="n"/>
      <c r="K349" s="65" t="n"/>
      <c r="L349" s="65" t="n"/>
      <c r="M349" s="65" t="n"/>
      <c r="N349" s="65" t="n"/>
      <c r="O349" s="65" t="n"/>
      <c r="P349" s="65" t="n"/>
      <c r="Q349" s="65" t="n"/>
      <c r="R349" s="65" t="n"/>
      <c r="S349" s="65" t="n"/>
      <c r="T349" s="65" t="n"/>
      <c r="U349" s="65" t="n"/>
      <c r="V349" s="77" t="n"/>
      <c r="W349" s="65" t="n"/>
      <c r="X349" s="65" t="n"/>
      <c r="Y349" s="65" t="n"/>
      <c r="Z349" s="65" t="n"/>
      <c r="AA349" s="65" t="n"/>
      <c r="AB349" s="65" t="n"/>
      <c r="AC349" s="65" t="n"/>
      <c r="AD349" s="65" t="n"/>
      <c r="AE349" s="65" t="n"/>
      <c r="AF349" s="65" t="n"/>
      <c r="AG349" s="65" t="n"/>
      <c r="AH349" s="65" t="n"/>
      <c r="AI349" s="65" t="n"/>
      <c r="AJ349" s="65" t="n"/>
      <c r="AK349" s="65" t="n"/>
      <c r="AL349" s="65" t="n"/>
      <c r="AM349" s="65" t="n"/>
      <c r="AN349" s="65" t="n"/>
      <c r="AO349" s="65" t="n"/>
      <c r="AP349" s="65" t="n"/>
    </row>
    <row r="350">
      <c r="F350" s="68" t="n"/>
      <c r="G350" s="68">
        <f>IF(B350="","",F350-I350 )</f>
        <v/>
      </c>
      <c r="H350" s="5">
        <f>IF(G350="","",G350/F350)</f>
        <v/>
      </c>
      <c r="J350" s="65" t="n"/>
      <c r="K350" s="65" t="n"/>
      <c r="L350" s="65" t="n"/>
      <c r="M350" s="65" t="n"/>
      <c r="N350" s="65" t="n"/>
      <c r="O350" s="65" t="n"/>
      <c r="P350" s="65" t="n"/>
      <c r="Q350" s="65" t="n"/>
      <c r="R350" s="65" t="n"/>
      <c r="S350" s="65" t="n"/>
      <c r="T350" s="65" t="n"/>
      <c r="U350" s="65" t="n"/>
      <c r="V350" s="77" t="n"/>
      <c r="W350" s="65" t="n"/>
      <c r="X350" s="65" t="n"/>
      <c r="Y350" s="65" t="n"/>
      <c r="Z350" s="65" t="n"/>
      <c r="AA350" s="65" t="n"/>
      <c r="AB350" s="65" t="n"/>
      <c r="AC350" s="65" t="n"/>
      <c r="AD350" s="65" t="n"/>
      <c r="AE350" s="65" t="n"/>
      <c r="AF350" s="65" t="n"/>
      <c r="AG350" s="65" t="n"/>
      <c r="AH350" s="65" t="n"/>
      <c r="AI350" s="65" t="n"/>
      <c r="AJ350" s="65" t="n"/>
      <c r="AK350" s="65" t="n"/>
      <c r="AL350" s="65" t="n"/>
      <c r="AM350" s="65" t="n"/>
      <c r="AN350" s="65" t="n"/>
      <c r="AO350" s="65" t="n"/>
      <c r="AP350" s="65" t="n"/>
    </row>
    <row r="351">
      <c r="F351" s="68" t="n"/>
      <c r="G351" s="68">
        <f>IF(B351="","",F351-I351 )</f>
        <v/>
      </c>
      <c r="H351" s="5">
        <f>IF(G351="","",G351/F351)</f>
        <v/>
      </c>
      <c r="J351" s="65" t="n"/>
      <c r="K351" s="65" t="n"/>
      <c r="L351" s="65" t="n"/>
      <c r="M351" s="65" t="n"/>
      <c r="N351" s="65" t="n"/>
      <c r="O351" s="65" t="n"/>
      <c r="P351" s="65" t="n"/>
      <c r="Q351" s="65" t="n"/>
      <c r="R351" s="65" t="n"/>
      <c r="S351" s="65" t="n"/>
      <c r="T351" s="65" t="n"/>
      <c r="U351" s="65" t="n"/>
      <c r="V351" s="77" t="n"/>
      <c r="W351" s="65" t="n"/>
      <c r="X351" s="65" t="n"/>
      <c r="Y351" s="65" t="n"/>
      <c r="Z351" s="65" t="n"/>
      <c r="AA351" s="65" t="n"/>
      <c r="AB351" s="65" t="n"/>
      <c r="AC351" s="65" t="n"/>
      <c r="AD351" s="65" t="n"/>
      <c r="AE351" s="65" t="n"/>
      <c r="AF351" s="65" t="n"/>
      <c r="AG351" s="65" t="n"/>
      <c r="AH351" s="65" t="n"/>
      <c r="AI351" s="65" t="n"/>
      <c r="AJ351" s="65" t="n"/>
      <c r="AK351" s="65" t="n"/>
      <c r="AL351" s="65" t="n"/>
      <c r="AM351" s="65" t="n"/>
      <c r="AN351" s="65" t="n"/>
      <c r="AO351" s="65" t="n"/>
      <c r="AP351" s="65" t="n"/>
    </row>
    <row r="352">
      <c r="F352" s="68" t="n"/>
      <c r="G352" s="68">
        <f>IF(B352="","",F352-I352 )</f>
        <v/>
      </c>
      <c r="H352" s="5">
        <f>IF(G352="","",G352/F352)</f>
        <v/>
      </c>
      <c r="J352" s="65" t="n"/>
      <c r="K352" s="65" t="n"/>
      <c r="L352" s="65" t="n"/>
      <c r="M352" s="65" t="n"/>
      <c r="N352" s="65" t="n"/>
      <c r="O352" s="65" t="n"/>
      <c r="P352" s="65" t="n"/>
      <c r="Q352" s="65" t="n"/>
      <c r="R352" s="65" t="n"/>
      <c r="S352" s="65" t="n"/>
      <c r="T352" s="65" t="n"/>
      <c r="U352" s="65" t="n"/>
      <c r="V352" s="77" t="n"/>
      <c r="W352" s="65" t="n"/>
      <c r="X352" s="65" t="n"/>
      <c r="Y352" s="65" t="n"/>
      <c r="Z352" s="65" t="n"/>
      <c r="AA352" s="65" t="n"/>
      <c r="AB352" s="65" t="n"/>
      <c r="AC352" s="65" t="n"/>
      <c r="AD352" s="65" t="n"/>
      <c r="AE352" s="65" t="n"/>
      <c r="AF352" s="65" t="n"/>
      <c r="AG352" s="65" t="n"/>
      <c r="AH352" s="65" t="n"/>
      <c r="AI352" s="65" t="n"/>
      <c r="AJ352" s="65" t="n"/>
      <c r="AK352" s="65" t="n"/>
      <c r="AL352" s="65" t="n"/>
      <c r="AM352" s="65" t="n"/>
      <c r="AN352" s="65" t="n"/>
      <c r="AO352" s="65" t="n"/>
      <c r="AP352" s="65" t="n"/>
    </row>
    <row r="353">
      <c r="F353" s="68" t="n"/>
      <c r="G353" s="68">
        <f>IF(B353="","",F353-I353 )</f>
        <v/>
      </c>
      <c r="H353" s="5">
        <f>IF(G353="","",G353/F353)</f>
        <v/>
      </c>
      <c r="J353" s="65" t="n"/>
      <c r="K353" s="65" t="n"/>
      <c r="L353" s="65" t="n"/>
      <c r="M353" s="65" t="n"/>
      <c r="N353" s="65" t="n"/>
      <c r="O353" s="65" t="n"/>
      <c r="P353" s="65" t="n"/>
      <c r="Q353" s="65" t="n"/>
      <c r="R353" s="65" t="n"/>
      <c r="S353" s="65" t="n"/>
      <c r="T353" s="65" t="n"/>
      <c r="U353" s="65" t="n"/>
      <c r="V353" s="77" t="n"/>
      <c r="W353" s="65" t="n"/>
      <c r="X353" s="65" t="n"/>
      <c r="Y353" s="65" t="n"/>
      <c r="Z353" s="65" t="n"/>
      <c r="AA353" s="65" t="n"/>
      <c r="AB353" s="65" t="n"/>
      <c r="AC353" s="65" t="n"/>
      <c r="AD353" s="65" t="n"/>
      <c r="AE353" s="65" t="n"/>
      <c r="AF353" s="65" t="n"/>
      <c r="AG353" s="65" t="n"/>
      <c r="AH353" s="65" t="n"/>
      <c r="AI353" s="65" t="n"/>
      <c r="AJ353" s="65" t="n"/>
      <c r="AK353" s="65" t="n"/>
      <c r="AL353" s="65" t="n"/>
      <c r="AM353" s="65" t="n"/>
      <c r="AN353" s="65" t="n"/>
      <c r="AO353" s="65" t="n"/>
      <c r="AP353" s="65" t="n"/>
    </row>
    <row r="354">
      <c r="F354" s="68" t="n"/>
      <c r="G354" s="68">
        <f>IF(B354="","",F354-I354 )</f>
        <v/>
      </c>
      <c r="H354" s="5">
        <f>IF(G354="","",G354/F354)</f>
        <v/>
      </c>
      <c r="J354" s="65" t="n"/>
      <c r="K354" s="65" t="n"/>
      <c r="L354" s="65" t="n"/>
      <c r="M354" s="65" t="n"/>
      <c r="N354" s="65" t="n"/>
      <c r="O354" s="65" t="n"/>
      <c r="P354" s="65" t="n"/>
      <c r="Q354" s="65" t="n"/>
      <c r="R354" s="65" t="n"/>
      <c r="S354" s="65" t="n"/>
      <c r="T354" s="65" t="n"/>
      <c r="U354" s="65" t="n"/>
      <c r="V354" s="77" t="n"/>
      <c r="W354" s="65" t="n"/>
      <c r="X354" s="65" t="n"/>
      <c r="Y354" s="65" t="n"/>
      <c r="Z354" s="65" t="n"/>
      <c r="AA354" s="65" t="n"/>
      <c r="AB354" s="65" t="n"/>
      <c r="AC354" s="65" t="n"/>
      <c r="AD354" s="65" t="n"/>
      <c r="AE354" s="65" t="n"/>
      <c r="AF354" s="65" t="n"/>
      <c r="AG354" s="65" t="n"/>
      <c r="AH354" s="65" t="n"/>
      <c r="AI354" s="65" t="n"/>
      <c r="AJ354" s="65" t="n"/>
      <c r="AK354" s="65" t="n"/>
      <c r="AL354" s="65" t="n"/>
      <c r="AM354" s="65" t="n"/>
      <c r="AN354" s="65" t="n"/>
      <c r="AO354" s="65" t="n"/>
      <c r="AP354" s="65" t="n"/>
    </row>
    <row r="355">
      <c r="F355" s="68" t="n"/>
      <c r="G355" s="68">
        <f>IF(B355="","",F355-I355 )</f>
        <v/>
      </c>
      <c r="H355" s="5">
        <f>IF(G355="","",G355/F355)</f>
        <v/>
      </c>
      <c r="J355" s="65" t="n"/>
      <c r="K355" s="65" t="n"/>
      <c r="L355" s="65" t="n"/>
      <c r="M355" s="65" t="n"/>
      <c r="N355" s="65" t="n"/>
      <c r="O355" s="65" t="n"/>
      <c r="P355" s="65" t="n"/>
      <c r="Q355" s="65" t="n"/>
      <c r="R355" s="65" t="n"/>
      <c r="S355" s="65" t="n"/>
      <c r="T355" s="65" t="n"/>
      <c r="U355" s="65" t="n"/>
      <c r="V355" s="77" t="n"/>
      <c r="W355" s="65" t="n"/>
      <c r="X355" s="65" t="n"/>
      <c r="Y355" s="65" t="n"/>
      <c r="Z355" s="65" t="n"/>
      <c r="AA355" s="65" t="n"/>
      <c r="AB355" s="65" t="n"/>
      <c r="AC355" s="65" t="n"/>
      <c r="AD355" s="65" t="n"/>
      <c r="AE355" s="65" t="n"/>
      <c r="AF355" s="65" t="n"/>
      <c r="AG355" s="65" t="n"/>
      <c r="AH355" s="65" t="n"/>
      <c r="AI355" s="65" t="n"/>
      <c r="AJ355" s="65" t="n"/>
      <c r="AK355" s="65" t="n"/>
      <c r="AL355" s="65" t="n"/>
      <c r="AM355" s="65" t="n"/>
      <c r="AN355" s="65" t="n"/>
      <c r="AO355" s="65" t="n"/>
      <c r="AP355" s="65" t="n"/>
    </row>
    <row r="356">
      <c r="F356" s="68" t="n"/>
      <c r="G356" s="68">
        <f>IF(B356="","",F356-I356 )</f>
        <v/>
      </c>
      <c r="H356" s="5">
        <f>IF(G356="","",G356/F356)</f>
        <v/>
      </c>
      <c r="J356" s="65" t="n"/>
      <c r="K356" s="65" t="n"/>
      <c r="L356" s="65" t="n"/>
      <c r="M356" s="65" t="n"/>
      <c r="N356" s="65" t="n"/>
      <c r="O356" s="65" t="n"/>
      <c r="P356" s="65" t="n"/>
      <c r="Q356" s="65" t="n"/>
      <c r="R356" s="65" t="n"/>
      <c r="S356" s="65" t="n"/>
      <c r="T356" s="65" t="n"/>
      <c r="U356" s="65" t="n"/>
      <c r="V356" s="77" t="n"/>
      <c r="W356" s="65" t="n"/>
      <c r="X356" s="65" t="n"/>
      <c r="Y356" s="65" t="n"/>
      <c r="Z356" s="65" t="n"/>
      <c r="AA356" s="65" t="n"/>
      <c r="AB356" s="65" t="n"/>
      <c r="AC356" s="65" t="n"/>
      <c r="AD356" s="65" t="n"/>
      <c r="AE356" s="65" t="n"/>
      <c r="AF356" s="65" t="n"/>
      <c r="AG356" s="65" t="n"/>
      <c r="AH356" s="65" t="n"/>
      <c r="AI356" s="65" t="n"/>
      <c r="AJ356" s="65" t="n"/>
      <c r="AK356" s="65" t="n"/>
      <c r="AL356" s="65" t="n"/>
      <c r="AM356" s="65" t="n"/>
      <c r="AN356" s="65" t="n"/>
      <c r="AO356" s="65" t="n"/>
      <c r="AP356" s="65" t="n"/>
    </row>
    <row r="357">
      <c r="F357" s="68" t="n"/>
      <c r="G357" s="68">
        <f>IF(B357="","",F357-I357 )</f>
        <v/>
      </c>
      <c r="H357" s="5">
        <f>IF(G357="","",G357/F357)</f>
        <v/>
      </c>
      <c r="J357" s="65" t="n"/>
      <c r="K357" s="65" t="n"/>
      <c r="L357" s="65" t="n"/>
      <c r="M357" s="65" t="n"/>
      <c r="N357" s="65" t="n"/>
      <c r="O357" s="65" t="n"/>
      <c r="P357" s="65" t="n"/>
      <c r="Q357" s="65" t="n"/>
      <c r="R357" s="65" t="n"/>
      <c r="S357" s="65" t="n"/>
      <c r="T357" s="65" t="n"/>
      <c r="U357" s="65" t="n"/>
      <c r="V357" s="77" t="n"/>
      <c r="W357" s="65" t="n"/>
      <c r="X357" s="65" t="n"/>
      <c r="Y357" s="65" t="n"/>
      <c r="Z357" s="65" t="n"/>
      <c r="AA357" s="65" t="n"/>
      <c r="AB357" s="65" t="n"/>
      <c r="AC357" s="65" t="n"/>
      <c r="AD357" s="65" t="n"/>
      <c r="AE357" s="65" t="n"/>
      <c r="AF357" s="65" t="n"/>
      <c r="AG357" s="65" t="n"/>
      <c r="AH357" s="65" t="n"/>
      <c r="AI357" s="65" t="n"/>
      <c r="AJ357" s="65" t="n"/>
      <c r="AK357" s="65" t="n"/>
      <c r="AL357" s="65" t="n"/>
      <c r="AM357" s="65" t="n"/>
      <c r="AN357" s="65" t="n"/>
      <c r="AO357" s="65" t="n"/>
      <c r="AP357" s="65" t="n"/>
    </row>
    <row r="358">
      <c r="F358" s="68" t="n"/>
      <c r="G358" s="68">
        <f>IF(B358="","",F358-I358 )</f>
        <v/>
      </c>
      <c r="H358" s="5">
        <f>IF(G358="","",G358/F358)</f>
        <v/>
      </c>
      <c r="J358" s="65" t="n"/>
      <c r="K358" s="65" t="n"/>
      <c r="L358" s="65" t="n"/>
      <c r="M358" s="65" t="n"/>
      <c r="N358" s="65" t="n"/>
      <c r="O358" s="65" t="n"/>
      <c r="P358" s="65" t="n"/>
      <c r="Q358" s="65" t="n"/>
      <c r="R358" s="65" t="n"/>
      <c r="S358" s="65" t="n"/>
      <c r="T358" s="65" t="n"/>
      <c r="U358" s="65" t="n"/>
      <c r="V358" s="77" t="n"/>
      <c r="W358" s="65" t="n"/>
      <c r="X358" s="65" t="n"/>
      <c r="Y358" s="65" t="n"/>
      <c r="Z358" s="65" t="n"/>
      <c r="AA358" s="65" t="n"/>
      <c r="AB358" s="65" t="n"/>
      <c r="AC358" s="65" t="n"/>
      <c r="AD358" s="65" t="n"/>
      <c r="AE358" s="65" t="n"/>
      <c r="AF358" s="65" t="n"/>
      <c r="AG358" s="65" t="n"/>
      <c r="AH358" s="65" t="n"/>
      <c r="AI358" s="65" t="n"/>
      <c r="AJ358" s="65" t="n"/>
      <c r="AK358" s="65" t="n"/>
      <c r="AL358" s="65" t="n"/>
      <c r="AM358" s="65" t="n"/>
      <c r="AN358" s="65" t="n"/>
      <c r="AO358" s="65" t="n"/>
      <c r="AP358" s="65" t="n"/>
    </row>
    <row r="359">
      <c r="F359" s="68" t="n"/>
      <c r="G359" s="68">
        <f>IF(B359="","",F359-I359 )</f>
        <v/>
      </c>
      <c r="H359" s="5">
        <f>IF(G359="","",G359/F359)</f>
        <v/>
      </c>
      <c r="J359" s="65" t="n"/>
      <c r="K359" s="65" t="n"/>
      <c r="L359" s="65" t="n"/>
      <c r="M359" s="65" t="n"/>
      <c r="N359" s="65" t="n"/>
      <c r="O359" s="65" t="n"/>
      <c r="P359" s="65" t="n"/>
      <c r="Q359" s="65" t="n"/>
      <c r="R359" s="65" t="n"/>
      <c r="S359" s="65" t="n"/>
      <c r="T359" s="65" t="n"/>
      <c r="U359" s="65" t="n"/>
      <c r="V359" s="77" t="n"/>
      <c r="W359" s="65" t="n"/>
      <c r="X359" s="65" t="n"/>
      <c r="Y359" s="65" t="n"/>
      <c r="Z359" s="65" t="n"/>
      <c r="AA359" s="65" t="n"/>
      <c r="AB359" s="65" t="n"/>
      <c r="AC359" s="65" t="n"/>
      <c r="AD359" s="65" t="n"/>
      <c r="AE359" s="65" t="n"/>
      <c r="AF359" s="65" t="n"/>
      <c r="AG359" s="65" t="n"/>
      <c r="AH359" s="65" t="n"/>
      <c r="AI359" s="65" t="n"/>
      <c r="AJ359" s="65" t="n"/>
      <c r="AK359" s="65" t="n"/>
      <c r="AL359" s="65" t="n"/>
      <c r="AM359" s="65" t="n"/>
      <c r="AN359" s="65" t="n"/>
      <c r="AO359" s="65" t="n"/>
      <c r="AP359" s="65" t="n"/>
    </row>
    <row r="360">
      <c r="F360" s="68" t="n"/>
      <c r="G360" s="68">
        <f>IF(B360="","",F360-I360 )</f>
        <v/>
      </c>
      <c r="H360" s="5">
        <f>IF(G360="","",G360/F360)</f>
        <v/>
      </c>
      <c r="J360" s="65" t="n"/>
      <c r="K360" s="65" t="n"/>
      <c r="L360" s="65" t="n"/>
      <c r="M360" s="65" t="n"/>
      <c r="N360" s="65" t="n"/>
      <c r="O360" s="65" t="n"/>
      <c r="P360" s="65" t="n"/>
      <c r="Q360" s="65" t="n"/>
      <c r="R360" s="65" t="n"/>
      <c r="S360" s="65" t="n"/>
      <c r="T360" s="65" t="n"/>
      <c r="U360" s="65" t="n"/>
      <c r="V360" s="77" t="n"/>
      <c r="W360" s="65" t="n"/>
      <c r="X360" s="65" t="n"/>
      <c r="Y360" s="65" t="n"/>
      <c r="Z360" s="65" t="n"/>
      <c r="AA360" s="65" t="n"/>
      <c r="AB360" s="65" t="n"/>
      <c r="AC360" s="65" t="n"/>
      <c r="AD360" s="65" t="n"/>
      <c r="AE360" s="65" t="n"/>
      <c r="AF360" s="65" t="n"/>
      <c r="AG360" s="65" t="n"/>
      <c r="AH360" s="65" t="n"/>
      <c r="AI360" s="65" t="n"/>
      <c r="AJ360" s="65" t="n"/>
      <c r="AK360" s="65" t="n"/>
      <c r="AL360" s="65" t="n"/>
      <c r="AM360" s="65" t="n"/>
      <c r="AN360" s="65" t="n"/>
      <c r="AO360" s="65" t="n"/>
      <c r="AP360" s="65" t="n"/>
    </row>
    <row r="361">
      <c r="F361" s="68" t="n"/>
      <c r="G361" s="68">
        <f>IF(B361="","",F361-I361 )</f>
        <v/>
      </c>
      <c r="H361" s="5">
        <f>IF(G361="","",G361/F361)</f>
        <v/>
      </c>
      <c r="J361" s="65" t="n"/>
      <c r="K361" s="65" t="n"/>
      <c r="L361" s="65" t="n"/>
      <c r="M361" s="65" t="n"/>
      <c r="N361" s="65" t="n"/>
      <c r="O361" s="65" t="n"/>
      <c r="P361" s="65" t="n"/>
      <c r="Q361" s="65" t="n"/>
      <c r="R361" s="65" t="n"/>
      <c r="S361" s="65" t="n"/>
      <c r="T361" s="65" t="n"/>
      <c r="U361" s="65" t="n"/>
      <c r="V361" s="77" t="n"/>
      <c r="W361" s="65" t="n"/>
      <c r="X361" s="65" t="n"/>
      <c r="Y361" s="65" t="n"/>
      <c r="Z361" s="65" t="n"/>
      <c r="AA361" s="65" t="n"/>
      <c r="AB361" s="65" t="n"/>
      <c r="AC361" s="65" t="n"/>
      <c r="AD361" s="65" t="n"/>
      <c r="AE361" s="65" t="n"/>
      <c r="AF361" s="65" t="n"/>
      <c r="AG361" s="65" t="n"/>
      <c r="AH361" s="65" t="n"/>
      <c r="AI361" s="65" t="n"/>
      <c r="AJ361" s="65" t="n"/>
      <c r="AK361" s="65" t="n"/>
      <c r="AL361" s="65" t="n"/>
      <c r="AM361" s="65" t="n"/>
      <c r="AN361" s="65" t="n"/>
      <c r="AO361" s="65" t="n"/>
      <c r="AP361" s="65" t="n"/>
    </row>
    <row r="362">
      <c r="F362" s="68" t="n"/>
      <c r="G362" s="68">
        <f>IF(B362="","",F362-I362 )</f>
        <v/>
      </c>
      <c r="H362" s="5">
        <f>IF(G362="","",G362/F362)</f>
        <v/>
      </c>
      <c r="J362" s="65" t="n"/>
      <c r="K362" s="65" t="n"/>
      <c r="L362" s="65" t="n"/>
      <c r="M362" s="65" t="n"/>
      <c r="N362" s="65" t="n"/>
      <c r="O362" s="65" t="n"/>
      <c r="P362" s="65" t="n"/>
      <c r="Q362" s="65" t="n"/>
      <c r="R362" s="65" t="n"/>
      <c r="S362" s="65" t="n"/>
      <c r="T362" s="65" t="n"/>
      <c r="U362" s="65" t="n"/>
      <c r="V362" s="77" t="n"/>
      <c r="W362" s="65" t="n"/>
      <c r="X362" s="65" t="n"/>
      <c r="Y362" s="65" t="n"/>
      <c r="Z362" s="65" t="n"/>
      <c r="AA362" s="65" t="n"/>
      <c r="AB362" s="65" t="n"/>
      <c r="AC362" s="65" t="n"/>
      <c r="AD362" s="65" t="n"/>
      <c r="AE362" s="65" t="n"/>
      <c r="AF362" s="65" t="n"/>
      <c r="AG362" s="65" t="n"/>
      <c r="AH362" s="65" t="n"/>
      <c r="AI362" s="65" t="n"/>
      <c r="AJ362" s="65" t="n"/>
      <c r="AK362" s="65" t="n"/>
      <c r="AL362" s="65" t="n"/>
      <c r="AM362" s="65" t="n"/>
      <c r="AN362" s="65" t="n"/>
      <c r="AO362" s="65" t="n"/>
      <c r="AP362" s="65" t="n"/>
    </row>
    <row r="363">
      <c r="F363" s="68" t="n"/>
      <c r="G363" s="68">
        <f>IF(B363="","",F363-I363 )</f>
        <v/>
      </c>
      <c r="H363" s="5">
        <f>IF(G363="","",G363/F363)</f>
        <v/>
      </c>
      <c r="J363" s="65" t="n"/>
      <c r="K363" s="65" t="n"/>
      <c r="L363" s="65" t="n"/>
      <c r="M363" s="65" t="n"/>
      <c r="N363" s="65" t="n"/>
      <c r="O363" s="65" t="n"/>
      <c r="P363" s="65" t="n"/>
      <c r="Q363" s="65" t="n"/>
      <c r="R363" s="65" t="n"/>
      <c r="S363" s="65" t="n"/>
      <c r="T363" s="65" t="n"/>
      <c r="U363" s="65" t="n"/>
      <c r="V363" s="77" t="n"/>
      <c r="W363" s="65" t="n"/>
      <c r="X363" s="65" t="n"/>
      <c r="Y363" s="65" t="n"/>
      <c r="Z363" s="65" t="n"/>
      <c r="AA363" s="65" t="n"/>
      <c r="AB363" s="65" t="n"/>
      <c r="AC363" s="65" t="n"/>
      <c r="AD363" s="65" t="n"/>
      <c r="AE363" s="65" t="n"/>
      <c r="AF363" s="65" t="n"/>
      <c r="AG363" s="65" t="n"/>
      <c r="AH363" s="65" t="n"/>
      <c r="AI363" s="65" t="n"/>
      <c r="AJ363" s="65" t="n"/>
      <c r="AK363" s="65" t="n"/>
      <c r="AL363" s="65" t="n"/>
      <c r="AM363" s="65" t="n"/>
      <c r="AN363" s="65" t="n"/>
      <c r="AO363" s="65" t="n"/>
      <c r="AP363" s="65" t="n"/>
    </row>
    <row r="364">
      <c r="F364" s="68" t="n"/>
      <c r="G364" s="68">
        <f>IF(B364="","",F364-I364 )</f>
        <v/>
      </c>
      <c r="H364" s="5">
        <f>IF(G364="","",G364/F364)</f>
        <v/>
      </c>
      <c r="J364" s="65" t="n"/>
      <c r="K364" s="65" t="n"/>
      <c r="L364" s="65" t="n"/>
      <c r="M364" s="65" t="n"/>
      <c r="N364" s="65" t="n"/>
      <c r="O364" s="65" t="n"/>
      <c r="P364" s="65" t="n"/>
      <c r="Q364" s="65" t="n"/>
      <c r="R364" s="65" t="n"/>
      <c r="S364" s="65" t="n"/>
      <c r="T364" s="65" t="n"/>
      <c r="U364" s="65" t="n"/>
      <c r="V364" s="77" t="n"/>
      <c r="W364" s="65" t="n"/>
      <c r="X364" s="65" t="n"/>
      <c r="Y364" s="65" t="n"/>
      <c r="Z364" s="65" t="n"/>
      <c r="AA364" s="65" t="n"/>
      <c r="AB364" s="65" t="n"/>
      <c r="AC364" s="65" t="n"/>
      <c r="AD364" s="65" t="n"/>
      <c r="AE364" s="65" t="n"/>
      <c r="AF364" s="65" t="n"/>
      <c r="AG364" s="65" t="n"/>
      <c r="AH364" s="65" t="n"/>
      <c r="AI364" s="65" t="n"/>
      <c r="AJ364" s="65" t="n"/>
      <c r="AK364" s="65" t="n"/>
      <c r="AL364" s="65" t="n"/>
      <c r="AM364" s="65" t="n"/>
      <c r="AN364" s="65" t="n"/>
      <c r="AO364" s="65" t="n"/>
      <c r="AP364" s="65" t="n"/>
    </row>
    <row r="365">
      <c r="F365" s="68" t="n"/>
      <c r="G365" s="68">
        <f>IF(B365="","",F365-I365 )</f>
        <v/>
      </c>
      <c r="H365" s="5">
        <f>IF(G365="","",G365/F365)</f>
        <v/>
      </c>
      <c r="J365" s="65" t="n"/>
      <c r="K365" s="65" t="n"/>
      <c r="L365" s="65" t="n"/>
      <c r="M365" s="65" t="n"/>
      <c r="N365" s="65" t="n"/>
      <c r="O365" s="65" t="n"/>
      <c r="P365" s="65" t="n"/>
      <c r="Q365" s="65" t="n"/>
      <c r="R365" s="65" t="n"/>
      <c r="S365" s="65" t="n"/>
      <c r="T365" s="65" t="n"/>
      <c r="U365" s="65" t="n"/>
      <c r="V365" s="77" t="n"/>
      <c r="W365" s="65" t="n"/>
      <c r="X365" s="65" t="n"/>
      <c r="Y365" s="65" t="n"/>
      <c r="Z365" s="65" t="n"/>
      <c r="AA365" s="65" t="n"/>
      <c r="AB365" s="65" t="n"/>
      <c r="AC365" s="65" t="n"/>
      <c r="AD365" s="65" t="n"/>
      <c r="AE365" s="65" t="n"/>
      <c r="AF365" s="65" t="n"/>
      <c r="AG365" s="65" t="n"/>
      <c r="AH365" s="65" t="n"/>
      <c r="AI365" s="65" t="n"/>
      <c r="AJ365" s="65" t="n"/>
      <c r="AK365" s="65" t="n"/>
      <c r="AL365" s="65" t="n"/>
      <c r="AM365" s="65" t="n"/>
      <c r="AN365" s="65" t="n"/>
      <c r="AO365" s="65" t="n"/>
      <c r="AP365" s="65" t="n"/>
    </row>
    <row r="366">
      <c r="F366" s="68" t="n"/>
      <c r="G366" s="68">
        <f>IF(B366="","",F366-I366 )</f>
        <v/>
      </c>
      <c r="H366" s="5">
        <f>IF(G366="","",G366/F366)</f>
        <v/>
      </c>
      <c r="J366" s="65" t="n"/>
      <c r="K366" s="65" t="n"/>
      <c r="L366" s="65" t="n"/>
      <c r="M366" s="65" t="n"/>
      <c r="N366" s="65" t="n"/>
      <c r="O366" s="65" t="n"/>
      <c r="P366" s="65" t="n"/>
      <c r="Q366" s="65" t="n"/>
      <c r="R366" s="65" t="n"/>
      <c r="S366" s="65" t="n"/>
      <c r="T366" s="65" t="n"/>
      <c r="U366" s="65" t="n"/>
      <c r="V366" s="77" t="n"/>
      <c r="W366" s="65" t="n"/>
      <c r="X366" s="65" t="n"/>
      <c r="Y366" s="65" t="n"/>
      <c r="Z366" s="65" t="n"/>
      <c r="AA366" s="65" t="n"/>
      <c r="AB366" s="65" t="n"/>
      <c r="AC366" s="65" t="n"/>
      <c r="AD366" s="65" t="n"/>
      <c r="AE366" s="65" t="n"/>
      <c r="AF366" s="65" t="n"/>
      <c r="AG366" s="65" t="n"/>
      <c r="AH366" s="65" t="n"/>
      <c r="AI366" s="65" t="n"/>
      <c r="AJ366" s="65" t="n"/>
      <c r="AK366" s="65" t="n"/>
      <c r="AL366" s="65" t="n"/>
      <c r="AM366" s="65" t="n"/>
      <c r="AN366" s="65" t="n"/>
      <c r="AO366" s="65" t="n"/>
      <c r="AP366" s="65" t="n"/>
    </row>
    <row r="367">
      <c r="F367" s="68" t="n"/>
      <c r="G367" s="68">
        <f>IF(B367="","",F367-I367 )</f>
        <v/>
      </c>
      <c r="H367" s="5">
        <f>IF(G367="","",G367/F367)</f>
        <v/>
      </c>
      <c r="J367" s="65" t="n"/>
      <c r="K367" s="65" t="n"/>
      <c r="L367" s="65" t="n"/>
      <c r="M367" s="65" t="n"/>
      <c r="N367" s="65" t="n"/>
      <c r="O367" s="65" t="n"/>
      <c r="P367" s="65" t="n"/>
      <c r="Q367" s="65" t="n"/>
      <c r="R367" s="65" t="n"/>
      <c r="S367" s="65" t="n"/>
      <c r="T367" s="65" t="n"/>
      <c r="U367" s="65" t="n"/>
      <c r="V367" s="77" t="n"/>
      <c r="W367" s="65" t="n"/>
      <c r="X367" s="65" t="n"/>
      <c r="Y367" s="65" t="n"/>
      <c r="Z367" s="65" t="n"/>
      <c r="AA367" s="65" t="n"/>
      <c r="AB367" s="65" t="n"/>
      <c r="AC367" s="65" t="n"/>
      <c r="AD367" s="65" t="n"/>
      <c r="AE367" s="65" t="n"/>
      <c r="AF367" s="65" t="n"/>
      <c r="AG367" s="65" t="n"/>
      <c r="AH367" s="65" t="n"/>
      <c r="AI367" s="65" t="n"/>
      <c r="AJ367" s="65" t="n"/>
      <c r="AK367" s="65" t="n"/>
      <c r="AL367" s="65" t="n"/>
      <c r="AM367" s="65" t="n"/>
      <c r="AN367" s="65" t="n"/>
      <c r="AO367" s="65" t="n"/>
      <c r="AP367" s="65" t="n"/>
    </row>
    <row r="368">
      <c r="F368" s="68" t="n"/>
      <c r="G368" s="68">
        <f>IF(B368="","",F368-I368 )</f>
        <v/>
      </c>
      <c r="H368" s="5">
        <f>IF(G368="","",G368/F368)</f>
        <v/>
      </c>
      <c r="J368" s="65" t="n"/>
      <c r="K368" s="65" t="n"/>
      <c r="L368" s="65" t="n"/>
      <c r="M368" s="65" t="n"/>
      <c r="N368" s="65" t="n"/>
      <c r="O368" s="65" t="n"/>
      <c r="P368" s="65" t="n"/>
      <c r="Q368" s="65" t="n"/>
      <c r="R368" s="65" t="n"/>
      <c r="S368" s="65" t="n"/>
      <c r="T368" s="65" t="n"/>
      <c r="U368" s="65" t="n"/>
      <c r="V368" s="77" t="n"/>
      <c r="W368" s="65" t="n"/>
      <c r="X368" s="65" t="n"/>
      <c r="Y368" s="65" t="n"/>
      <c r="Z368" s="65" t="n"/>
      <c r="AA368" s="65" t="n"/>
      <c r="AB368" s="65" t="n"/>
      <c r="AC368" s="65" t="n"/>
      <c r="AD368" s="65" t="n"/>
      <c r="AE368" s="65" t="n"/>
      <c r="AF368" s="65" t="n"/>
      <c r="AG368" s="65" t="n"/>
      <c r="AH368" s="65" t="n"/>
      <c r="AI368" s="65" t="n"/>
      <c r="AJ368" s="65" t="n"/>
      <c r="AK368" s="65" t="n"/>
      <c r="AL368" s="65" t="n"/>
      <c r="AM368" s="65" t="n"/>
      <c r="AN368" s="65" t="n"/>
      <c r="AO368" s="65" t="n"/>
      <c r="AP368" s="65" t="n"/>
    </row>
    <row r="369">
      <c r="F369" s="68" t="n"/>
      <c r="G369" s="68">
        <f>IF(B369="","",F369-I369 )</f>
        <v/>
      </c>
      <c r="H369" s="5">
        <f>IF(G369="","",G369/F369)</f>
        <v/>
      </c>
      <c r="J369" s="65" t="n"/>
      <c r="K369" s="65" t="n"/>
      <c r="L369" s="65" t="n"/>
      <c r="M369" s="65" t="n"/>
      <c r="N369" s="65" t="n"/>
      <c r="O369" s="65" t="n"/>
      <c r="P369" s="65" t="n"/>
      <c r="Q369" s="65" t="n"/>
      <c r="R369" s="65" t="n"/>
      <c r="S369" s="65" t="n"/>
      <c r="T369" s="65" t="n"/>
      <c r="U369" s="65" t="n"/>
      <c r="V369" s="77" t="n"/>
      <c r="W369" s="65" t="n"/>
      <c r="X369" s="65" t="n"/>
      <c r="Y369" s="65" t="n"/>
      <c r="Z369" s="65" t="n"/>
      <c r="AA369" s="65" t="n"/>
      <c r="AB369" s="65" t="n"/>
      <c r="AC369" s="65" t="n"/>
      <c r="AD369" s="65" t="n"/>
      <c r="AE369" s="65" t="n"/>
      <c r="AF369" s="65" t="n"/>
      <c r="AG369" s="65" t="n"/>
      <c r="AH369" s="65" t="n"/>
      <c r="AI369" s="65" t="n"/>
      <c r="AJ369" s="65" t="n"/>
      <c r="AK369" s="65" t="n"/>
      <c r="AL369" s="65" t="n"/>
      <c r="AM369" s="65" t="n"/>
      <c r="AN369" s="65" t="n"/>
      <c r="AO369" s="65" t="n"/>
      <c r="AP369" s="65" t="n"/>
    </row>
    <row r="370">
      <c r="F370" s="68" t="n"/>
      <c r="G370" s="68">
        <f>IF(B370="","",F370-I370 )</f>
        <v/>
      </c>
      <c r="H370" s="5">
        <f>IF(G370="","",G370/F370)</f>
        <v/>
      </c>
      <c r="J370" s="65" t="n"/>
      <c r="K370" s="65" t="n"/>
      <c r="L370" s="65" t="n"/>
      <c r="M370" s="65" t="n"/>
      <c r="N370" s="65" t="n"/>
      <c r="O370" s="65" t="n"/>
      <c r="P370" s="65" t="n"/>
      <c r="Q370" s="65" t="n"/>
      <c r="R370" s="65" t="n"/>
      <c r="S370" s="65" t="n"/>
      <c r="T370" s="65" t="n"/>
      <c r="U370" s="65" t="n"/>
      <c r="V370" s="77" t="n"/>
      <c r="W370" s="65" t="n"/>
      <c r="X370" s="65" t="n"/>
      <c r="Y370" s="65" t="n"/>
      <c r="Z370" s="65" t="n"/>
      <c r="AA370" s="65" t="n"/>
      <c r="AB370" s="65" t="n"/>
      <c r="AC370" s="65" t="n"/>
      <c r="AD370" s="65" t="n"/>
      <c r="AE370" s="65" t="n"/>
      <c r="AF370" s="65" t="n"/>
      <c r="AG370" s="65" t="n"/>
      <c r="AH370" s="65" t="n"/>
      <c r="AI370" s="65" t="n"/>
      <c r="AJ370" s="65" t="n"/>
      <c r="AK370" s="65" t="n"/>
      <c r="AL370" s="65" t="n"/>
      <c r="AM370" s="65" t="n"/>
      <c r="AN370" s="65" t="n"/>
      <c r="AO370" s="65" t="n"/>
      <c r="AP370" s="65" t="n"/>
    </row>
    <row r="371">
      <c r="F371" s="68" t="n"/>
      <c r="G371" s="68">
        <f>IF(B371="","",F371-I371 )</f>
        <v/>
      </c>
      <c r="H371" s="5">
        <f>IF(G371="","",G371/F371)</f>
        <v/>
      </c>
      <c r="J371" s="65" t="n"/>
      <c r="K371" s="65" t="n"/>
      <c r="L371" s="65" t="n"/>
      <c r="M371" s="65" t="n"/>
      <c r="N371" s="65" t="n"/>
      <c r="O371" s="65" t="n"/>
      <c r="P371" s="65" t="n"/>
      <c r="Q371" s="65" t="n"/>
      <c r="R371" s="65" t="n"/>
      <c r="S371" s="65" t="n"/>
      <c r="T371" s="65" t="n"/>
      <c r="U371" s="65" t="n"/>
      <c r="V371" s="77" t="n"/>
      <c r="W371" s="65" t="n"/>
      <c r="X371" s="65" t="n"/>
      <c r="Y371" s="65" t="n"/>
      <c r="Z371" s="65" t="n"/>
      <c r="AA371" s="65" t="n"/>
      <c r="AB371" s="65" t="n"/>
      <c r="AC371" s="65" t="n"/>
      <c r="AD371" s="65" t="n"/>
      <c r="AE371" s="65" t="n"/>
      <c r="AF371" s="65" t="n"/>
      <c r="AG371" s="65" t="n"/>
      <c r="AH371" s="65" t="n"/>
      <c r="AI371" s="65" t="n"/>
      <c r="AJ371" s="65" t="n"/>
      <c r="AK371" s="65" t="n"/>
      <c r="AL371" s="65" t="n"/>
      <c r="AM371" s="65" t="n"/>
      <c r="AN371" s="65" t="n"/>
      <c r="AO371" s="65" t="n"/>
      <c r="AP371" s="65" t="n"/>
    </row>
    <row r="372">
      <c r="F372" s="68" t="n"/>
      <c r="G372" s="68">
        <f>IF(B372="","",F372-I372 )</f>
        <v/>
      </c>
      <c r="H372" s="5">
        <f>IF(G372="","",G372/F372)</f>
        <v/>
      </c>
      <c r="J372" s="65" t="n"/>
      <c r="K372" s="65" t="n"/>
      <c r="L372" s="65" t="n"/>
      <c r="M372" s="65" t="n"/>
      <c r="N372" s="65" t="n"/>
      <c r="O372" s="65" t="n"/>
      <c r="P372" s="65" t="n"/>
      <c r="Q372" s="65" t="n"/>
      <c r="R372" s="65" t="n"/>
      <c r="S372" s="65" t="n"/>
      <c r="T372" s="65" t="n"/>
      <c r="U372" s="65" t="n"/>
      <c r="V372" s="77" t="n"/>
      <c r="W372" s="65" t="n"/>
      <c r="X372" s="65" t="n"/>
      <c r="Y372" s="65" t="n"/>
      <c r="Z372" s="65" t="n"/>
      <c r="AA372" s="65" t="n"/>
      <c r="AB372" s="65" t="n"/>
      <c r="AC372" s="65" t="n"/>
      <c r="AD372" s="65" t="n"/>
      <c r="AE372" s="65" t="n"/>
      <c r="AF372" s="65" t="n"/>
      <c r="AG372" s="65" t="n"/>
      <c r="AH372" s="65" t="n"/>
      <c r="AI372" s="65" t="n"/>
      <c r="AJ372" s="65" t="n"/>
      <c r="AK372" s="65" t="n"/>
      <c r="AL372" s="65" t="n"/>
      <c r="AM372" s="65" t="n"/>
      <c r="AN372" s="65" t="n"/>
      <c r="AO372" s="65" t="n"/>
      <c r="AP372" s="65" t="n"/>
    </row>
    <row r="373">
      <c r="F373" s="68" t="n"/>
      <c r="G373" s="68">
        <f>IF(B373="","",F373-I373 )</f>
        <v/>
      </c>
      <c r="H373" s="5">
        <f>IF(G373="","",G373/F373)</f>
        <v/>
      </c>
      <c r="J373" s="65" t="n"/>
      <c r="K373" s="65" t="n"/>
      <c r="L373" s="65" t="n"/>
      <c r="M373" s="65" t="n"/>
      <c r="N373" s="65" t="n"/>
      <c r="O373" s="65" t="n"/>
      <c r="P373" s="65" t="n"/>
      <c r="Q373" s="65" t="n"/>
      <c r="R373" s="65" t="n"/>
      <c r="S373" s="65" t="n"/>
      <c r="T373" s="65" t="n"/>
      <c r="U373" s="65" t="n"/>
      <c r="V373" s="77" t="n"/>
      <c r="W373" s="65" t="n"/>
      <c r="X373" s="65" t="n"/>
      <c r="Y373" s="65" t="n"/>
      <c r="Z373" s="65" t="n"/>
      <c r="AA373" s="65" t="n"/>
      <c r="AB373" s="65" t="n"/>
      <c r="AC373" s="65" t="n"/>
      <c r="AD373" s="65" t="n"/>
      <c r="AE373" s="65" t="n"/>
      <c r="AF373" s="65" t="n"/>
      <c r="AG373" s="65" t="n"/>
      <c r="AH373" s="65" t="n"/>
      <c r="AI373" s="65" t="n"/>
      <c r="AJ373" s="65" t="n"/>
      <c r="AK373" s="65" t="n"/>
      <c r="AL373" s="65" t="n"/>
      <c r="AM373" s="65" t="n"/>
      <c r="AN373" s="65" t="n"/>
      <c r="AO373" s="65" t="n"/>
      <c r="AP373" s="65" t="n"/>
    </row>
    <row r="374">
      <c r="F374" s="68" t="n"/>
      <c r="G374" s="68">
        <f>IF(B374="","",F374-I374 )</f>
        <v/>
      </c>
      <c r="H374" s="5">
        <f>IF(G374="","",G374/F374)</f>
        <v/>
      </c>
      <c r="J374" s="65" t="n"/>
      <c r="K374" s="65" t="n"/>
      <c r="L374" s="65" t="n"/>
      <c r="M374" s="65" t="n"/>
      <c r="N374" s="65" t="n"/>
      <c r="O374" s="65" t="n"/>
      <c r="P374" s="65" t="n"/>
      <c r="Q374" s="65" t="n"/>
      <c r="R374" s="65" t="n"/>
      <c r="S374" s="65" t="n"/>
      <c r="T374" s="65" t="n"/>
      <c r="U374" s="65" t="n"/>
      <c r="V374" s="77" t="n"/>
      <c r="W374" s="65" t="n"/>
      <c r="X374" s="65" t="n"/>
      <c r="Y374" s="65" t="n"/>
      <c r="Z374" s="65" t="n"/>
      <c r="AA374" s="65" t="n"/>
      <c r="AB374" s="65" t="n"/>
      <c r="AC374" s="65" t="n"/>
      <c r="AD374" s="65" t="n"/>
      <c r="AE374" s="65" t="n"/>
      <c r="AF374" s="65" t="n"/>
      <c r="AG374" s="65" t="n"/>
      <c r="AH374" s="65" t="n"/>
      <c r="AI374" s="65" t="n"/>
      <c r="AJ374" s="65" t="n"/>
      <c r="AK374" s="65" t="n"/>
      <c r="AL374" s="65" t="n"/>
      <c r="AM374" s="65" t="n"/>
      <c r="AN374" s="65" t="n"/>
      <c r="AO374" s="65" t="n"/>
      <c r="AP374" s="65" t="n"/>
    </row>
    <row r="375">
      <c r="F375" s="68" t="n"/>
      <c r="G375" s="68">
        <f>IF(B375="","",F375-I375 )</f>
        <v/>
      </c>
      <c r="H375" s="5">
        <f>IF(G375="","",G375/F375)</f>
        <v/>
      </c>
      <c r="J375" s="65" t="n"/>
      <c r="K375" s="65" t="n"/>
      <c r="L375" s="65" t="n"/>
      <c r="M375" s="65" t="n"/>
      <c r="N375" s="65" t="n"/>
      <c r="O375" s="65" t="n"/>
      <c r="P375" s="65" t="n"/>
      <c r="Q375" s="65" t="n"/>
      <c r="R375" s="65" t="n"/>
      <c r="S375" s="65" t="n"/>
      <c r="T375" s="65" t="n"/>
      <c r="U375" s="65" t="n"/>
      <c r="V375" s="77" t="n"/>
      <c r="W375" s="65" t="n"/>
      <c r="X375" s="65" t="n"/>
      <c r="Y375" s="65" t="n"/>
      <c r="Z375" s="65" t="n"/>
      <c r="AA375" s="65" t="n"/>
      <c r="AB375" s="65" t="n"/>
      <c r="AC375" s="65" t="n"/>
      <c r="AD375" s="65" t="n"/>
      <c r="AE375" s="65" t="n"/>
      <c r="AF375" s="65" t="n"/>
      <c r="AG375" s="65" t="n"/>
      <c r="AH375" s="65" t="n"/>
      <c r="AI375" s="65" t="n"/>
      <c r="AJ375" s="65" t="n"/>
      <c r="AK375" s="65" t="n"/>
      <c r="AL375" s="65" t="n"/>
      <c r="AM375" s="65" t="n"/>
      <c r="AN375" s="65" t="n"/>
      <c r="AO375" s="65" t="n"/>
      <c r="AP375" s="65" t="n"/>
    </row>
    <row r="376">
      <c r="F376" s="68" t="n"/>
      <c r="G376" s="68">
        <f>IF(B376="","",F376-I376 )</f>
        <v/>
      </c>
      <c r="H376" s="5">
        <f>IF(G376="","",G376/F376)</f>
        <v/>
      </c>
      <c r="J376" s="65" t="n"/>
      <c r="K376" s="65" t="n"/>
      <c r="L376" s="65" t="n"/>
      <c r="M376" s="65" t="n"/>
      <c r="N376" s="65" t="n"/>
      <c r="O376" s="65" t="n"/>
      <c r="P376" s="65" t="n"/>
      <c r="Q376" s="65" t="n"/>
      <c r="R376" s="65" t="n"/>
      <c r="S376" s="65" t="n"/>
      <c r="T376" s="65" t="n"/>
      <c r="U376" s="65" t="n"/>
      <c r="V376" s="77" t="n"/>
      <c r="W376" s="65" t="n"/>
      <c r="X376" s="65" t="n"/>
      <c r="Y376" s="65" t="n"/>
      <c r="Z376" s="65" t="n"/>
      <c r="AA376" s="65" t="n"/>
      <c r="AB376" s="65" t="n"/>
      <c r="AC376" s="65" t="n"/>
      <c r="AD376" s="65" t="n"/>
      <c r="AE376" s="65" t="n"/>
      <c r="AF376" s="65" t="n"/>
      <c r="AG376" s="65" t="n"/>
      <c r="AH376" s="65" t="n"/>
      <c r="AI376" s="65" t="n"/>
      <c r="AJ376" s="65" t="n"/>
      <c r="AK376" s="65" t="n"/>
      <c r="AL376" s="65" t="n"/>
      <c r="AM376" s="65" t="n"/>
      <c r="AN376" s="65" t="n"/>
      <c r="AO376" s="65" t="n"/>
      <c r="AP376" s="65" t="n"/>
    </row>
    <row r="377">
      <c r="F377" s="68" t="n"/>
      <c r="G377" s="68">
        <f>IF(B377="","",F377-I377 )</f>
        <v/>
      </c>
      <c r="H377" s="5">
        <f>IF(G377="","",G377/F377)</f>
        <v/>
      </c>
      <c r="J377" s="65" t="n"/>
      <c r="K377" s="65" t="n"/>
      <c r="L377" s="65" t="n"/>
      <c r="M377" s="65" t="n"/>
      <c r="N377" s="65" t="n"/>
      <c r="O377" s="65" t="n"/>
      <c r="P377" s="65" t="n"/>
      <c r="Q377" s="65" t="n"/>
      <c r="R377" s="65" t="n"/>
      <c r="S377" s="65" t="n"/>
      <c r="T377" s="65" t="n"/>
      <c r="U377" s="65" t="n"/>
      <c r="V377" s="77" t="n"/>
      <c r="W377" s="65" t="n"/>
      <c r="X377" s="65" t="n"/>
      <c r="Y377" s="65" t="n"/>
      <c r="Z377" s="65" t="n"/>
      <c r="AA377" s="65" t="n"/>
      <c r="AB377" s="65" t="n"/>
      <c r="AC377" s="65" t="n"/>
      <c r="AD377" s="65" t="n"/>
      <c r="AE377" s="65" t="n"/>
      <c r="AF377" s="65" t="n"/>
      <c r="AG377" s="65" t="n"/>
      <c r="AH377" s="65" t="n"/>
      <c r="AI377" s="65" t="n"/>
      <c r="AJ377" s="65" t="n"/>
      <c r="AK377" s="65" t="n"/>
      <c r="AL377" s="65" t="n"/>
      <c r="AM377" s="65" t="n"/>
      <c r="AN377" s="65" t="n"/>
      <c r="AO377" s="65" t="n"/>
      <c r="AP377" s="65" t="n"/>
    </row>
    <row r="378">
      <c r="F378" s="68" t="n"/>
      <c r="G378" s="68">
        <f>IF(B378="","",F378-I378 )</f>
        <v/>
      </c>
      <c r="H378" s="5">
        <f>IF(G378="","",G378/F378)</f>
        <v/>
      </c>
      <c r="J378" s="65" t="n"/>
      <c r="K378" s="65" t="n"/>
      <c r="L378" s="65" t="n"/>
      <c r="M378" s="65" t="n"/>
      <c r="N378" s="65" t="n"/>
      <c r="O378" s="65" t="n"/>
      <c r="P378" s="65" t="n"/>
      <c r="Q378" s="65" t="n"/>
      <c r="R378" s="65" t="n"/>
      <c r="S378" s="65" t="n"/>
      <c r="T378" s="65" t="n"/>
      <c r="U378" s="65" t="n"/>
      <c r="V378" s="77" t="n"/>
      <c r="W378" s="65" t="n"/>
      <c r="X378" s="65" t="n"/>
      <c r="Y378" s="65" t="n"/>
      <c r="Z378" s="65" t="n"/>
      <c r="AA378" s="65" t="n"/>
      <c r="AB378" s="65" t="n"/>
      <c r="AC378" s="65" t="n"/>
      <c r="AD378" s="65" t="n"/>
      <c r="AE378" s="65" t="n"/>
      <c r="AF378" s="65" t="n"/>
      <c r="AG378" s="65" t="n"/>
      <c r="AH378" s="65" t="n"/>
      <c r="AI378" s="65" t="n"/>
      <c r="AJ378" s="65" t="n"/>
      <c r="AK378" s="65" t="n"/>
      <c r="AL378" s="65" t="n"/>
      <c r="AM378" s="65" t="n"/>
      <c r="AN378" s="65" t="n"/>
      <c r="AO378" s="65" t="n"/>
      <c r="AP378" s="65" t="n"/>
    </row>
    <row r="379">
      <c r="F379" s="68" t="n"/>
      <c r="G379" s="68">
        <f>IF(B379="","",F379-I379 )</f>
        <v/>
      </c>
      <c r="H379" s="5">
        <f>IF(G379="","",G379/F379)</f>
        <v/>
      </c>
      <c r="J379" s="65" t="n"/>
      <c r="K379" s="65" t="n"/>
      <c r="L379" s="65" t="n"/>
      <c r="M379" s="65" t="n"/>
      <c r="N379" s="65" t="n"/>
      <c r="O379" s="65" t="n"/>
      <c r="P379" s="65" t="n"/>
      <c r="Q379" s="65" t="n"/>
      <c r="R379" s="65" t="n"/>
      <c r="S379" s="65" t="n"/>
      <c r="T379" s="65" t="n"/>
      <c r="U379" s="65" t="n"/>
      <c r="V379" s="77" t="n"/>
      <c r="W379" s="65" t="n"/>
      <c r="X379" s="65" t="n"/>
      <c r="Y379" s="65" t="n"/>
      <c r="Z379" s="65" t="n"/>
      <c r="AA379" s="65" t="n"/>
      <c r="AB379" s="65" t="n"/>
      <c r="AC379" s="65" t="n"/>
      <c r="AD379" s="65" t="n"/>
      <c r="AE379" s="65" t="n"/>
      <c r="AF379" s="65" t="n"/>
      <c r="AG379" s="65" t="n"/>
      <c r="AH379" s="65" t="n"/>
      <c r="AI379" s="65" t="n"/>
      <c r="AJ379" s="65" t="n"/>
      <c r="AK379" s="65" t="n"/>
      <c r="AL379" s="65" t="n"/>
      <c r="AM379" s="65" t="n"/>
      <c r="AN379" s="65" t="n"/>
      <c r="AO379" s="65" t="n"/>
      <c r="AP379" s="65" t="n"/>
    </row>
    <row r="380">
      <c r="F380" s="68" t="n"/>
      <c r="G380" s="68">
        <f>IF(B380="","",F380-I380 )</f>
        <v/>
      </c>
      <c r="H380" s="5">
        <f>IF(G380="","",G380/F380)</f>
        <v/>
      </c>
      <c r="J380" s="65" t="n"/>
      <c r="K380" s="65" t="n"/>
      <c r="L380" s="65" t="n"/>
      <c r="M380" s="65" t="n"/>
      <c r="N380" s="65" t="n"/>
      <c r="O380" s="65" t="n"/>
      <c r="P380" s="65" t="n"/>
      <c r="Q380" s="65" t="n"/>
      <c r="R380" s="65" t="n"/>
      <c r="S380" s="65" t="n"/>
      <c r="T380" s="65" t="n"/>
      <c r="U380" s="65" t="n"/>
      <c r="V380" s="77" t="n"/>
      <c r="W380" s="65" t="n"/>
      <c r="X380" s="65" t="n"/>
      <c r="Y380" s="65" t="n"/>
      <c r="Z380" s="65" t="n"/>
      <c r="AA380" s="65" t="n"/>
      <c r="AB380" s="65" t="n"/>
      <c r="AC380" s="65" t="n"/>
      <c r="AD380" s="65" t="n"/>
      <c r="AE380" s="65" t="n"/>
      <c r="AF380" s="65" t="n"/>
      <c r="AG380" s="65" t="n"/>
      <c r="AH380" s="65" t="n"/>
      <c r="AI380" s="65" t="n"/>
      <c r="AJ380" s="65" t="n"/>
      <c r="AK380" s="65" t="n"/>
      <c r="AL380" s="65" t="n"/>
      <c r="AM380" s="65" t="n"/>
      <c r="AN380" s="65" t="n"/>
      <c r="AO380" s="65" t="n"/>
      <c r="AP380" s="65" t="n"/>
    </row>
    <row r="381">
      <c r="F381" s="68" t="n"/>
      <c r="G381" s="68">
        <f>IF(B381="","",F381-I381 )</f>
        <v/>
      </c>
      <c r="H381" s="5">
        <f>IF(G381="","",G381/F381)</f>
        <v/>
      </c>
      <c r="J381" s="65" t="n"/>
      <c r="K381" s="65" t="n"/>
      <c r="L381" s="65" t="n"/>
      <c r="M381" s="65" t="n"/>
      <c r="N381" s="65" t="n"/>
      <c r="O381" s="65" t="n"/>
      <c r="P381" s="65" t="n"/>
      <c r="Q381" s="65" t="n"/>
      <c r="R381" s="65" t="n"/>
      <c r="S381" s="65" t="n"/>
      <c r="T381" s="65" t="n"/>
      <c r="U381" s="65" t="n"/>
      <c r="V381" s="77" t="n"/>
      <c r="W381" s="65" t="n"/>
      <c r="X381" s="65" t="n"/>
      <c r="Y381" s="65" t="n"/>
      <c r="Z381" s="65" t="n"/>
      <c r="AA381" s="65" t="n"/>
      <c r="AB381" s="65" t="n"/>
      <c r="AC381" s="65" t="n"/>
      <c r="AD381" s="65" t="n"/>
      <c r="AE381" s="65" t="n"/>
      <c r="AF381" s="65" t="n"/>
      <c r="AG381" s="65" t="n"/>
      <c r="AH381" s="65" t="n"/>
      <c r="AI381" s="65" t="n"/>
      <c r="AJ381" s="65" t="n"/>
      <c r="AK381" s="65" t="n"/>
      <c r="AL381" s="65" t="n"/>
      <c r="AM381" s="65" t="n"/>
      <c r="AN381" s="65" t="n"/>
      <c r="AO381" s="65" t="n"/>
      <c r="AP381" s="65" t="n"/>
    </row>
    <row r="382">
      <c r="F382" s="68" t="n"/>
      <c r="G382" s="68">
        <f>IF(B382="","",F382-I382 )</f>
        <v/>
      </c>
      <c r="H382" s="5">
        <f>IF(G382="","",G382/F382)</f>
        <v/>
      </c>
      <c r="J382" s="65" t="n"/>
      <c r="K382" s="65" t="n"/>
      <c r="L382" s="65" t="n"/>
      <c r="M382" s="65" t="n"/>
      <c r="N382" s="65" t="n"/>
      <c r="O382" s="65" t="n"/>
      <c r="P382" s="65" t="n"/>
      <c r="Q382" s="65" t="n"/>
      <c r="R382" s="65" t="n"/>
      <c r="S382" s="65" t="n"/>
      <c r="T382" s="65" t="n"/>
      <c r="U382" s="65" t="n"/>
      <c r="V382" s="77" t="n"/>
      <c r="W382" s="65" t="n"/>
      <c r="X382" s="65" t="n"/>
      <c r="Y382" s="65" t="n"/>
      <c r="Z382" s="65" t="n"/>
      <c r="AA382" s="65" t="n"/>
      <c r="AB382" s="65" t="n"/>
      <c r="AC382" s="65" t="n"/>
      <c r="AD382" s="65" t="n"/>
      <c r="AE382" s="65" t="n"/>
      <c r="AF382" s="65" t="n"/>
      <c r="AG382" s="65" t="n"/>
      <c r="AH382" s="65" t="n"/>
      <c r="AI382" s="65" t="n"/>
      <c r="AJ382" s="65" t="n"/>
      <c r="AK382" s="65" t="n"/>
      <c r="AL382" s="65" t="n"/>
      <c r="AM382" s="65" t="n"/>
      <c r="AN382" s="65" t="n"/>
      <c r="AO382" s="65" t="n"/>
      <c r="AP382" s="65" t="n"/>
    </row>
    <row r="383">
      <c r="F383" s="68" t="n"/>
      <c r="G383" s="68">
        <f>IF(B383="","",F383-I383 )</f>
        <v/>
      </c>
      <c r="H383" s="5">
        <f>IF(G383="","",G383/F383)</f>
        <v/>
      </c>
      <c r="J383" s="65" t="n"/>
      <c r="K383" s="65" t="n"/>
      <c r="L383" s="65" t="n"/>
      <c r="M383" s="65" t="n"/>
      <c r="N383" s="65" t="n"/>
      <c r="O383" s="65" t="n"/>
      <c r="P383" s="65" t="n"/>
      <c r="Q383" s="65" t="n"/>
      <c r="R383" s="65" t="n"/>
      <c r="S383" s="65" t="n"/>
      <c r="T383" s="65" t="n"/>
      <c r="U383" s="65" t="n"/>
      <c r="V383" s="77" t="n"/>
      <c r="W383" s="65" t="n"/>
      <c r="X383" s="65" t="n"/>
      <c r="Y383" s="65" t="n"/>
      <c r="Z383" s="65" t="n"/>
      <c r="AA383" s="65" t="n"/>
      <c r="AB383" s="65" t="n"/>
      <c r="AC383" s="65" t="n"/>
      <c r="AD383" s="65" t="n"/>
      <c r="AE383" s="65" t="n"/>
      <c r="AF383" s="65" t="n"/>
      <c r="AG383" s="65" t="n"/>
      <c r="AH383" s="65" t="n"/>
      <c r="AI383" s="65" t="n"/>
      <c r="AJ383" s="65" t="n"/>
      <c r="AK383" s="65" t="n"/>
      <c r="AL383" s="65" t="n"/>
      <c r="AM383" s="65" t="n"/>
      <c r="AN383" s="65" t="n"/>
      <c r="AO383" s="65" t="n"/>
      <c r="AP383" s="65" t="n"/>
    </row>
    <row r="384">
      <c r="F384" s="68" t="n"/>
      <c r="G384" s="68">
        <f>IF(B384="","",F384-I384 )</f>
        <v/>
      </c>
      <c r="H384" s="5">
        <f>IF(G384="","",G384/F384)</f>
        <v/>
      </c>
      <c r="J384" s="65" t="n"/>
      <c r="K384" s="65" t="n"/>
      <c r="L384" s="65" t="n"/>
      <c r="M384" s="65" t="n"/>
      <c r="N384" s="65" t="n"/>
      <c r="O384" s="65" t="n"/>
      <c r="P384" s="65" t="n"/>
      <c r="Q384" s="65" t="n"/>
      <c r="R384" s="65" t="n"/>
      <c r="S384" s="65" t="n"/>
      <c r="T384" s="65" t="n"/>
      <c r="U384" s="65" t="n"/>
      <c r="V384" s="77" t="n"/>
      <c r="W384" s="65" t="n"/>
      <c r="X384" s="65" t="n"/>
      <c r="Y384" s="65" t="n"/>
      <c r="Z384" s="65" t="n"/>
      <c r="AA384" s="65" t="n"/>
      <c r="AB384" s="65" t="n"/>
      <c r="AC384" s="65" t="n"/>
      <c r="AD384" s="65" t="n"/>
      <c r="AE384" s="65" t="n"/>
      <c r="AF384" s="65" t="n"/>
      <c r="AG384" s="65" t="n"/>
      <c r="AH384" s="65" t="n"/>
      <c r="AI384" s="65" t="n"/>
      <c r="AJ384" s="65" t="n"/>
      <c r="AK384" s="65" t="n"/>
      <c r="AL384" s="65" t="n"/>
      <c r="AM384" s="65" t="n"/>
      <c r="AN384" s="65" t="n"/>
      <c r="AO384" s="65" t="n"/>
      <c r="AP384" s="65" t="n"/>
    </row>
    <row r="385">
      <c r="F385" s="68" t="n"/>
      <c r="G385" s="68">
        <f>IF(B385="","",F385-I385 )</f>
        <v/>
      </c>
      <c r="H385" s="5">
        <f>IF(G385="","",G385/F385)</f>
        <v/>
      </c>
      <c r="J385" s="65" t="n"/>
      <c r="K385" s="65" t="n"/>
      <c r="L385" s="65" t="n"/>
      <c r="M385" s="65" t="n"/>
      <c r="N385" s="65" t="n"/>
      <c r="O385" s="65" t="n"/>
      <c r="P385" s="65" t="n"/>
      <c r="Q385" s="65" t="n"/>
      <c r="R385" s="65" t="n"/>
      <c r="S385" s="65" t="n"/>
      <c r="T385" s="65" t="n"/>
      <c r="U385" s="65" t="n"/>
      <c r="V385" s="77" t="n"/>
      <c r="W385" s="65" t="n"/>
      <c r="X385" s="65" t="n"/>
      <c r="Y385" s="65" t="n"/>
      <c r="Z385" s="65" t="n"/>
      <c r="AA385" s="65" t="n"/>
      <c r="AB385" s="65" t="n"/>
      <c r="AC385" s="65" t="n"/>
      <c r="AD385" s="65" t="n"/>
      <c r="AE385" s="65" t="n"/>
      <c r="AF385" s="65" t="n"/>
      <c r="AG385" s="65" t="n"/>
      <c r="AH385" s="65" t="n"/>
      <c r="AI385" s="65" t="n"/>
      <c r="AJ385" s="65" t="n"/>
      <c r="AK385" s="65" t="n"/>
      <c r="AL385" s="65" t="n"/>
      <c r="AM385" s="65" t="n"/>
      <c r="AN385" s="65" t="n"/>
      <c r="AO385" s="65" t="n"/>
      <c r="AP385" s="65" t="n"/>
    </row>
    <row r="386">
      <c r="F386" s="68" t="n"/>
      <c r="G386" s="68">
        <f>IF(B386="","",F386-I386 )</f>
        <v/>
      </c>
      <c r="H386" s="5">
        <f>IF(G386="","",G386/F386)</f>
        <v/>
      </c>
      <c r="J386" s="65" t="n"/>
      <c r="K386" s="65" t="n"/>
      <c r="L386" s="65" t="n"/>
      <c r="M386" s="65" t="n"/>
      <c r="N386" s="65" t="n"/>
      <c r="O386" s="65" t="n"/>
      <c r="P386" s="65" t="n"/>
      <c r="Q386" s="65" t="n"/>
      <c r="R386" s="65" t="n"/>
      <c r="S386" s="65" t="n"/>
      <c r="T386" s="65" t="n"/>
      <c r="U386" s="65" t="n"/>
      <c r="V386" s="77" t="n"/>
      <c r="W386" s="65" t="n"/>
      <c r="X386" s="65" t="n"/>
      <c r="Y386" s="65" t="n"/>
      <c r="Z386" s="65" t="n"/>
      <c r="AA386" s="65" t="n"/>
      <c r="AB386" s="65" t="n"/>
      <c r="AC386" s="65" t="n"/>
      <c r="AD386" s="65" t="n"/>
      <c r="AE386" s="65" t="n"/>
      <c r="AF386" s="65" t="n"/>
      <c r="AG386" s="65" t="n"/>
      <c r="AH386" s="65" t="n"/>
      <c r="AI386" s="65" t="n"/>
      <c r="AJ386" s="65" t="n"/>
      <c r="AK386" s="65" t="n"/>
      <c r="AL386" s="65" t="n"/>
      <c r="AM386" s="65" t="n"/>
      <c r="AN386" s="65" t="n"/>
      <c r="AO386" s="65" t="n"/>
      <c r="AP386" s="65" t="n"/>
    </row>
    <row r="387">
      <c r="F387" s="68" t="n"/>
      <c r="G387" s="68">
        <f>IF(B387="","",F387-I387 )</f>
        <v/>
      </c>
      <c r="H387" s="5">
        <f>IF(G387="","",G387/F387)</f>
        <v/>
      </c>
      <c r="J387" s="65" t="n"/>
      <c r="K387" s="65" t="n"/>
      <c r="L387" s="65" t="n"/>
      <c r="M387" s="65" t="n"/>
      <c r="N387" s="65" t="n"/>
      <c r="O387" s="65" t="n"/>
      <c r="P387" s="65" t="n"/>
      <c r="Q387" s="65" t="n"/>
      <c r="R387" s="65" t="n"/>
      <c r="S387" s="65" t="n"/>
      <c r="T387" s="65" t="n"/>
      <c r="U387" s="65" t="n"/>
      <c r="V387" s="77" t="n"/>
      <c r="W387" s="65" t="n"/>
      <c r="X387" s="65" t="n"/>
      <c r="Y387" s="65" t="n"/>
      <c r="Z387" s="65" t="n"/>
      <c r="AA387" s="65" t="n"/>
      <c r="AB387" s="65" t="n"/>
      <c r="AC387" s="65" t="n"/>
      <c r="AD387" s="65" t="n"/>
      <c r="AE387" s="65" t="n"/>
      <c r="AF387" s="65" t="n"/>
      <c r="AG387" s="65" t="n"/>
      <c r="AH387" s="65" t="n"/>
      <c r="AI387" s="65" t="n"/>
      <c r="AJ387" s="65" t="n"/>
      <c r="AK387" s="65" t="n"/>
      <c r="AL387" s="65" t="n"/>
      <c r="AM387" s="65" t="n"/>
      <c r="AN387" s="65" t="n"/>
      <c r="AO387" s="65" t="n"/>
      <c r="AP387" s="65" t="n"/>
    </row>
    <row r="388">
      <c r="F388" s="68" t="n"/>
      <c r="G388" s="68">
        <f>IF(B388="","",F388-I388 )</f>
        <v/>
      </c>
      <c r="H388" s="5">
        <f>IF(G388="","",G388/F388)</f>
        <v/>
      </c>
      <c r="J388" s="65" t="n"/>
      <c r="K388" s="65" t="n"/>
      <c r="L388" s="65" t="n"/>
      <c r="M388" s="65" t="n"/>
      <c r="N388" s="65" t="n"/>
      <c r="O388" s="65" t="n"/>
      <c r="P388" s="65" t="n"/>
      <c r="Q388" s="65" t="n"/>
      <c r="R388" s="65" t="n"/>
      <c r="S388" s="65" t="n"/>
      <c r="T388" s="65" t="n"/>
      <c r="U388" s="65" t="n"/>
      <c r="V388" s="77" t="n"/>
      <c r="W388" s="65" t="n"/>
      <c r="X388" s="65" t="n"/>
      <c r="Y388" s="65" t="n"/>
      <c r="Z388" s="65" t="n"/>
      <c r="AA388" s="65" t="n"/>
      <c r="AB388" s="65" t="n"/>
      <c r="AC388" s="65" t="n"/>
      <c r="AD388" s="65" t="n"/>
      <c r="AE388" s="65" t="n"/>
      <c r="AF388" s="65" t="n"/>
      <c r="AG388" s="65" t="n"/>
      <c r="AH388" s="65" t="n"/>
      <c r="AI388" s="65" t="n"/>
      <c r="AJ388" s="65" t="n"/>
      <c r="AK388" s="65" t="n"/>
      <c r="AL388" s="65" t="n"/>
      <c r="AM388" s="65" t="n"/>
      <c r="AN388" s="65" t="n"/>
      <c r="AO388" s="65" t="n"/>
      <c r="AP388" s="65" t="n"/>
    </row>
    <row r="389">
      <c r="F389" s="68" t="n"/>
      <c r="G389" s="68">
        <f>IF(B389="","",F389-I389 )</f>
        <v/>
      </c>
      <c r="H389" s="5">
        <f>IF(G389="","",G389/F389)</f>
        <v/>
      </c>
      <c r="J389" s="65" t="n"/>
      <c r="K389" s="65" t="n"/>
      <c r="L389" s="65" t="n"/>
      <c r="M389" s="65" t="n"/>
      <c r="N389" s="65" t="n"/>
      <c r="O389" s="65" t="n"/>
      <c r="P389" s="65" t="n"/>
      <c r="Q389" s="65" t="n"/>
      <c r="R389" s="65" t="n"/>
      <c r="S389" s="65" t="n"/>
      <c r="T389" s="65" t="n"/>
      <c r="U389" s="65" t="n"/>
      <c r="V389" s="77" t="n"/>
      <c r="W389" s="65" t="n"/>
      <c r="X389" s="65" t="n"/>
      <c r="Y389" s="65" t="n"/>
      <c r="Z389" s="65" t="n"/>
      <c r="AA389" s="65" t="n"/>
      <c r="AB389" s="65" t="n"/>
      <c r="AC389" s="65" t="n"/>
      <c r="AD389" s="65" t="n"/>
      <c r="AE389" s="65" t="n"/>
      <c r="AF389" s="65" t="n"/>
      <c r="AG389" s="65" t="n"/>
      <c r="AH389" s="65" t="n"/>
      <c r="AI389" s="65" t="n"/>
      <c r="AJ389" s="65" t="n"/>
      <c r="AK389" s="65" t="n"/>
      <c r="AL389" s="65" t="n"/>
      <c r="AM389" s="65" t="n"/>
      <c r="AN389" s="65" t="n"/>
      <c r="AO389" s="65" t="n"/>
      <c r="AP389" s="65" t="n"/>
    </row>
    <row r="390">
      <c r="F390" s="68" t="n"/>
      <c r="G390" s="68">
        <f>IF(B390="","",F390-I390 )</f>
        <v/>
      </c>
      <c r="H390" s="5">
        <f>IF(G390="","",G390/F390)</f>
        <v/>
      </c>
      <c r="J390" s="65" t="n"/>
      <c r="K390" s="65" t="n"/>
      <c r="L390" s="65" t="n"/>
      <c r="M390" s="65" t="n"/>
      <c r="N390" s="65" t="n"/>
      <c r="O390" s="65" t="n"/>
      <c r="P390" s="65" t="n"/>
      <c r="Q390" s="65" t="n"/>
      <c r="R390" s="65" t="n"/>
      <c r="S390" s="65" t="n"/>
      <c r="T390" s="65" t="n"/>
      <c r="U390" s="65" t="n"/>
      <c r="V390" s="77" t="n"/>
      <c r="W390" s="65" t="n"/>
      <c r="X390" s="65" t="n"/>
      <c r="Y390" s="65" t="n"/>
      <c r="Z390" s="65" t="n"/>
      <c r="AA390" s="65" t="n"/>
      <c r="AB390" s="65" t="n"/>
      <c r="AC390" s="65" t="n"/>
      <c r="AD390" s="65" t="n"/>
      <c r="AE390" s="65" t="n"/>
      <c r="AF390" s="65" t="n"/>
      <c r="AG390" s="65" t="n"/>
      <c r="AH390" s="65" t="n"/>
      <c r="AI390" s="65" t="n"/>
      <c r="AJ390" s="65" t="n"/>
      <c r="AK390" s="65" t="n"/>
      <c r="AL390" s="65" t="n"/>
      <c r="AM390" s="65" t="n"/>
      <c r="AN390" s="65" t="n"/>
      <c r="AO390" s="65" t="n"/>
      <c r="AP390" s="65" t="n"/>
    </row>
    <row r="391">
      <c r="F391" s="68" t="n"/>
      <c r="G391" s="68">
        <f>IF(B391="","",F391-I391 )</f>
        <v/>
      </c>
      <c r="H391" s="5">
        <f>IF(G391="","",G391/F391)</f>
        <v/>
      </c>
      <c r="J391" s="65" t="n"/>
      <c r="K391" s="65" t="n"/>
      <c r="L391" s="65" t="n"/>
      <c r="M391" s="65" t="n"/>
      <c r="N391" s="65" t="n"/>
      <c r="O391" s="65" t="n"/>
      <c r="P391" s="65" t="n"/>
      <c r="Q391" s="65" t="n"/>
      <c r="R391" s="65" t="n"/>
      <c r="S391" s="65" t="n"/>
      <c r="T391" s="65" t="n"/>
      <c r="U391" s="65" t="n"/>
      <c r="V391" s="77" t="n"/>
      <c r="W391" s="65" t="n"/>
      <c r="X391" s="65" t="n"/>
      <c r="Y391" s="65" t="n"/>
      <c r="Z391" s="65" t="n"/>
      <c r="AA391" s="65" t="n"/>
      <c r="AB391" s="65" t="n"/>
      <c r="AC391" s="65" t="n"/>
      <c r="AD391" s="65" t="n"/>
      <c r="AE391" s="65" t="n"/>
      <c r="AF391" s="65" t="n"/>
      <c r="AG391" s="65" t="n"/>
      <c r="AH391" s="65" t="n"/>
      <c r="AI391" s="65" t="n"/>
      <c r="AJ391" s="65" t="n"/>
      <c r="AK391" s="65" t="n"/>
      <c r="AL391" s="65" t="n"/>
      <c r="AM391" s="65" t="n"/>
      <c r="AN391" s="65" t="n"/>
      <c r="AO391" s="65" t="n"/>
      <c r="AP391" s="65" t="n"/>
    </row>
    <row r="392">
      <c r="F392" s="68" t="n"/>
      <c r="G392" s="68">
        <f>IF(B392="","",F392-I392 )</f>
        <v/>
      </c>
      <c r="H392" s="5">
        <f>IF(G392="","",G392/F392)</f>
        <v/>
      </c>
      <c r="J392" s="65" t="n"/>
      <c r="K392" s="65" t="n"/>
      <c r="L392" s="65" t="n"/>
      <c r="M392" s="65" t="n"/>
      <c r="N392" s="65" t="n"/>
      <c r="O392" s="65" t="n"/>
      <c r="P392" s="65" t="n"/>
      <c r="Q392" s="65" t="n"/>
      <c r="R392" s="65" t="n"/>
      <c r="S392" s="65" t="n"/>
      <c r="T392" s="65" t="n"/>
      <c r="U392" s="65" t="n"/>
      <c r="V392" s="77" t="n"/>
      <c r="W392" s="65" t="n"/>
      <c r="X392" s="65" t="n"/>
      <c r="Y392" s="65" t="n"/>
      <c r="Z392" s="65" t="n"/>
      <c r="AA392" s="65" t="n"/>
      <c r="AB392" s="65" t="n"/>
      <c r="AC392" s="65" t="n"/>
      <c r="AD392" s="65" t="n"/>
      <c r="AE392" s="65" t="n"/>
      <c r="AF392" s="65" t="n"/>
      <c r="AG392" s="65" t="n"/>
      <c r="AH392" s="65" t="n"/>
      <c r="AI392" s="65" t="n"/>
      <c r="AJ392" s="65" t="n"/>
      <c r="AK392" s="65" t="n"/>
      <c r="AL392" s="65" t="n"/>
      <c r="AM392" s="65" t="n"/>
      <c r="AN392" s="65" t="n"/>
      <c r="AO392" s="65" t="n"/>
      <c r="AP392" s="65" t="n"/>
    </row>
    <row r="393">
      <c r="F393" s="68" t="n"/>
      <c r="G393" s="68">
        <f>IF(B393="","",F393-I393 )</f>
        <v/>
      </c>
      <c r="H393" s="5">
        <f>IF(G393="","",G393/F393)</f>
        <v/>
      </c>
      <c r="J393" s="65" t="n"/>
      <c r="K393" s="65" t="n"/>
      <c r="L393" s="65" t="n"/>
      <c r="M393" s="65" t="n"/>
      <c r="N393" s="65" t="n"/>
      <c r="O393" s="65" t="n"/>
      <c r="P393" s="65" t="n"/>
      <c r="Q393" s="65" t="n"/>
      <c r="R393" s="65" t="n"/>
      <c r="S393" s="65" t="n"/>
      <c r="T393" s="65" t="n"/>
      <c r="U393" s="65" t="n"/>
      <c r="V393" s="77" t="n"/>
      <c r="W393" s="65" t="n"/>
      <c r="X393" s="65" t="n"/>
      <c r="Y393" s="65" t="n"/>
      <c r="Z393" s="65" t="n"/>
      <c r="AA393" s="65" t="n"/>
      <c r="AB393" s="65" t="n"/>
      <c r="AC393" s="65" t="n"/>
      <c r="AD393" s="65" t="n"/>
      <c r="AE393" s="65" t="n"/>
      <c r="AF393" s="65" t="n"/>
      <c r="AG393" s="65" t="n"/>
      <c r="AH393" s="65" t="n"/>
      <c r="AI393" s="65" t="n"/>
      <c r="AJ393" s="65" t="n"/>
      <c r="AK393" s="65" t="n"/>
      <c r="AL393" s="65" t="n"/>
      <c r="AM393" s="65" t="n"/>
      <c r="AN393" s="65" t="n"/>
      <c r="AO393" s="65" t="n"/>
      <c r="AP393" s="65" t="n"/>
    </row>
    <row r="394">
      <c r="F394" s="68" t="n"/>
      <c r="G394" s="68">
        <f>IF(B394="","",F394-I394 )</f>
        <v/>
      </c>
      <c r="H394" s="5">
        <f>IF(G394="","",G394/F394)</f>
        <v/>
      </c>
      <c r="J394" s="65" t="n"/>
      <c r="K394" s="65" t="n"/>
      <c r="L394" s="65" t="n"/>
      <c r="M394" s="65" t="n"/>
      <c r="N394" s="65" t="n"/>
      <c r="O394" s="65" t="n"/>
      <c r="P394" s="65" t="n"/>
      <c r="Q394" s="65" t="n"/>
      <c r="R394" s="65" t="n"/>
      <c r="S394" s="65" t="n"/>
      <c r="T394" s="65" t="n"/>
      <c r="U394" s="65" t="n"/>
      <c r="V394" s="77" t="n"/>
      <c r="W394" s="65" t="n"/>
      <c r="X394" s="65" t="n"/>
      <c r="Y394" s="65" t="n"/>
      <c r="Z394" s="65" t="n"/>
      <c r="AA394" s="65" t="n"/>
      <c r="AB394" s="65" t="n"/>
      <c r="AC394" s="65" t="n"/>
      <c r="AD394" s="65" t="n"/>
      <c r="AE394" s="65" t="n"/>
      <c r="AF394" s="65" t="n"/>
      <c r="AG394" s="65" t="n"/>
      <c r="AH394" s="65" t="n"/>
      <c r="AI394" s="65" t="n"/>
      <c r="AJ394" s="65" t="n"/>
      <c r="AK394" s="65" t="n"/>
      <c r="AL394" s="65" t="n"/>
      <c r="AM394" s="65" t="n"/>
      <c r="AN394" s="65" t="n"/>
      <c r="AO394" s="65" t="n"/>
      <c r="AP394" s="65" t="n"/>
    </row>
    <row r="395">
      <c r="F395" s="68" t="n"/>
      <c r="G395" s="68">
        <f>IF(B395="","",F395-I395 )</f>
        <v/>
      </c>
      <c r="H395" s="5">
        <f>IF(G395="","",G395/F395)</f>
        <v/>
      </c>
      <c r="J395" s="65" t="n"/>
      <c r="K395" s="65" t="n"/>
      <c r="L395" s="65" t="n"/>
      <c r="M395" s="65" t="n"/>
      <c r="N395" s="65" t="n"/>
      <c r="O395" s="65" t="n"/>
      <c r="P395" s="65" t="n"/>
      <c r="Q395" s="65" t="n"/>
      <c r="R395" s="65" t="n"/>
      <c r="S395" s="65" t="n"/>
      <c r="T395" s="65" t="n"/>
      <c r="U395" s="65" t="n"/>
      <c r="V395" s="77" t="n"/>
      <c r="W395" s="65" t="n"/>
      <c r="X395" s="65" t="n"/>
      <c r="Y395" s="65" t="n"/>
      <c r="Z395" s="65" t="n"/>
      <c r="AA395" s="65" t="n"/>
      <c r="AB395" s="65" t="n"/>
      <c r="AC395" s="65" t="n"/>
      <c r="AD395" s="65" t="n"/>
      <c r="AE395" s="65" t="n"/>
      <c r="AF395" s="65" t="n"/>
      <c r="AG395" s="65" t="n"/>
      <c r="AH395" s="65" t="n"/>
      <c r="AI395" s="65" t="n"/>
      <c r="AJ395" s="65" t="n"/>
      <c r="AK395" s="65" t="n"/>
      <c r="AL395" s="65" t="n"/>
      <c r="AM395" s="65" t="n"/>
      <c r="AN395" s="65" t="n"/>
      <c r="AO395" s="65" t="n"/>
      <c r="AP395" s="65" t="n"/>
    </row>
    <row r="396">
      <c r="F396" s="68" t="n"/>
      <c r="G396" s="68">
        <f>IF(B396="","",F396-I396 )</f>
        <v/>
      </c>
      <c r="H396" s="5">
        <f>IF(G396="","",G396/F396)</f>
        <v/>
      </c>
      <c r="J396" s="65" t="n"/>
      <c r="K396" s="65" t="n"/>
      <c r="L396" s="65" t="n"/>
      <c r="M396" s="65" t="n"/>
      <c r="N396" s="65" t="n"/>
      <c r="O396" s="65" t="n"/>
      <c r="P396" s="65" t="n"/>
      <c r="Q396" s="65" t="n"/>
      <c r="R396" s="65" t="n"/>
      <c r="S396" s="65" t="n"/>
      <c r="T396" s="65" t="n"/>
      <c r="U396" s="65" t="n"/>
      <c r="V396" s="77" t="n"/>
      <c r="W396" s="65" t="n"/>
      <c r="X396" s="65" t="n"/>
      <c r="Y396" s="65" t="n"/>
      <c r="Z396" s="65" t="n"/>
      <c r="AA396" s="65" t="n"/>
      <c r="AB396" s="65" t="n"/>
      <c r="AC396" s="65" t="n"/>
      <c r="AD396" s="65" t="n"/>
      <c r="AE396" s="65" t="n"/>
      <c r="AF396" s="65" t="n"/>
      <c r="AG396" s="65" t="n"/>
      <c r="AH396" s="65" t="n"/>
      <c r="AI396" s="65" t="n"/>
      <c r="AJ396" s="65" t="n"/>
      <c r="AK396" s="65" t="n"/>
      <c r="AL396" s="65" t="n"/>
      <c r="AM396" s="65" t="n"/>
      <c r="AN396" s="65" t="n"/>
      <c r="AO396" s="65" t="n"/>
      <c r="AP396" s="65" t="n"/>
    </row>
    <row r="397">
      <c r="F397" s="68" t="n"/>
      <c r="G397" s="68">
        <f>IF(B397="","",F397-I397 )</f>
        <v/>
      </c>
      <c r="H397" s="5">
        <f>IF(G397="","",G397/F397)</f>
        <v/>
      </c>
      <c r="J397" s="65" t="n"/>
      <c r="K397" s="65" t="n"/>
      <c r="L397" s="65" t="n"/>
      <c r="M397" s="65" t="n"/>
      <c r="N397" s="65" t="n"/>
      <c r="O397" s="65" t="n"/>
      <c r="P397" s="65" t="n"/>
      <c r="Q397" s="65" t="n"/>
      <c r="R397" s="65" t="n"/>
      <c r="S397" s="65" t="n"/>
      <c r="T397" s="65" t="n"/>
      <c r="U397" s="65" t="n"/>
      <c r="V397" s="77" t="n"/>
      <c r="W397" s="65" t="n"/>
      <c r="X397" s="65" t="n"/>
      <c r="Y397" s="65" t="n"/>
      <c r="Z397" s="65" t="n"/>
      <c r="AA397" s="65" t="n"/>
      <c r="AB397" s="65" t="n"/>
      <c r="AC397" s="65" t="n"/>
      <c r="AD397" s="65" t="n"/>
      <c r="AE397" s="65" t="n"/>
      <c r="AF397" s="65" t="n"/>
      <c r="AG397" s="65" t="n"/>
      <c r="AH397" s="65" t="n"/>
      <c r="AI397" s="65" t="n"/>
      <c r="AJ397" s="65" t="n"/>
      <c r="AK397" s="65" t="n"/>
      <c r="AL397" s="65" t="n"/>
      <c r="AM397" s="65" t="n"/>
      <c r="AN397" s="65" t="n"/>
      <c r="AO397" s="65" t="n"/>
      <c r="AP397" s="65" t="n"/>
    </row>
    <row r="398">
      <c r="F398" s="68" t="n"/>
      <c r="G398" s="68">
        <f>IF(B398="","",F398-I398 )</f>
        <v/>
      </c>
      <c r="H398" s="5">
        <f>IF(G398="","",G398/F398)</f>
        <v/>
      </c>
      <c r="J398" s="65" t="n"/>
      <c r="K398" s="65" t="n"/>
      <c r="L398" s="65" t="n"/>
      <c r="M398" s="65" t="n"/>
      <c r="N398" s="65" t="n"/>
      <c r="O398" s="65" t="n"/>
      <c r="P398" s="65" t="n"/>
      <c r="Q398" s="65" t="n"/>
      <c r="R398" s="65" t="n"/>
      <c r="S398" s="65" t="n"/>
      <c r="T398" s="65" t="n"/>
      <c r="U398" s="65" t="n"/>
      <c r="V398" s="77" t="n"/>
      <c r="W398" s="65" t="n"/>
      <c r="X398" s="65" t="n"/>
      <c r="Y398" s="65" t="n"/>
      <c r="Z398" s="65" t="n"/>
      <c r="AA398" s="65" t="n"/>
      <c r="AB398" s="65" t="n"/>
      <c r="AC398" s="65" t="n"/>
      <c r="AD398" s="65" t="n"/>
      <c r="AE398" s="65" t="n"/>
      <c r="AF398" s="65" t="n"/>
      <c r="AG398" s="65" t="n"/>
      <c r="AH398" s="65" t="n"/>
      <c r="AI398" s="65" t="n"/>
      <c r="AJ398" s="65" t="n"/>
      <c r="AK398" s="65" t="n"/>
      <c r="AL398" s="65" t="n"/>
      <c r="AM398" s="65" t="n"/>
      <c r="AN398" s="65" t="n"/>
      <c r="AO398" s="65" t="n"/>
      <c r="AP398" s="65" t="n"/>
    </row>
    <row r="399">
      <c r="F399" s="68" t="n"/>
      <c r="G399" s="68">
        <f>IF(B399="","",F399-I399 )</f>
        <v/>
      </c>
      <c r="H399" s="5">
        <f>IF(G399="","",G399/F399)</f>
        <v/>
      </c>
      <c r="J399" s="65" t="n"/>
      <c r="K399" s="65" t="n"/>
      <c r="L399" s="65" t="n"/>
      <c r="M399" s="65" t="n"/>
      <c r="N399" s="65" t="n"/>
      <c r="O399" s="65" t="n"/>
      <c r="P399" s="65" t="n"/>
      <c r="Q399" s="65" t="n"/>
      <c r="R399" s="65" t="n"/>
      <c r="S399" s="65" t="n"/>
      <c r="T399" s="65" t="n"/>
      <c r="U399" s="65" t="n"/>
      <c r="V399" s="77" t="n"/>
      <c r="W399" s="65" t="n"/>
      <c r="X399" s="65" t="n"/>
      <c r="Y399" s="65" t="n"/>
      <c r="Z399" s="65" t="n"/>
      <c r="AA399" s="65" t="n"/>
      <c r="AB399" s="65" t="n"/>
      <c r="AC399" s="65" t="n"/>
      <c r="AD399" s="65" t="n"/>
      <c r="AE399" s="65" t="n"/>
      <c r="AF399" s="65" t="n"/>
      <c r="AG399" s="65" t="n"/>
      <c r="AH399" s="65" t="n"/>
      <c r="AI399" s="65" t="n"/>
      <c r="AJ399" s="65" t="n"/>
      <c r="AK399" s="65" t="n"/>
      <c r="AL399" s="65" t="n"/>
      <c r="AM399" s="65" t="n"/>
      <c r="AN399" s="65" t="n"/>
      <c r="AO399" s="65" t="n"/>
      <c r="AP399" s="65" t="n"/>
    </row>
    <row r="400">
      <c r="F400" s="68" t="n"/>
      <c r="G400" s="68">
        <f>IF(B400="","",F400-I400 )</f>
        <v/>
      </c>
      <c r="H400" s="5">
        <f>IF(G400="","",G400/F400)</f>
        <v/>
      </c>
      <c r="J400" s="65" t="n"/>
      <c r="K400" s="65" t="n"/>
      <c r="L400" s="65" t="n"/>
      <c r="M400" s="65" t="n"/>
      <c r="N400" s="65" t="n"/>
      <c r="O400" s="65" t="n"/>
      <c r="P400" s="65" t="n"/>
      <c r="Q400" s="65" t="n"/>
      <c r="R400" s="65" t="n"/>
      <c r="S400" s="65" t="n"/>
      <c r="T400" s="65" t="n"/>
      <c r="U400" s="65" t="n"/>
      <c r="V400" s="77" t="n"/>
      <c r="W400" s="65" t="n"/>
      <c r="X400" s="65" t="n"/>
      <c r="Y400" s="65" t="n"/>
      <c r="Z400" s="65" t="n"/>
      <c r="AA400" s="65" t="n"/>
      <c r="AB400" s="65" t="n"/>
      <c r="AC400" s="65" t="n"/>
      <c r="AD400" s="65" t="n"/>
      <c r="AE400" s="65" t="n"/>
      <c r="AF400" s="65" t="n"/>
      <c r="AG400" s="65" t="n"/>
      <c r="AH400" s="65" t="n"/>
      <c r="AI400" s="65" t="n"/>
      <c r="AJ400" s="65" t="n"/>
      <c r="AK400" s="65" t="n"/>
      <c r="AL400" s="65" t="n"/>
      <c r="AM400" s="65" t="n"/>
      <c r="AN400" s="65" t="n"/>
      <c r="AO400" s="65" t="n"/>
      <c r="AP400" s="65" t="n"/>
    </row>
    <row r="401">
      <c r="F401" s="68" t="n"/>
      <c r="G401" s="68">
        <f>IF(B401="","",F401-I401 )</f>
        <v/>
      </c>
      <c r="H401" s="5">
        <f>IF(G401="","",G401/F401)</f>
        <v/>
      </c>
      <c r="J401" s="65" t="n"/>
      <c r="K401" s="65" t="n"/>
      <c r="L401" s="65" t="n"/>
      <c r="M401" s="65" t="n"/>
      <c r="N401" s="65" t="n"/>
      <c r="O401" s="65" t="n"/>
      <c r="P401" s="65" t="n"/>
      <c r="Q401" s="65" t="n"/>
      <c r="R401" s="65" t="n"/>
      <c r="S401" s="65" t="n"/>
      <c r="T401" s="65" t="n"/>
      <c r="U401" s="65" t="n"/>
      <c r="V401" s="77" t="n"/>
      <c r="W401" s="65" t="n"/>
      <c r="X401" s="65" t="n"/>
      <c r="Y401" s="65" t="n"/>
      <c r="Z401" s="65" t="n"/>
      <c r="AA401" s="65" t="n"/>
      <c r="AB401" s="65" t="n"/>
      <c r="AC401" s="65" t="n"/>
      <c r="AD401" s="65" t="n"/>
      <c r="AE401" s="65" t="n"/>
      <c r="AF401" s="65" t="n"/>
      <c r="AG401" s="65" t="n"/>
      <c r="AH401" s="65" t="n"/>
      <c r="AI401" s="65" t="n"/>
      <c r="AJ401" s="65" t="n"/>
      <c r="AK401" s="65" t="n"/>
      <c r="AL401" s="65" t="n"/>
      <c r="AM401" s="65" t="n"/>
      <c r="AN401" s="65" t="n"/>
      <c r="AO401" s="65" t="n"/>
      <c r="AP401" s="65" t="n"/>
    </row>
    <row r="402">
      <c r="F402" s="68" t="n"/>
      <c r="G402" s="68">
        <f>IF(B402="","",F402-I402 )</f>
        <v/>
      </c>
      <c r="H402" s="5">
        <f>IF(G402="","",G402/F402)</f>
        <v/>
      </c>
      <c r="J402" s="65" t="n"/>
      <c r="K402" s="65" t="n"/>
      <c r="L402" s="65" t="n"/>
      <c r="M402" s="65" t="n"/>
      <c r="N402" s="65" t="n"/>
      <c r="O402" s="65" t="n"/>
      <c r="P402" s="65" t="n"/>
      <c r="Q402" s="65" t="n"/>
      <c r="R402" s="65" t="n"/>
      <c r="S402" s="65" t="n"/>
      <c r="T402" s="65" t="n"/>
      <c r="U402" s="65" t="n"/>
      <c r="V402" s="77" t="n"/>
      <c r="W402" s="65" t="n"/>
      <c r="X402" s="65" t="n"/>
      <c r="Y402" s="65" t="n"/>
      <c r="Z402" s="65" t="n"/>
      <c r="AA402" s="65" t="n"/>
      <c r="AB402" s="65" t="n"/>
      <c r="AC402" s="65" t="n"/>
      <c r="AD402" s="65" t="n"/>
      <c r="AE402" s="65" t="n"/>
      <c r="AF402" s="65" t="n"/>
      <c r="AG402" s="65" t="n"/>
      <c r="AH402" s="65" t="n"/>
      <c r="AI402" s="65" t="n"/>
      <c r="AJ402" s="65" t="n"/>
      <c r="AK402" s="65" t="n"/>
      <c r="AL402" s="65" t="n"/>
      <c r="AM402" s="65" t="n"/>
      <c r="AN402" s="65" t="n"/>
      <c r="AO402" s="65" t="n"/>
      <c r="AP402" s="65" t="n"/>
    </row>
    <row r="403">
      <c r="F403" s="68" t="n"/>
      <c r="G403" s="68">
        <f>IF(B403="","",F403-I403 )</f>
        <v/>
      </c>
      <c r="H403" s="5">
        <f>IF(G403="","",G403/F403)</f>
        <v/>
      </c>
      <c r="J403" s="65" t="n"/>
      <c r="K403" s="65" t="n"/>
      <c r="L403" s="65" t="n"/>
      <c r="M403" s="65" t="n"/>
      <c r="N403" s="65" t="n"/>
      <c r="O403" s="65" t="n"/>
      <c r="P403" s="65" t="n"/>
      <c r="Q403" s="65" t="n"/>
      <c r="R403" s="65" t="n"/>
      <c r="S403" s="65" t="n"/>
      <c r="T403" s="65" t="n"/>
      <c r="U403" s="65" t="n"/>
      <c r="V403" s="77" t="n"/>
      <c r="W403" s="65" t="n"/>
      <c r="X403" s="65" t="n"/>
      <c r="Y403" s="65" t="n"/>
      <c r="Z403" s="65" t="n"/>
      <c r="AA403" s="65" t="n"/>
      <c r="AB403" s="65" t="n"/>
      <c r="AC403" s="65" t="n"/>
      <c r="AD403" s="65" t="n"/>
      <c r="AE403" s="65" t="n"/>
      <c r="AF403" s="65" t="n"/>
      <c r="AG403" s="65" t="n"/>
      <c r="AH403" s="65" t="n"/>
      <c r="AI403" s="65" t="n"/>
      <c r="AJ403" s="65" t="n"/>
      <c r="AK403" s="65" t="n"/>
      <c r="AL403" s="65" t="n"/>
      <c r="AM403" s="65" t="n"/>
      <c r="AN403" s="65" t="n"/>
      <c r="AO403" s="65" t="n"/>
      <c r="AP403" s="65" t="n"/>
    </row>
    <row r="404">
      <c r="F404" s="68" t="n"/>
      <c r="G404" s="68">
        <f>IF(B404="","",F404-I404 )</f>
        <v/>
      </c>
      <c r="H404" s="5">
        <f>IF(G404="","",G404/F404)</f>
        <v/>
      </c>
      <c r="J404" s="65" t="n"/>
      <c r="K404" s="65" t="n"/>
      <c r="L404" s="65" t="n"/>
      <c r="M404" s="65" t="n"/>
      <c r="N404" s="65" t="n"/>
      <c r="O404" s="65" t="n"/>
      <c r="P404" s="65" t="n"/>
      <c r="Q404" s="65" t="n"/>
      <c r="R404" s="65" t="n"/>
      <c r="S404" s="65" t="n"/>
      <c r="T404" s="65" t="n"/>
      <c r="U404" s="65" t="n"/>
      <c r="V404" s="77" t="n"/>
      <c r="W404" s="65" t="n"/>
      <c r="X404" s="65" t="n"/>
      <c r="Y404" s="65" t="n"/>
      <c r="Z404" s="65" t="n"/>
      <c r="AA404" s="65" t="n"/>
      <c r="AB404" s="65" t="n"/>
      <c r="AC404" s="65" t="n"/>
      <c r="AD404" s="65" t="n"/>
      <c r="AE404" s="65" t="n"/>
      <c r="AF404" s="65" t="n"/>
      <c r="AG404" s="65" t="n"/>
      <c r="AH404" s="65" t="n"/>
      <c r="AI404" s="65" t="n"/>
      <c r="AJ404" s="65" t="n"/>
      <c r="AK404" s="65" t="n"/>
      <c r="AL404" s="65" t="n"/>
      <c r="AM404" s="65" t="n"/>
      <c r="AN404" s="65" t="n"/>
      <c r="AO404" s="65" t="n"/>
      <c r="AP404" s="65" t="n"/>
    </row>
    <row r="405">
      <c r="F405" s="68" t="n"/>
      <c r="G405" s="68">
        <f>IF(B405="","",F405-I405 )</f>
        <v/>
      </c>
      <c r="H405" s="5">
        <f>IF(G405="","",G405/F405)</f>
        <v/>
      </c>
      <c r="J405" s="65" t="n"/>
      <c r="K405" s="65" t="n"/>
      <c r="L405" s="65" t="n"/>
      <c r="M405" s="65" t="n"/>
      <c r="N405" s="65" t="n"/>
      <c r="O405" s="65" t="n"/>
      <c r="P405" s="65" t="n"/>
      <c r="Q405" s="65" t="n"/>
      <c r="R405" s="65" t="n"/>
      <c r="S405" s="65" t="n"/>
      <c r="T405" s="65" t="n"/>
      <c r="U405" s="65" t="n"/>
      <c r="V405" s="77" t="n"/>
      <c r="W405" s="65" t="n"/>
      <c r="X405" s="65" t="n"/>
      <c r="Y405" s="65" t="n"/>
      <c r="Z405" s="65" t="n"/>
      <c r="AA405" s="65" t="n"/>
      <c r="AB405" s="65" t="n"/>
      <c r="AC405" s="65" t="n"/>
      <c r="AD405" s="65" t="n"/>
      <c r="AE405" s="65" t="n"/>
      <c r="AF405" s="65" t="n"/>
      <c r="AG405" s="65" t="n"/>
      <c r="AH405" s="65" t="n"/>
      <c r="AI405" s="65" t="n"/>
      <c r="AJ405" s="65" t="n"/>
      <c r="AK405" s="65" t="n"/>
      <c r="AL405" s="65" t="n"/>
      <c r="AM405" s="65" t="n"/>
      <c r="AN405" s="65" t="n"/>
      <c r="AO405" s="65" t="n"/>
      <c r="AP405" s="65" t="n"/>
    </row>
    <row r="406">
      <c r="F406" s="68" t="n"/>
      <c r="G406" s="68">
        <f>IF(B406="","",F406-I406 )</f>
        <v/>
      </c>
      <c r="H406" s="5">
        <f>IF(G406="","",G406/F406)</f>
        <v/>
      </c>
      <c r="J406" s="65" t="n"/>
      <c r="K406" s="65" t="n"/>
      <c r="L406" s="65" t="n"/>
      <c r="M406" s="65" t="n"/>
      <c r="N406" s="65" t="n"/>
      <c r="O406" s="65" t="n"/>
      <c r="P406" s="65" t="n"/>
      <c r="Q406" s="65" t="n"/>
      <c r="R406" s="65" t="n"/>
      <c r="S406" s="65" t="n"/>
      <c r="T406" s="65" t="n"/>
      <c r="U406" s="65" t="n"/>
      <c r="V406" s="77" t="n"/>
      <c r="W406" s="65" t="n"/>
      <c r="X406" s="65" t="n"/>
      <c r="Y406" s="65" t="n"/>
      <c r="Z406" s="65" t="n"/>
      <c r="AA406" s="65" t="n"/>
      <c r="AB406" s="65" t="n"/>
      <c r="AC406" s="65" t="n"/>
      <c r="AD406" s="65" t="n"/>
      <c r="AE406" s="65" t="n"/>
      <c r="AF406" s="65" t="n"/>
      <c r="AG406" s="65" t="n"/>
      <c r="AH406" s="65" t="n"/>
      <c r="AI406" s="65" t="n"/>
      <c r="AJ406" s="65" t="n"/>
      <c r="AK406" s="65" t="n"/>
      <c r="AL406" s="65" t="n"/>
      <c r="AM406" s="65" t="n"/>
      <c r="AN406" s="65" t="n"/>
      <c r="AO406" s="65" t="n"/>
      <c r="AP406" s="65" t="n"/>
    </row>
    <row r="407">
      <c r="F407" s="68" t="n"/>
      <c r="G407" s="68">
        <f>IF(B407="","",F407-I407 )</f>
        <v/>
      </c>
      <c r="H407" s="5">
        <f>IF(G407="","",G407/F407)</f>
        <v/>
      </c>
      <c r="J407" s="65" t="n"/>
      <c r="K407" s="65" t="n"/>
      <c r="L407" s="65" t="n"/>
      <c r="M407" s="65" t="n"/>
      <c r="N407" s="65" t="n"/>
      <c r="O407" s="65" t="n"/>
      <c r="P407" s="65" t="n"/>
      <c r="Q407" s="65" t="n"/>
      <c r="R407" s="65" t="n"/>
      <c r="S407" s="65" t="n"/>
      <c r="T407" s="65" t="n"/>
      <c r="U407" s="65" t="n"/>
      <c r="V407" s="77" t="n"/>
      <c r="W407" s="65" t="n"/>
      <c r="X407" s="65" t="n"/>
      <c r="Y407" s="65" t="n"/>
      <c r="Z407" s="65" t="n"/>
      <c r="AA407" s="65" t="n"/>
      <c r="AB407" s="65" t="n"/>
      <c r="AC407" s="65" t="n"/>
      <c r="AD407" s="65" t="n"/>
      <c r="AE407" s="65" t="n"/>
      <c r="AF407" s="65" t="n"/>
      <c r="AG407" s="65" t="n"/>
      <c r="AH407" s="65" t="n"/>
      <c r="AI407" s="65" t="n"/>
      <c r="AJ407" s="65" t="n"/>
      <c r="AK407" s="65" t="n"/>
      <c r="AL407" s="65" t="n"/>
      <c r="AM407" s="65" t="n"/>
      <c r="AN407" s="65" t="n"/>
      <c r="AO407" s="65" t="n"/>
      <c r="AP407" s="65" t="n"/>
    </row>
    <row r="408">
      <c r="F408" s="68" t="n"/>
      <c r="G408" s="68">
        <f>IF(B408="","",F408-I408 )</f>
        <v/>
      </c>
      <c r="H408" s="5">
        <f>IF(G408="","",G408/F408)</f>
        <v/>
      </c>
      <c r="J408" s="65" t="n"/>
      <c r="K408" s="65" t="n"/>
      <c r="L408" s="65" t="n"/>
      <c r="M408" s="65" t="n"/>
      <c r="N408" s="65" t="n"/>
      <c r="O408" s="65" t="n"/>
      <c r="P408" s="65" t="n"/>
      <c r="Q408" s="65" t="n"/>
      <c r="R408" s="65" t="n"/>
      <c r="S408" s="65" t="n"/>
      <c r="T408" s="65" t="n"/>
      <c r="U408" s="65" t="n"/>
      <c r="V408" s="77" t="n"/>
      <c r="W408" s="65" t="n"/>
      <c r="X408" s="65" t="n"/>
      <c r="Y408" s="65" t="n"/>
      <c r="Z408" s="65" t="n"/>
      <c r="AA408" s="65" t="n"/>
      <c r="AB408" s="65" t="n"/>
      <c r="AC408" s="65" t="n"/>
      <c r="AD408" s="65" t="n"/>
      <c r="AE408" s="65" t="n"/>
      <c r="AF408" s="65" t="n"/>
      <c r="AG408" s="65" t="n"/>
      <c r="AH408" s="65" t="n"/>
      <c r="AI408" s="65" t="n"/>
      <c r="AJ408" s="65" t="n"/>
      <c r="AK408" s="65" t="n"/>
      <c r="AL408" s="65" t="n"/>
      <c r="AM408" s="65" t="n"/>
      <c r="AN408" s="65" t="n"/>
      <c r="AO408" s="65" t="n"/>
      <c r="AP408" s="65" t="n"/>
    </row>
    <row r="409">
      <c r="F409" s="68" t="n"/>
      <c r="G409" s="68">
        <f>IF(B409="","",F409-I409 )</f>
        <v/>
      </c>
      <c r="H409" s="5">
        <f>IF(G409="","",G409/F409)</f>
        <v/>
      </c>
      <c r="J409" s="65" t="n"/>
      <c r="K409" s="65" t="n"/>
      <c r="L409" s="65" t="n"/>
      <c r="M409" s="65" t="n"/>
      <c r="N409" s="65" t="n"/>
      <c r="O409" s="65" t="n"/>
      <c r="P409" s="65" t="n"/>
      <c r="Q409" s="65" t="n"/>
      <c r="R409" s="65" t="n"/>
      <c r="S409" s="65" t="n"/>
      <c r="T409" s="65" t="n"/>
      <c r="U409" s="65" t="n"/>
      <c r="V409" s="77" t="n"/>
      <c r="W409" s="65" t="n"/>
      <c r="X409" s="65" t="n"/>
      <c r="Y409" s="65" t="n"/>
      <c r="Z409" s="65" t="n"/>
      <c r="AA409" s="65" t="n"/>
      <c r="AB409" s="65" t="n"/>
      <c r="AC409" s="65" t="n"/>
      <c r="AD409" s="65" t="n"/>
      <c r="AE409" s="65" t="n"/>
      <c r="AF409" s="65" t="n"/>
      <c r="AG409" s="65" t="n"/>
      <c r="AH409" s="65" t="n"/>
      <c r="AI409" s="65" t="n"/>
      <c r="AJ409" s="65" t="n"/>
      <c r="AK409" s="65" t="n"/>
      <c r="AL409" s="65" t="n"/>
      <c r="AM409" s="65" t="n"/>
      <c r="AN409" s="65" t="n"/>
      <c r="AO409" s="65" t="n"/>
      <c r="AP409" s="65" t="n"/>
    </row>
    <row r="410">
      <c r="F410" s="68" t="n"/>
      <c r="G410" s="68">
        <f>IF(B410="","",F410-I410 )</f>
        <v/>
      </c>
      <c r="H410" s="5">
        <f>IF(G410="","",G410/F410)</f>
        <v/>
      </c>
      <c r="J410" s="65" t="n"/>
      <c r="K410" s="65" t="n"/>
      <c r="L410" s="65" t="n"/>
      <c r="M410" s="65" t="n"/>
      <c r="N410" s="65" t="n"/>
      <c r="O410" s="65" t="n"/>
      <c r="P410" s="65" t="n"/>
      <c r="Q410" s="65" t="n"/>
      <c r="R410" s="65" t="n"/>
      <c r="S410" s="65" t="n"/>
      <c r="T410" s="65" t="n"/>
      <c r="U410" s="65" t="n"/>
      <c r="V410" s="77" t="n"/>
      <c r="W410" s="65" t="n"/>
      <c r="X410" s="65" t="n"/>
      <c r="Y410" s="65" t="n"/>
      <c r="Z410" s="65" t="n"/>
      <c r="AA410" s="65" t="n"/>
      <c r="AB410" s="65" t="n"/>
      <c r="AC410" s="65" t="n"/>
      <c r="AD410" s="65" t="n"/>
      <c r="AE410" s="65" t="n"/>
      <c r="AF410" s="65" t="n"/>
      <c r="AG410" s="65" t="n"/>
      <c r="AH410" s="65" t="n"/>
      <c r="AI410" s="65" t="n"/>
      <c r="AJ410" s="65" t="n"/>
      <c r="AK410" s="65" t="n"/>
      <c r="AL410" s="65" t="n"/>
      <c r="AM410" s="65" t="n"/>
      <c r="AN410" s="65" t="n"/>
      <c r="AO410" s="65" t="n"/>
      <c r="AP410" s="65" t="n"/>
    </row>
    <row r="411">
      <c r="F411" s="68" t="n"/>
      <c r="G411" s="68">
        <f>IF(B411="","",F411-I411 )</f>
        <v/>
      </c>
      <c r="H411" s="5">
        <f>IF(G411="","",G411/F411)</f>
        <v/>
      </c>
      <c r="J411" s="65" t="n"/>
      <c r="K411" s="65" t="n"/>
      <c r="L411" s="65" t="n"/>
      <c r="M411" s="65" t="n"/>
      <c r="N411" s="65" t="n"/>
      <c r="O411" s="65" t="n"/>
      <c r="P411" s="65" t="n"/>
      <c r="Q411" s="65" t="n"/>
      <c r="R411" s="65" t="n"/>
      <c r="S411" s="65" t="n"/>
      <c r="T411" s="65" t="n"/>
      <c r="U411" s="65" t="n"/>
      <c r="V411" s="77" t="n"/>
      <c r="W411" s="65" t="n"/>
      <c r="X411" s="65" t="n"/>
      <c r="Y411" s="65" t="n"/>
      <c r="Z411" s="65" t="n"/>
      <c r="AA411" s="65" t="n"/>
      <c r="AB411" s="65" t="n"/>
      <c r="AC411" s="65" t="n"/>
      <c r="AD411" s="65" t="n"/>
      <c r="AE411" s="65" t="n"/>
      <c r="AF411" s="65" t="n"/>
      <c r="AG411" s="65" t="n"/>
      <c r="AH411" s="65" t="n"/>
      <c r="AI411" s="65" t="n"/>
      <c r="AJ411" s="65" t="n"/>
      <c r="AK411" s="65" t="n"/>
      <c r="AL411" s="65" t="n"/>
      <c r="AM411" s="65" t="n"/>
      <c r="AN411" s="65" t="n"/>
      <c r="AO411" s="65" t="n"/>
      <c r="AP411" s="65" t="n"/>
    </row>
    <row r="412">
      <c r="F412" s="68" t="n"/>
      <c r="G412" s="68">
        <f>IF(B412="","",F412-I412 )</f>
        <v/>
      </c>
      <c r="H412" s="5">
        <f>IF(G412="","",G412/F412)</f>
        <v/>
      </c>
      <c r="J412" s="65" t="n"/>
      <c r="K412" s="65" t="n"/>
      <c r="L412" s="65" t="n"/>
      <c r="M412" s="65" t="n"/>
      <c r="N412" s="65" t="n"/>
      <c r="O412" s="65" t="n"/>
      <c r="P412" s="65" t="n"/>
      <c r="Q412" s="65" t="n"/>
      <c r="R412" s="65" t="n"/>
      <c r="S412" s="65" t="n"/>
      <c r="T412" s="65" t="n"/>
      <c r="U412" s="65" t="n"/>
      <c r="V412" s="77" t="n"/>
      <c r="W412" s="65" t="n"/>
      <c r="X412" s="65" t="n"/>
      <c r="Y412" s="65" t="n"/>
      <c r="Z412" s="65" t="n"/>
      <c r="AA412" s="65" t="n"/>
      <c r="AB412" s="65" t="n"/>
      <c r="AC412" s="65" t="n"/>
      <c r="AD412" s="65" t="n"/>
      <c r="AE412" s="65" t="n"/>
      <c r="AF412" s="65" t="n"/>
      <c r="AG412" s="65" t="n"/>
      <c r="AH412" s="65" t="n"/>
      <c r="AI412" s="65" t="n"/>
      <c r="AJ412" s="65" t="n"/>
      <c r="AK412" s="65" t="n"/>
      <c r="AL412" s="65" t="n"/>
      <c r="AM412" s="65" t="n"/>
      <c r="AN412" s="65" t="n"/>
      <c r="AO412" s="65" t="n"/>
      <c r="AP412" s="65" t="n"/>
    </row>
    <row r="413">
      <c r="F413" s="68" t="n"/>
      <c r="G413" s="68">
        <f>IF(B413="","",F413-I413 )</f>
        <v/>
      </c>
      <c r="H413" s="5">
        <f>IF(G413="","",G413/F413)</f>
        <v/>
      </c>
      <c r="J413" s="65" t="n"/>
      <c r="K413" s="65" t="n"/>
      <c r="L413" s="65" t="n"/>
      <c r="M413" s="65" t="n"/>
      <c r="N413" s="65" t="n"/>
      <c r="O413" s="65" t="n"/>
      <c r="P413" s="65" t="n"/>
      <c r="Q413" s="65" t="n"/>
      <c r="R413" s="65" t="n"/>
      <c r="S413" s="65" t="n"/>
      <c r="T413" s="65" t="n"/>
      <c r="U413" s="65" t="n"/>
      <c r="V413" s="77" t="n"/>
      <c r="W413" s="65" t="n"/>
      <c r="X413" s="65" t="n"/>
      <c r="Y413" s="65" t="n"/>
      <c r="Z413" s="65" t="n"/>
      <c r="AA413" s="65" t="n"/>
      <c r="AB413" s="65" t="n"/>
      <c r="AC413" s="65" t="n"/>
      <c r="AD413" s="65" t="n"/>
      <c r="AE413" s="65" t="n"/>
      <c r="AF413" s="65" t="n"/>
      <c r="AG413" s="65" t="n"/>
      <c r="AH413" s="65" t="n"/>
      <c r="AI413" s="65" t="n"/>
      <c r="AJ413" s="65" t="n"/>
      <c r="AK413" s="65" t="n"/>
      <c r="AL413" s="65" t="n"/>
      <c r="AM413" s="65" t="n"/>
      <c r="AN413" s="65" t="n"/>
      <c r="AO413" s="65" t="n"/>
      <c r="AP413" s="65" t="n"/>
    </row>
    <row r="414">
      <c r="F414" s="68" t="n"/>
      <c r="G414" s="68">
        <f>IF(B414="","",F414-I414 )</f>
        <v/>
      </c>
      <c r="H414" s="5">
        <f>IF(G414="","",G414/F414)</f>
        <v/>
      </c>
      <c r="J414" s="65" t="n"/>
      <c r="K414" s="65" t="n"/>
      <c r="L414" s="65" t="n"/>
      <c r="M414" s="65" t="n"/>
      <c r="N414" s="65" t="n"/>
      <c r="O414" s="65" t="n"/>
      <c r="P414" s="65" t="n"/>
      <c r="Q414" s="65" t="n"/>
      <c r="R414" s="65" t="n"/>
      <c r="S414" s="65" t="n"/>
      <c r="T414" s="65" t="n"/>
      <c r="U414" s="65" t="n"/>
      <c r="V414" s="77" t="n"/>
      <c r="W414" s="65" t="n"/>
      <c r="X414" s="65" t="n"/>
      <c r="Y414" s="65" t="n"/>
      <c r="Z414" s="65" t="n"/>
      <c r="AA414" s="65" t="n"/>
      <c r="AB414" s="65" t="n"/>
      <c r="AC414" s="65" t="n"/>
      <c r="AD414" s="65" t="n"/>
      <c r="AE414" s="65" t="n"/>
      <c r="AF414" s="65" t="n"/>
      <c r="AG414" s="65" t="n"/>
      <c r="AH414" s="65" t="n"/>
      <c r="AI414" s="65" t="n"/>
      <c r="AJ414" s="65" t="n"/>
      <c r="AK414" s="65" t="n"/>
      <c r="AL414" s="65" t="n"/>
      <c r="AM414" s="65" t="n"/>
      <c r="AN414" s="65" t="n"/>
      <c r="AO414" s="65" t="n"/>
      <c r="AP414" s="65" t="n"/>
    </row>
    <row r="415">
      <c r="F415" s="68" t="n"/>
      <c r="G415" s="68">
        <f>IF(B415="","",F415-I415 )</f>
        <v/>
      </c>
      <c r="H415" s="5">
        <f>IF(G415="","",G415/F415)</f>
        <v/>
      </c>
      <c r="J415" s="65" t="n"/>
      <c r="K415" s="65" t="n"/>
      <c r="L415" s="65" t="n"/>
      <c r="M415" s="65" t="n"/>
      <c r="N415" s="65" t="n"/>
      <c r="O415" s="65" t="n"/>
      <c r="P415" s="65" t="n"/>
      <c r="Q415" s="65" t="n"/>
      <c r="R415" s="65" t="n"/>
      <c r="S415" s="65" t="n"/>
      <c r="T415" s="65" t="n"/>
      <c r="U415" s="65" t="n"/>
      <c r="V415" s="77" t="n"/>
      <c r="W415" s="65" t="n"/>
      <c r="X415" s="65" t="n"/>
      <c r="Y415" s="65" t="n"/>
      <c r="Z415" s="65" t="n"/>
      <c r="AA415" s="65" t="n"/>
      <c r="AB415" s="65" t="n"/>
      <c r="AC415" s="65" t="n"/>
      <c r="AD415" s="65" t="n"/>
      <c r="AE415" s="65" t="n"/>
      <c r="AF415" s="65" t="n"/>
      <c r="AG415" s="65" t="n"/>
      <c r="AH415" s="65" t="n"/>
      <c r="AI415" s="65" t="n"/>
      <c r="AJ415" s="65" t="n"/>
      <c r="AK415" s="65" t="n"/>
      <c r="AL415" s="65" t="n"/>
      <c r="AM415" s="65" t="n"/>
      <c r="AN415" s="65" t="n"/>
      <c r="AO415" s="65" t="n"/>
      <c r="AP415" s="65" t="n"/>
    </row>
    <row r="416">
      <c r="F416" s="68" t="n"/>
      <c r="G416" s="68">
        <f>IF(B416="","",F416-I416 )</f>
        <v/>
      </c>
      <c r="H416" s="5">
        <f>IF(G416="","",G416/F416)</f>
        <v/>
      </c>
      <c r="J416" s="65" t="n"/>
      <c r="K416" s="65" t="n"/>
      <c r="L416" s="65" t="n"/>
      <c r="M416" s="65" t="n"/>
      <c r="N416" s="65" t="n"/>
      <c r="O416" s="65" t="n"/>
      <c r="P416" s="65" t="n"/>
      <c r="Q416" s="65" t="n"/>
      <c r="R416" s="65" t="n"/>
      <c r="S416" s="65" t="n"/>
      <c r="T416" s="65" t="n"/>
      <c r="U416" s="65" t="n"/>
      <c r="V416" s="77" t="n"/>
      <c r="W416" s="65" t="n"/>
      <c r="X416" s="65" t="n"/>
      <c r="Y416" s="65" t="n"/>
      <c r="Z416" s="65" t="n"/>
      <c r="AA416" s="65" t="n"/>
      <c r="AB416" s="65" t="n"/>
      <c r="AC416" s="65" t="n"/>
      <c r="AD416" s="65" t="n"/>
      <c r="AE416" s="65" t="n"/>
      <c r="AF416" s="65" t="n"/>
      <c r="AG416" s="65" t="n"/>
      <c r="AH416" s="65" t="n"/>
      <c r="AI416" s="65" t="n"/>
      <c r="AJ416" s="65" t="n"/>
      <c r="AK416" s="65" t="n"/>
      <c r="AL416" s="65" t="n"/>
      <c r="AM416" s="65" t="n"/>
      <c r="AN416" s="65" t="n"/>
      <c r="AO416" s="65" t="n"/>
      <c r="AP416" s="65" t="n"/>
    </row>
    <row r="417">
      <c r="F417" s="68" t="n"/>
      <c r="G417" s="68">
        <f>IF(B417="","",F417-I417 )</f>
        <v/>
      </c>
      <c r="H417" s="5">
        <f>IF(G417="","",G417/F417)</f>
        <v/>
      </c>
      <c r="J417" s="65" t="n"/>
      <c r="K417" s="65" t="n"/>
      <c r="L417" s="65" t="n"/>
      <c r="M417" s="65" t="n"/>
      <c r="N417" s="65" t="n"/>
      <c r="O417" s="65" t="n"/>
      <c r="P417" s="65" t="n"/>
      <c r="Q417" s="65" t="n"/>
      <c r="R417" s="65" t="n"/>
      <c r="S417" s="65" t="n"/>
      <c r="T417" s="65" t="n"/>
      <c r="U417" s="65" t="n"/>
      <c r="V417" s="77" t="n"/>
      <c r="W417" s="65" t="n"/>
      <c r="X417" s="65" t="n"/>
      <c r="Y417" s="65" t="n"/>
      <c r="Z417" s="65" t="n"/>
      <c r="AA417" s="65" t="n"/>
      <c r="AB417" s="65" t="n"/>
      <c r="AC417" s="65" t="n"/>
      <c r="AD417" s="65" t="n"/>
      <c r="AE417" s="65" t="n"/>
      <c r="AF417" s="65" t="n"/>
      <c r="AG417" s="65" t="n"/>
      <c r="AH417" s="65" t="n"/>
      <c r="AI417" s="65" t="n"/>
      <c r="AJ417" s="65" t="n"/>
      <c r="AK417" s="65" t="n"/>
      <c r="AL417" s="65" t="n"/>
      <c r="AM417" s="65" t="n"/>
      <c r="AN417" s="65" t="n"/>
      <c r="AO417" s="65" t="n"/>
      <c r="AP417" s="65" t="n"/>
    </row>
    <row r="418">
      <c r="F418" s="68" t="n"/>
      <c r="G418" s="68">
        <f>IF(B418="","",F418-I418 )</f>
        <v/>
      </c>
      <c r="H418" s="5">
        <f>IF(G418="","",G418/F418)</f>
        <v/>
      </c>
      <c r="J418" s="65" t="n"/>
      <c r="K418" s="65" t="n"/>
      <c r="L418" s="65" t="n"/>
      <c r="M418" s="65" t="n"/>
      <c r="N418" s="65" t="n"/>
      <c r="O418" s="65" t="n"/>
      <c r="P418" s="65" t="n"/>
      <c r="Q418" s="65" t="n"/>
      <c r="R418" s="65" t="n"/>
      <c r="S418" s="65" t="n"/>
      <c r="T418" s="65" t="n"/>
      <c r="U418" s="65" t="n"/>
      <c r="V418" s="77" t="n"/>
      <c r="W418" s="65" t="n"/>
      <c r="X418" s="65" t="n"/>
      <c r="Y418" s="65" t="n"/>
      <c r="Z418" s="65" t="n"/>
      <c r="AA418" s="65" t="n"/>
      <c r="AB418" s="65" t="n"/>
      <c r="AC418" s="65" t="n"/>
      <c r="AD418" s="65" t="n"/>
      <c r="AE418" s="65" t="n"/>
      <c r="AF418" s="65" t="n"/>
      <c r="AG418" s="65" t="n"/>
      <c r="AH418" s="65" t="n"/>
      <c r="AI418" s="65" t="n"/>
      <c r="AJ418" s="65" t="n"/>
      <c r="AK418" s="65" t="n"/>
      <c r="AL418" s="65" t="n"/>
      <c r="AM418" s="65" t="n"/>
      <c r="AN418" s="65" t="n"/>
      <c r="AO418" s="65" t="n"/>
      <c r="AP418" s="65" t="n"/>
    </row>
    <row r="419">
      <c r="F419" s="68" t="n"/>
      <c r="G419" s="68">
        <f>IF(B419="","",F419-I419 )</f>
        <v/>
      </c>
      <c r="H419" s="5">
        <f>IF(G419="","",G419/F419)</f>
        <v/>
      </c>
      <c r="J419" s="65" t="n"/>
      <c r="K419" s="65" t="n"/>
      <c r="L419" s="65" t="n"/>
      <c r="M419" s="65" t="n"/>
      <c r="N419" s="65" t="n"/>
      <c r="O419" s="65" t="n"/>
      <c r="P419" s="65" t="n"/>
      <c r="Q419" s="65" t="n"/>
      <c r="R419" s="65" t="n"/>
      <c r="S419" s="65" t="n"/>
      <c r="T419" s="65" t="n"/>
      <c r="U419" s="65" t="n"/>
      <c r="V419" s="77" t="n"/>
      <c r="W419" s="65" t="n"/>
      <c r="X419" s="65" t="n"/>
      <c r="Y419" s="65" t="n"/>
      <c r="Z419" s="65" t="n"/>
      <c r="AA419" s="65" t="n"/>
      <c r="AB419" s="65" t="n"/>
      <c r="AC419" s="65" t="n"/>
      <c r="AD419" s="65" t="n"/>
      <c r="AE419" s="65" t="n"/>
      <c r="AF419" s="65" t="n"/>
      <c r="AG419" s="65" t="n"/>
      <c r="AH419" s="65" t="n"/>
      <c r="AI419" s="65" t="n"/>
      <c r="AJ419" s="65" t="n"/>
      <c r="AK419" s="65" t="n"/>
      <c r="AL419" s="65" t="n"/>
      <c r="AM419" s="65" t="n"/>
      <c r="AN419" s="65" t="n"/>
      <c r="AO419" s="65" t="n"/>
      <c r="AP419" s="65" t="n"/>
    </row>
    <row r="420">
      <c r="F420" s="68" t="n"/>
      <c r="G420" s="68">
        <f>IF(B420="","",F420-I420 )</f>
        <v/>
      </c>
      <c r="H420" s="5">
        <f>IF(G420="","",G420/F420)</f>
        <v/>
      </c>
      <c r="J420" s="65" t="n"/>
      <c r="K420" s="65" t="n"/>
      <c r="L420" s="65" t="n"/>
      <c r="M420" s="65" t="n"/>
      <c r="N420" s="65" t="n"/>
      <c r="O420" s="65" t="n"/>
      <c r="P420" s="65" t="n"/>
      <c r="Q420" s="65" t="n"/>
      <c r="R420" s="65" t="n"/>
      <c r="S420" s="65" t="n"/>
      <c r="T420" s="65" t="n"/>
      <c r="U420" s="65" t="n"/>
      <c r="V420" s="77" t="n"/>
      <c r="W420" s="65" t="n"/>
      <c r="X420" s="65" t="n"/>
      <c r="Y420" s="65" t="n"/>
      <c r="Z420" s="65" t="n"/>
      <c r="AA420" s="65" t="n"/>
      <c r="AB420" s="65" t="n"/>
      <c r="AC420" s="65" t="n"/>
      <c r="AD420" s="65" t="n"/>
      <c r="AE420" s="65" t="n"/>
      <c r="AF420" s="65" t="n"/>
      <c r="AG420" s="65" t="n"/>
      <c r="AH420" s="65" t="n"/>
      <c r="AI420" s="65" t="n"/>
      <c r="AJ420" s="65" t="n"/>
      <c r="AK420" s="65" t="n"/>
      <c r="AL420" s="65" t="n"/>
      <c r="AM420" s="65" t="n"/>
      <c r="AN420" s="65" t="n"/>
      <c r="AO420" s="65" t="n"/>
      <c r="AP420" s="65" t="n"/>
    </row>
    <row r="421">
      <c r="F421" s="68" t="n"/>
      <c r="G421" s="68">
        <f>IF(B421="","",F421-I421 )</f>
        <v/>
      </c>
      <c r="H421" s="5">
        <f>IF(G421="","",G421/F421)</f>
        <v/>
      </c>
      <c r="J421" s="65" t="n"/>
      <c r="K421" s="65" t="n"/>
      <c r="L421" s="65" t="n"/>
      <c r="M421" s="65" t="n"/>
      <c r="N421" s="65" t="n"/>
      <c r="O421" s="65" t="n"/>
      <c r="P421" s="65" t="n"/>
      <c r="Q421" s="65" t="n"/>
      <c r="R421" s="65" t="n"/>
      <c r="S421" s="65" t="n"/>
      <c r="T421" s="65" t="n"/>
      <c r="U421" s="65" t="n"/>
      <c r="V421" s="77" t="n"/>
      <c r="W421" s="65" t="n"/>
      <c r="X421" s="65" t="n"/>
      <c r="Y421" s="65" t="n"/>
      <c r="Z421" s="65" t="n"/>
      <c r="AA421" s="65" t="n"/>
      <c r="AB421" s="65" t="n"/>
      <c r="AC421" s="65" t="n"/>
      <c r="AD421" s="65" t="n"/>
      <c r="AE421" s="65" t="n"/>
      <c r="AF421" s="65" t="n"/>
      <c r="AG421" s="65" t="n"/>
      <c r="AH421" s="65" t="n"/>
      <c r="AI421" s="65" t="n"/>
      <c r="AJ421" s="65" t="n"/>
      <c r="AK421" s="65" t="n"/>
      <c r="AL421" s="65" t="n"/>
      <c r="AM421" s="65" t="n"/>
      <c r="AN421" s="65" t="n"/>
      <c r="AO421" s="65" t="n"/>
      <c r="AP421" s="65" t="n"/>
    </row>
    <row r="422">
      <c r="F422" s="68" t="n"/>
      <c r="G422" s="68">
        <f>IF(B422="","",F422-I422 )</f>
        <v/>
      </c>
      <c r="H422" s="5">
        <f>IF(G422="","",G422/F422)</f>
        <v/>
      </c>
      <c r="J422" s="65" t="n"/>
      <c r="K422" s="65" t="n"/>
      <c r="L422" s="65" t="n"/>
      <c r="M422" s="65" t="n"/>
      <c r="N422" s="65" t="n"/>
      <c r="O422" s="65" t="n"/>
      <c r="P422" s="65" t="n"/>
      <c r="Q422" s="65" t="n"/>
      <c r="R422" s="65" t="n"/>
      <c r="S422" s="65" t="n"/>
      <c r="T422" s="65" t="n"/>
      <c r="U422" s="65" t="n"/>
      <c r="V422" s="77" t="n"/>
      <c r="W422" s="65" t="n"/>
      <c r="X422" s="65" t="n"/>
      <c r="Y422" s="65" t="n"/>
      <c r="Z422" s="65" t="n"/>
      <c r="AA422" s="65" t="n"/>
      <c r="AB422" s="65" t="n"/>
      <c r="AC422" s="65" t="n"/>
      <c r="AD422" s="65" t="n"/>
      <c r="AE422" s="65" t="n"/>
      <c r="AF422" s="65" t="n"/>
      <c r="AG422" s="65" t="n"/>
      <c r="AH422" s="65" t="n"/>
      <c r="AI422" s="65" t="n"/>
      <c r="AJ422" s="65" t="n"/>
      <c r="AK422" s="65" t="n"/>
      <c r="AL422" s="65" t="n"/>
      <c r="AM422" s="65" t="n"/>
      <c r="AN422" s="65" t="n"/>
      <c r="AO422" s="65" t="n"/>
      <c r="AP422" s="65" t="n"/>
    </row>
    <row r="423">
      <c r="F423" s="68" t="n"/>
      <c r="G423" s="68">
        <f>IF(B423="","",F423-I423 )</f>
        <v/>
      </c>
      <c r="H423" s="5">
        <f>IF(G423="","",G423/F423)</f>
        <v/>
      </c>
      <c r="J423" s="65" t="n"/>
      <c r="K423" s="65" t="n"/>
      <c r="L423" s="65" t="n"/>
      <c r="M423" s="65" t="n"/>
      <c r="N423" s="65" t="n"/>
      <c r="O423" s="65" t="n"/>
      <c r="P423" s="65" t="n"/>
      <c r="Q423" s="65" t="n"/>
      <c r="R423" s="65" t="n"/>
      <c r="S423" s="65" t="n"/>
      <c r="T423" s="65" t="n"/>
      <c r="U423" s="65" t="n"/>
      <c r="V423" s="77" t="n"/>
      <c r="W423" s="65" t="n"/>
      <c r="X423" s="65" t="n"/>
      <c r="Y423" s="65" t="n"/>
      <c r="Z423" s="65" t="n"/>
      <c r="AA423" s="65" t="n"/>
      <c r="AB423" s="65" t="n"/>
      <c r="AC423" s="65" t="n"/>
      <c r="AD423" s="65" t="n"/>
      <c r="AE423" s="65" t="n"/>
      <c r="AF423" s="65" t="n"/>
      <c r="AG423" s="65" t="n"/>
      <c r="AH423" s="65" t="n"/>
      <c r="AI423" s="65" t="n"/>
      <c r="AJ423" s="65" t="n"/>
      <c r="AK423" s="65" t="n"/>
      <c r="AL423" s="65" t="n"/>
      <c r="AM423" s="65" t="n"/>
      <c r="AN423" s="65" t="n"/>
      <c r="AO423" s="65" t="n"/>
      <c r="AP423" s="65" t="n"/>
    </row>
    <row r="424">
      <c r="F424" s="68" t="n"/>
      <c r="G424" s="68">
        <f>IF(B424="","",F424-I424 )</f>
        <v/>
      </c>
      <c r="H424" s="5">
        <f>IF(G424="","",G424/F424)</f>
        <v/>
      </c>
      <c r="J424" s="65" t="n"/>
      <c r="K424" s="65" t="n"/>
      <c r="L424" s="65" t="n"/>
      <c r="M424" s="65" t="n"/>
      <c r="N424" s="65" t="n"/>
      <c r="O424" s="65" t="n"/>
      <c r="P424" s="65" t="n"/>
      <c r="Q424" s="65" t="n"/>
      <c r="R424" s="65" t="n"/>
      <c r="S424" s="65" t="n"/>
      <c r="T424" s="65" t="n"/>
      <c r="U424" s="65" t="n"/>
      <c r="V424" s="77" t="n"/>
      <c r="W424" s="65" t="n"/>
      <c r="X424" s="65" t="n"/>
      <c r="Y424" s="65" t="n"/>
      <c r="Z424" s="65" t="n"/>
      <c r="AA424" s="65" t="n"/>
      <c r="AB424" s="65" t="n"/>
      <c r="AC424" s="65" t="n"/>
      <c r="AD424" s="65" t="n"/>
      <c r="AE424" s="65" t="n"/>
      <c r="AF424" s="65" t="n"/>
      <c r="AG424" s="65" t="n"/>
      <c r="AH424" s="65" t="n"/>
      <c r="AI424" s="65" t="n"/>
      <c r="AJ424" s="65" t="n"/>
      <c r="AK424" s="65" t="n"/>
      <c r="AL424" s="65" t="n"/>
      <c r="AM424" s="65" t="n"/>
      <c r="AN424" s="65" t="n"/>
      <c r="AO424" s="65" t="n"/>
      <c r="AP424" s="65" t="n"/>
    </row>
    <row r="425">
      <c r="F425" s="68" t="n"/>
      <c r="G425" s="68">
        <f>IF(B425="","",F425-I425 )</f>
        <v/>
      </c>
      <c r="H425" s="5">
        <f>IF(G425="","",G425/F425)</f>
        <v/>
      </c>
      <c r="J425" s="65" t="n"/>
      <c r="K425" s="65" t="n"/>
      <c r="L425" s="65" t="n"/>
      <c r="M425" s="65" t="n"/>
      <c r="N425" s="65" t="n"/>
      <c r="O425" s="65" t="n"/>
      <c r="P425" s="65" t="n"/>
      <c r="Q425" s="65" t="n"/>
      <c r="R425" s="65" t="n"/>
      <c r="S425" s="65" t="n"/>
      <c r="T425" s="65" t="n"/>
      <c r="U425" s="65" t="n"/>
      <c r="V425" s="77" t="n"/>
      <c r="W425" s="65" t="n"/>
      <c r="X425" s="65" t="n"/>
      <c r="Y425" s="65" t="n"/>
      <c r="Z425" s="65" t="n"/>
      <c r="AA425" s="65" t="n"/>
      <c r="AB425" s="65" t="n"/>
      <c r="AC425" s="65" t="n"/>
      <c r="AD425" s="65" t="n"/>
      <c r="AE425" s="65" t="n"/>
      <c r="AF425" s="65" t="n"/>
      <c r="AG425" s="65" t="n"/>
      <c r="AH425" s="65" t="n"/>
      <c r="AI425" s="65" t="n"/>
      <c r="AJ425" s="65" t="n"/>
      <c r="AK425" s="65" t="n"/>
      <c r="AL425" s="65" t="n"/>
      <c r="AM425" s="65" t="n"/>
      <c r="AN425" s="65" t="n"/>
      <c r="AO425" s="65" t="n"/>
      <c r="AP425" s="65" t="n"/>
    </row>
    <row r="426">
      <c r="F426" s="68" t="n"/>
      <c r="G426" s="68">
        <f>IF(B426="","",F426-I426 )</f>
        <v/>
      </c>
      <c r="H426" s="5">
        <f>IF(G426="","",G426/F426)</f>
        <v/>
      </c>
      <c r="J426" s="65" t="n"/>
      <c r="K426" s="65" t="n"/>
      <c r="L426" s="65" t="n"/>
      <c r="M426" s="65" t="n"/>
      <c r="N426" s="65" t="n"/>
      <c r="O426" s="65" t="n"/>
      <c r="P426" s="65" t="n"/>
      <c r="Q426" s="65" t="n"/>
      <c r="R426" s="65" t="n"/>
      <c r="S426" s="65" t="n"/>
      <c r="T426" s="65" t="n"/>
      <c r="U426" s="65" t="n"/>
      <c r="V426" s="77" t="n"/>
      <c r="W426" s="65" t="n"/>
      <c r="X426" s="65" t="n"/>
      <c r="Y426" s="65" t="n"/>
      <c r="Z426" s="65" t="n"/>
      <c r="AA426" s="65" t="n"/>
      <c r="AB426" s="65" t="n"/>
      <c r="AC426" s="65" t="n"/>
      <c r="AD426" s="65" t="n"/>
      <c r="AE426" s="65" t="n"/>
      <c r="AF426" s="65" t="n"/>
      <c r="AG426" s="65" t="n"/>
      <c r="AH426" s="65" t="n"/>
      <c r="AI426" s="65" t="n"/>
      <c r="AJ426" s="65" t="n"/>
      <c r="AK426" s="65" t="n"/>
      <c r="AL426" s="65" t="n"/>
      <c r="AM426" s="65" t="n"/>
      <c r="AN426" s="65" t="n"/>
      <c r="AO426" s="65" t="n"/>
      <c r="AP426" s="65" t="n"/>
    </row>
    <row r="427">
      <c r="F427" s="68" t="n"/>
      <c r="G427" s="68">
        <f>IF(B427="","",F427-I427 )</f>
        <v/>
      </c>
      <c r="H427" s="5">
        <f>IF(G427="","",G427/F427)</f>
        <v/>
      </c>
      <c r="J427" s="65" t="n"/>
      <c r="K427" s="65" t="n"/>
      <c r="L427" s="65" t="n"/>
      <c r="M427" s="65" t="n"/>
      <c r="N427" s="65" t="n"/>
      <c r="O427" s="65" t="n"/>
      <c r="P427" s="65" t="n"/>
      <c r="Q427" s="65" t="n"/>
      <c r="R427" s="65" t="n"/>
      <c r="S427" s="65" t="n"/>
      <c r="T427" s="65" t="n"/>
      <c r="U427" s="65" t="n"/>
      <c r="V427" s="77" t="n"/>
      <c r="W427" s="65" t="n"/>
      <c r="X427" s="65" t="n"/>
      <c r="Y427" s="65" t="n"/>
      <c r="Z427" s="65" t="n"/>
      <c r="AA427" s="65" t="n"/>
      <c r="AB427" s="65" t="n"/>
      <c r="AC427" s="65" t="n"/>
      <c r="AD427" s="65" t="n"/>
      <c r="AE427" s="65" t="n"/>
      <c r="AF427" s="65" t="n"/>
      <c r="AG427" s="65" t="n"/>
      <c r="AH427" s="65" t="n"/>
      <c r="AI427" s="65" t="n"/>
      <c r="AJ427" s="65" t="n"/>
      <c r="AK427" s="65" t="n"/>
      <c r="AL427" s="65" t="n"/>
      <c r="AM427" s="65" t="n"/>
      <c r="AN427" s="65" t="n"/>
      <c r="AO427" s="65" t="n"/>
      <c r="AP427" s="65" t="n"/>
    </row>
    <row r="428">
      <c r="F428" s="68" t="n"/>
      <c r="G428" s="68">
        <f>IF(B428="","",F428-I428 )</f>
        <v/>
      </c>
      <c r="H428" s="5">
        <f>IF(G428="","",G428/F428)</f>
        <v/>
      </c>
      <c r="J428" s="65" t="n"/>
      <c r="K428" s="65" t="n"/>
      <c r="L428" s="65" t="n"/>
      <c r="M428" s="65" t="n"/>
      <c r="N428" s="65" t="n"/>
      <c r="O428" s="65" t="n"/>
      <c r="P428" s="65" t="n"/>
      <c r="Q428" s="65" t="n"/>
      <c r="R428" s="65" t="n"/>
      <c r="S428" s="65" t="n"/>
      <c r="T428" s="65" t="n"/>
      <c r="U428" s="65" t="n"/>
      <c r="V428" s="77" t="n"/>
      <c r="W428" s="65" t="n"/>
      <c r="X428" s="65" t="n"/>
      <c r="Y428" s="65" t="n"/>
      <c r="Z428" s="65" t="n"/>
      <c r="AA428" s="65" t="n"/>
      <c r="AB428" s="65" t="n"/>
      <c r="AC428" s="65" t="n"/>
      <c r="AD428" s="65" t="n"/>
      <c r="AE428" s="65" t="n"/>
      <c r="AF428" s="65" t="n"/>
      <c r="AG428" s="65" t="n"/>
      <c r="AH428" s="65" t="n"/>
      <c r="AI428" s="65" t="n"/>
      <c r="AJ428" s="65" t="n"/>
      <c r="AK428" s="65" t="n"/>
      <c r="AL428" s="65" t="n"/>
      <c r="AM428" s="65" t="n"/>
      <c r="AN428" s="65" t="n"/>
      <c r="AO428" s="65" t="n"/>
      <c r="AP428" s="65" t="n"/>
    </row>
    <row r="429">
      <c r="F429" s="68" t="n"/>
      <c r="G429" s="68">
        <f>IF(B429="","",F429-I429 )</f>
        <v/>
      </c>
      <c r="H429" s="5">
        <f>IF(G429="","",G429/F429)</f>
        <v/>
      </c>
      <c r="J429" s="65" t="n"/>
      <c r="K429" s="65" t="n"/>
      <c r="L429" s="65" t="n"/>
      <c r="M429" s="65" t="n"/>
      <c r="N429" s="65" t="n"/>
      <c r="O429" s="65" t="n"/>
      <c r="P429" s="65" t="n"/>
      <c r="Q429" s="65" t="n"/>
      <c r="R429" s="65" t="n"/>
      <c r="S429" s="65" t="n"/>
      <c r="T429" s="65" t="n"/>
      <c r="U429" s="65" t="n"/>
      <c r="V429" s="77" t="n"/>
      <c r="W429" s="65" t="n"/>
      <c r="X429" s="65" t="n"/>
      <c r="Y429" s="65" t="n"/>
      <c r="Z429" s="65" t="n"/>
      <c r="AA429" s="65" t="n"/>
      <c r="AB429" s="65" t="n"/>
      <c r="AC429" s="65" t="n"/>
      <c r="AD429" s="65" t="n"/>
      <c r="AE429" s="65" t="n"/>
      <c r="AF429" s="65" t="n"/>
      <c r="AG429" s="65" t="n"/>
      <c r="AH429" s="65" t="n"/>
      <c r="AI429" s="65" t="n"/>
      <c r="AJ429" s="65" t="n"/>
      <c r="AK429" s="65" t="n"/>
      <c r="AL429" s="65" t="n"/>
      <c r="AM429" s="65" t="n"/>
      <c r="AN429" s="65" t="n"/>
      <c r="AO429" s="65" t="n"/>
      <c r="AP429" s="65" t="n"/>
    </row>
    <row r="430">
      <c r="F430" s="68" t="n"/>
      <c r="G430" s="68">
        <f>IF(B430="","",F430-I430 )</f>
        <v/>
      </c>
      <c r="H430" s="5">
        <f>IF(G430="","",G430/F430)</f>
        <v/>
      </c>
      <c r="J430" s="65" t="n"/>
      <c r="K430" s="65" t="n"/>
      <c r="L430" s="65" t="n"/>
      <c r="M430" s="65" t="n"/>
      <c r="N430" s="65" t="n"/>
      <c r="O430" s="65" t="n"/>
      <c r="P430" s="65" t="n"/>
      <c r="Q430" s="65" t="n"/>
      <c r="R430" s="65" t="n"/>
      <c r="S430" s="65" t="n"/>
      <c r="T430" s="65" t="n"/>
      <c r="U430" s="65" t="n"/>
      <c r="V430" s="77" t="n"/>
      <c r="W430" s="65" t="n"/>
      <c r="X430" s="65" t="n"/>
      <c r="Y430" s="65" t="n"/>
      <c r="Z430" s="65" t="n"/>
      <c r="AA430" s="65" t="n"/>
      <c r="AB430" s="65" t="n"/>
      <c r="AC430" s="65" t="n"/>
      <c r="AD430" s="65" t="n"/>
      <c r="AE430" s="65" t="n"/>
      <c r="AF430" s="65" t="n"/>
      <c r="AG430" s="65" t="n"/>
      <c r="AH430" s="65" t="n"/>
      <c r="AI430" s="65" t="n"/>
      <c r="AJ430" s="65" t="n"/>
      <c r="AK430" s="65" t="n"/>
      <c r="AL430" s="65" t="n"/>
      <c r="AM430" s="65" t="n"/>
      <c r="AN430" s="65" t="n"/>
      <c r="AO430" s="65" t="n"/>
      <c r="AP430" s="65" t="n"/>
    </row>
    <row r="431">
      <c r="F431" s="68" t="n"/>
      <c r="G431" s="68">
        <f>IF(B431="","",F431-I431 )</f>
        <v/>
      </c>
      <c r="H431" s="5">
        <f>IF(G431="","",G431/F431)</f>
        <v/>
      </c>
      <c r="J431" s="65" t="n"/>
      <c r="K431" s="65" t="n"/>
      <c r="L431" s="65" t="n"/>
      <c r="M431" s="65" t="n"/>
      <c r="N431" s="65" t="n"/>
      <c r="O431" s="65" t="n"/>
      <c r="P431" s="65" t="n"/>
      <c r="Q431" s="65" t="n"/>
      <c r="R431" s="65" t="n"/>
      <c r="S431" s="65" t="n"/>
      <c r="T431" s="65" t="n"/>
      <c r="U431" s="65" t="n"/>
      <c r="V431" s="77" t="n"/>
      <c r="W431" s="65" t="n"/>
      <c r="X431" s="65" t="n"/>
      <c r="Y431" s="65" t="n"/>
      <c r="Z431" s="65" t="n"/>
      <c r="AA431" s="65" t="n"/>
      <c r="AB431" s="65" t="n"/>
      <c r="AC431" s="65" t="n"/>
      <c r="AD431" s="65" t="n"/>
      <c r="AE431" s="65" t="n"/>
      <c r="AF431" s="65" t="n"/>
      <c r="AG431" s="65" t="n"/>
      <c r="AH431" s="65" t="n"/>
      <c r="AI431" s="65" t="n"/>
      <c r="AJ431" s="65" t="n"/>
      <c r="AK431" s="65" t="n"/>
      <c r="AL431" s="65" t="n"/>
      <c r="AM431" s="65" t="n"/>
      <c r="AN431" s="65" t="n"/>
      <c r="AO431" s="65" t="n"/>
      <c r="AP431" s="65" t="n"/>
    </row>
    <row r="432">
      <c r="F432" s="68" t="n"/>
      <c r="G432" s="68">
        <f>IF(B432="","",F432-I432 )</f>
        <v/>
      </c>
      <c r="H432" s="5">
        <f>IF(G432="","",G432/F432)</f>
        <v/>
      </c>
      <c r="J432" s="65" t="n"/>
      <c r="K432" s="65" t="n"/>
      <c r="L432" s="65" t="n"/>
      <c r="M432" s="65" t="n"/>
      <c r="N432" s="65" t="n"/>
      <c r="O432" s="65" t="n"/>
      <c r="P432" s="65" t="n"/>
      <c r="Q432" s="65" t="n"/>
      <c r="R432" s="65" t="n"/>
      <c r="S432" s="65" t="n"/>
      <c r="T432" s="65" t="n"/>
      <c r="U432" s="65" t="n"/>
      <c r="V432" s="77" t="n"/>
      <c r="W432" s="65" t="n"/>
      <c r="X432" s="65" t="n"/>
      <c r="Y432" s="65" t="n"/>
      <c r="Z432" s="65" t="n"/>
      <c r="AA432" s="65" t="n"/>
      <c r="AB432" s="65" t="n"/>
      <c r="AC432" s="65" t="n"/>
      <c r="AD432" s="65" t="n"/>
      <c r="AE432" s="65" t="n"/>
      <c r="AF432" s="65" t="n"/>
      <c r="AG432" s="65" t="n"/>
      <c r="AH432" s="65" t="n"/>
      <c r="AI432" s="65" t="n"/>
      <c r="AJ432" s="65" t="n"/>
      <c r="AK432" s="65" t="n"/>
      <c r="AL432" s="65" t="n"/>
      <c r="AM432" s="65" t="n"/>
      <c r="AN432" s="65" t="n"/>
      <c r="AO432" s="65" t="n"/>
      <c r="AP432" s="65" t="n"/>
    </row>
    <row r="433">
      <c r="F433" s="68" t="n"/>
      <c r="G433" s="68">
        <f>IF(B433="","",F433-I433 )</f>
        <v/>
      </c>
      <c r="H433" s="5">
        <f>IF(G433="","",G433/F433)</f>
        <v/>
      </c>
      <c r="J433" s="65" t="n"/>
      <c r="K433" s="65" t="n"/>
      <c r="L433" s="65" t="n"/>
      <c r="M433" s="65" t="n"/>
      <c r="N433" s="65" t="n"/>
      <c r="O433" s="65" t="n"/>
      <c r="P433" s="65" t="n"/>
      <c r="Q433" s="65" t="n"/>
      <c r="R433" s="65" t="n"/>
      <c r="S433" s="65" t="n"/>
      <c r="T433" s="65" t="n"/>
      <c r="U433" s="65" t="n"/>
      <c r="V433" s="77" t="n"/>
      <c r="W433" s="65" t="n"/>
      <c r="X433" s="65" t="n"/>
      <c r="Y433" s="65" t="n"/>
      <c r="Z433" s="65" t="n"/>
      <c r="AA433" s="65" t="n"/>
      <c r="AB433" s="65" t="n"/>
      <c r="AC433" s="65" t="n"/>
      <c r="AD433" s="65" t="n"/>
      <c r="AE433" s="65" t="n"/>
      <c r="AF433" s="65" t="n"/>
      <c r="AG433" s="65" t="n"/>
      <c r="AH433" s="65" t="n"/>
      <c r="AI433" s="65" t="n"/>
      <c r="AJ433" s="65" t="n"/>
      <c r="AK433" s="65" t="n"/>
      <c r="AL433" s="65" t="n"/>
      <c r="AM433" s="65" t="n"/>
      <c r="AN433" s="65" t="n"/>
      <c r="AO433" s="65" t="n"/>
      <c r="AP433" s="65" t="n"/>
    </row>
    <row r="434">
      <c r="F434" s="68" t="n"/>
      <c r="G434" s="68">
        <f>IF(B434="","",F434-I434 )</f>
        <v/>
      </c>
      <c r="H434" s="5">
        <f>IF(G434="","",G434/F434)</f>
        <v/>
      </c>
      <c r="J434" s="65" t="n"/>
      <c r="K434" s="65" t="n"/>
      <c r="L434" s="65" t="n"/>
      <c r="M434" s="65" t="n"/>
      <c r="N434" s="65" t="n"/>
      <c r="O434" s="65" t="n"/>
      <c r="P434" s="65" t="n"/>
      <c r="Q434" s="65" t="n"/>
      <c r="R434" s="65" t="n"/>
      <c r="S434" s="65" t="n"/>
      <c r="T434" s="65" t="n"/>
      <c r="U434" s="65" t="n"/>
      <c r="V434" s="77" t="n"/>
      <c r="W434" s="65" t="n"/>
      <c r="X434" s="65" t="n"/>
      <c r="Y434" s="65" t="n"/>
      <c r="Z434" s="65" t="n"/>
      <c r="AA434" s="65" t="n"/>
      <c r="AB434" s="65" t="n"/>
      <c r="AC434" s="65" t="n"/>
      <c r="AD434" s="65" t="n"/>
      <c r="AE434" s="65" t="n"/>
      <c r="AF434" s="65" t="n"/>
      <c r="AG434" s="65" t="n"/>
      <c r="AH434" s="65" t="n"/>
      <c r="AI434" s="65" t="n"/>
      <c r="AJ434" s="65" t="n"/>
      <c r="AK434" s="65" t="n"/>
      <c r="AL434" s="65" t="n"/>
      <c r="AM434" s="65" t="n"/>
      <c r="AN434" s="65" t="n"/>
      <c r="AO434" s="65" t="n"/>
      <c r="AP434" s="65" t="n"/>
    </row>
    <row r="435">
      <c r="F435" s="68" t="n"/>
      <c r="G435" s="68">
        <f>IF(B435="","",F435-I435 )</f>
        <v/>
      </c>
      <c r="H435" s="5">
        <f>IF(G435="","",G435/F435)</f>
        <v/>
      </c>
      <c r="J435" s="65" t="n"/>
      <c r="K435" s="65" t="n"/>
      <c r="L435" s="65" t="n"/>
      <c r="M435" s="65" t="n"/>
      <c r="N435" s="65" t="n"/>
      <c r="O435" s="65" t="n"/>
      <c r="P435" s="65" t="n"/>
      <c r="Q435" s="65" t="n"/>
      <c r="R435" s="65" t="n"/>
      <c r="S435" s="65" t="n"/>
      <c r="T435" s="65" t="n"/>
      <c r="U435" s="65" t="n"/>
      <c r="V435" s="77" t="n"/>
      <c r="W435" s="65" t="n"/>
      <c r="X435" s="65" t="n"/>
      <c r="Y435" s="65" t="n"/>
      <c r="Z435" s="65" t="n"/>
      <c r="AA435" s="65" t="n"/>
      <c r="AB435" s="65" t="n"/>
      <c r="AC435" s="65" t="n"/>
      <c r="AD435" s="65" t="n"/>
      <c r="AE435" s="65" t="n"/>
      <c r="AF435" s="65" t="n"/>
      <c r="AG435" s="65" t="n"/>
      <c r="AH435" s="65" t="n"/>
      <c r="AI435" s="65" t="n"/>
      <c r="AJ435" s="65" t="n"/>
      <c r="AK435" s="65" t="n"/>
      <c r="AL435" s="65" t="n"/>
      <c r="AM435" s="65" t="n"/>
      <c r="AN435" s="65" t="n"/>
      <c r="AO435" s="65" t="n"/>
      <c r="AP435" s="65" t="n"/>
    </row>
    <row r="436">
      <c r="F436" s="68" t="n"/>
      <c r="G436" s="68">
        <f>IF(B436="","",F436-I436 )</f>
        <v/>
      </c>
      <c r="H436" s="5">
        <f>IF(G436="","",G436/F436)</f>
        <v/>
      </c>
      <c r="J436" s="65" t="n"/>
      <c r="K436" s="65" t="n"/>
      <c r="L436" s="65" t="n"/>
      <c r="M436" s="65" t="n"/>
      <c r="N436" s="65" t="n"/>
      <c r="O436" s="65" t="n"/>
      <c r="P436" s="65" t="n"/>
      <c r="Q436" s="65" t="n"/>
      <c r="R436" s="65" t="n"/>
      <c r="S436" s="65" t="n"/>
      <c r="T436" s="65" t="n"/>
      <c r="U436" s="65" t="n"/>
      <c r="V436" s="77" t="n"/>
      <c r="W436" s="65" t="n"/>
      <c r="X436" s="65" t="n"/>
      <c r="Y436" s="65" t="n"/>
      <c r="Z436" s="65" t="n"/>
      <c r="AA436" s="65" t="n"/>
      <c r="AB436" s="65" t="n"/>
      <c r="AC436" s="65" t="n"/>
      <c r="AD436" s="65" t="n"/>
      <c r="AE436" s="65" t="n"/>
      <c r="AF436" s="65" t="n"/>
      <c r="AG436" s="65" t="n"/>
      <c r="AH436" s="65" t="n"/>
      <c r="AI436" s="65" t="n"/>
      <c r="AJ436" s="65" t="n"/>
      <c r="AK436" s="65" t="n"/>
      <c r="AL436" s="65" t="n"/>
      <c r="AM436" s="65" t="n"/>
      <c r="AN436" s="65" t="n"/>
      <c r="AO436" s="65" t="n"/>
      <c r="AP436" s="65" t="n"/>
    </row>
    <row r="437">
      <c r="F437" s="68" t="n"/>
      <c r="G437" s="68">
        <f>IF(B437="","",F437-I437 )</f>
        <v/>
      </c>
      <c r="H437" s="5">
        <f>IF(G437="","",G437/F437)</f>
        <v/>
      </c>
      <c r="J437" s="65" t="n"/>
      <c r="K437" s="65" t="n"/>
      <c r="L437" s="65" t="n"/>
      <c r="M437" s="65" t="n"/>
      <c r="N437" s="65" t="n"/>
      <c r="O437" s="65" t="n"/>
      <c r="P437" s="65" t="n"/>
      <c r="Q437" s="65" t="n"/>
      <c r="R437" s="65" t="n"/>
      <c r="S437" s="65" t="n"/>
      <c r="T437" s="65" t="n"/>
      <c r="U437" s="65" t="n"/>
      <c r="V437" s="77" t="n"/>
      <c r="W437" s="65" t="n"/>
      <c r="X437" s="65" t="n"/>
      <c r="Y437" s="65" t="n"/>
      <c r="Z437" s="65" t="n"/>
      <c r="AA437" s="65" t="n"/>
      <c r="AB437" s="65" t="n"/>
      <c r="AC437" s="65" t="n"/>
      <c r="AD437" s="65" t="n"/>
      <c r="AE437" s="65" t="n"/>
      <c r="AF437" s="65" t="n"/>
      <c r="AG437" s="65" t="n"/>
      <c r="AH437" s="65" t="n"/>
      <c r="AI437" s="65" t="n"/>
      <c r="AJ437" s="65" t="n"/>
      <c r="AK437" s="65" t="n"/>
      <c r="AL437" s="65" t="n"/>
      <c r="AM437" s="65" t="n"/>
      <c r="AN437" s="65" t="n"/>
      <c r="AO437" s="65" t="n"/>
      <c r="AP437" s="65" t="n"/>
    </row>
    <row r="438">
      <c r="F438" s="68" t="n"/>
      <c r="G438" s="68">
        <f>IF(B438="","",F438-I438 )</f>
        <v/>
      </c>
      <c r="H438" s="5">
        <f>IF(G438="","",G438/F438)</f>
        <v/>
      </c>
      <c r="J438" s="65" t="n"/>
      <c r="K438" s="65" t="n"/>
      <c r="L438" s="65" t="n"/>
      <c r="M438" s="65" t="n"/>
      <c r="N438" s="65" t="n"/>
      <c r="O438" s="65" t="n"/>
      <c r="P438" s="65" t="n"/>
      <c r="Q438" s="65" t="n"/>
      <c r="R438" s="65" t="n"/>
      <c r="S438" s="65" t="n"/>
      <c r="T438" s="65" t="n"/>
      <c r="U438" s="65" t="n"/>
      <c r="V438" s="77" t="n"/>
      <c r="W438" s="65" t="n"/>
      <c r="X438" s="65" t="n"/>
      <c r="Y438" s="65" t="n"/>
      <c r="Z438" s="65" t="n"/>
      <c r="AA438" s="65" t="n"/>
      <c r="AB438" s="65" t="n"/>
      <c r="AC438" s="65" t="n"/>
      <c r="AD438" s="65" t="n"/>
      <c r="AE438" s="65" t="n"/>
      <c r="AF438" s="65" t="n"/>
      <c r="AG438" s="65" t="n"/>
      <c r="AH438" s="65" t="n"/>
      <c r="AI438" s="65" t="n"/>
      <c r="AJ438" s="65" t="n"/>
      <c r="AK438" s="65" t="n"/>
      <c r="AL438" s="65" t="n"/>
      <c r="AM438" s="65" t="n"/>
      <c r="AN438" s="65" t="n"/>
      <c r="AO438" s="65" t="n"/>
      <c r="AP438" s="65" t="n"/>
    </row>
    <row r="439">
      <c r="F439" s="68" t="n"/>
      <c r="G439" s="68">
        <f>IF(B439="","",F439-I439 )</f>
        <v/>
      </c>
      <c r="H439" s="5">
        <f>IF(G439="","",G439/F439)</f>
        <v/>
      </c>
      <c r="J439" s="65" t="n"/>
      <c r="K439" s="65" t="n"/>
      <c r="L439" s="65" t="n"/>
      <c r="M439" s="65" t="n"/>
      <c r="N439" s="65" t="n"/>
      <c r="O439" s="65" t="n"/>
      <c r="P439" s="65" t="n"/>
      <c r="Q439" s="65" t="n"/>
      <c r="R439" s="65" t="n"/>
      <c r="S439" s="65" t="n"/>
      <c r="T439" s="65" t="n"/>
      <c r="U439" s="65" t="n"/>
      <c r="V439" s="77" t="n"/>
      <c r="W439" s="65" t="n"/>
      <c r="X439" s="65" t="n"/>
      <c r="Y439" s="65" t="n"/>
      <c r="Z439" s="65" t="n"/>
      <c r="AA439" s="65" t="n"/>
      <c r="AB439" s="65" t="n"/>
      <c r="AC439" s="65" t="n"/>
      <c r="AD439" s="65" t="n"/>
      <c r="AE439" s="65" t="n"/>
      <c r="AF439" s="65" t="n"/>
      <c r="AG439" s="65" t="n"/>
      <c r="AH439" s="65" t="n"/>
      <c r="AI439" s="65" t="n"/>
      <c r="AJ439" s="65" t="n"/>
      <c r="AK439" s="65" t="n"/>
      <c r="AL439" s="65" t="n"/>
      <c r="AM439" s="65" t="n"/>
      <c r="AN439" s="65" t="n"/>
      <c r="AO439" s="65" t="n"/>
      <c r="AP439" s="65" t="n"/>
    </row>
    <row r="440">
      <c r="F440" s="68" t="n"/>
      <c r="G440" s="68">
        <f>IF(B440="","",F440-I440 )</f>
        <v/>
      </c>
      <c r="H440" s="5">
        <f>IF(G440="","",G440/F440)</f>
        <v/>
      </c>
      <c r="J440" s="65" t="n"/>
      <c r="K440" s="65" t="n"/>
      <c r="L440" s="65" t="n"/>
      <c r="M440" s="65" t="n"/>
      <c r="N440" s="65" t="n"/>
      <c r="O440" s="65" t="n"/>
      <c r="P440" s="65" t="n"/>
      <c r="Q440" s="65" t="n"/>
      <c r="R440" s="65" t="n"/>
      <c r="S440" s="65" t="n"/>
      <c r="T440" s="65" t="n"/>
      <c r="U440" s="65" t="n"/>
      <c r="V440" s="77" t="n"/>
      <c r="W440" s="65" t="n"/>
      <c r="X440" s="65" t="n"/>
      <c r="Y440" s="65" t="n"/>
      <c r="Z440" s="65" t="n"/>
      <c r="AA440" s="65" t="n"/>
      <c r="AB440" s="65" t="n"/>
      <c r="AC440" s="65" t="n"/>
      <c r="AD440" s="65" t="n"/>
      <c r="AE440" s="65" t="n"/>
      <c r="AF440" s="65" t="n"/>
      <c r="AG440" s="65" t="n"/>
      <c r="AH440" s="65" t="n"/>
      <c r="AI440" s="65" t="n"/>
      <c r="AJ440" s="65" t="n"/>
      <c r="AK440" s="65" t="n"/>
      <c r="AL440" s="65" t="n"/>
      <c r="AM440" s="65" t="n"/>
      <c r="AN440" s="65" t="n"/>
      <c r="AO440" s="65" t="n"/>
      <c r="AP440" s="65" t="n"/>
    </row>
    <row r="441">
      <c r="F441" s="68" t="n"/>
      <c r="G441" s="68">
        <f>IF(B441="","",F441-I441 )</f>
        <v/>
      </c>
      <c r="H441" s="5">
        <f>IF(G441="","",G441/F441)</f>
        <v/>
      </c>
      <c r="J441" s="65" t="n"/>
      <c r="K441" s="65" t="n"/>
      <c r="L441" s="65" t="n"/>
      <c r="M441" s="65" t="n"/>
      <c r="N441" s="65" t="n"/>
      <c r="O441" s="65" t="n"/>
      <c r="P441" s="65" t="n"/>
      <c r="Q441" s="65" t="n"/>
      <c r="R441" s="65" t="n"/>
      <c r="S441" s="65" t="n"/>
      <c r="T441" s="65" t="n"/>
      <c r="U441" s="65" t="n"/>
      <c r="V441" s="77" t="n"/>
      <c r="W441" s="65" t="n"/>
      <c r="X441" s="65" t="n"/>
      <c r="Y441" s="65" t="n"/>
      <c r="Z441" s="65" t="n"/>
      <c r="AA441" s="65" t="n"/>
      <c r="AB441" s="65" t="n"/>
      <c r="AC441" s="65" t="n"/>
      <c r="AD441" s="65" t="n"/>
      <c r="AE441" s="65" t="n"/>
      <c r="AF441" s="65" t="n"/>
      <c r="AG441" s="65" t="n"/>
      <c r="AH441" s="65" t="n"/>
      <c r="AI441" s="65" t="n"/>
      <c r="AJ441" s="65" t="n"/>
      <c r="AK441" s="65" t="n"/>
      <c r="AL441" s="65" t="n"/>
      <c r="AM441" s="65" t="n"/>
      <c r="AN441" s="65" t="n"/>
      <c r="AO441" s="65" t="n"/>
      <c r="AP441" s="65" t="n"/>
    </row>
    <row r="442">
      <c r="F442" s="68" t="n"/>
      <c r="G442" s="68">
        <f>IF(B442="","",F442-I442 )</f>
        <v/>
      </c>
      <c r="H442" s="5">
        <f>IF(G442="","",G442/F442)</f>
        <v/>
      </c>
      <c r="J442" s="65" t="n"/>
      <c r="K442" s="65" t="n"/>
      <c r="L442" s="65" t="n"/>
      <c r="M442" s="65" t="n"/>
      <c r="N442" s="65" t="n"/>
      <c r="O442" s="65" t="n"/>
      <c r="P442" s="65" t="n"/>
      <c r="Q442" s="65" t="n"/>
      <c r="R442" s="65" t="n"/>
      <c r="S442" s="65" t="n"/>
      <c r="T442" s="65" t="n"/>
      <c r="U442" s="65" t="n"/>
      <c r="V442" s="77" t="n"/>
      <c r="W442" s="65" t="n"/>
      <c r="X442" s="65" t="n"/>
      <c r="Y442" s="65" t="n"/>
      <c r="Z442" s="65" t="n"/>
      <c r="AA442" s="65" t="n"/>
      <c r="AB442" s="65" t="n"/>
      <c r="AC442" s="65" t="n"/>
      <c r="AD442" s="65" t="n"/>
      <c r="AE442" s="65" t="n"/>
      <c r="AF442" s="65" t="n"/>
      <c r="AG442" s="65" t="n"/>
      <c r="AH442" s="65" t="n"/>
      <c r="AI442" s="65" t="n"/>
      <c r="AJ442" s="65" t="n"/>
      <c r="AK442" s="65" t="n"/>
      <c r="AL442" s="65" t="n"/>
      <c r="AM442" s="65" t="n"/>
      <c r="AN442" s="65" t="n"/>
      <c r="AO442" s="65" t="n"/>
      <c r="AP442" s="65" t="n"/>
    </row>
    <row r="443">
      <c r="F443" s="68" t="n"/>
      <c r="G443" s="68">
        <f>IF(B443="","",F443-I443 )</f>
        <v/>
      </c>
      <c r="H443" s="5">
        <f>IF(G443="","",G443/F443)</f>
        <v/>
      </c>
      <c r="J443" s="65" t="n"/>
      <c r="K443" s="65" t="n"/>
      <c r="L443" s="65" t="n"/>
      <c r="M443" s="65" t="n"/>
      <c r="N443" s="65" t="n"/>
      <c r="O443" s="65" t="n"/>
      <c r="P443" s="65" t="n"/>
      <c r="Q443" s="65" t="n"/>
      <c r="R443" s="65" t="n"/>
      <c r="S443" s="65" t="n"/>
      <c r="T443" s="65" t="n"/>
      <c r="U443" s="65" t="n"/>
      <c r="V443" s="77" t="n"/>
      <c r="W443" s="65" t="n"/>
      <c r="X443" s="65" t="n"/>
      <c r="Y443" s="65" t="n"/>
      <c r="Z443" s="65" t="n"/>
      <c r="AA443" s="65" t="n"/>
      <c r="AB443" s="65" t="n"/>
      <c r="AC443" s="65" t="n"/>
      <c r="AD443" s="65" t="n"/>
      <c r="AE443" s="65" t="n"/>
      <c r="AF443" s="65" t="n"/>
      <c r="AG443" s="65" t="n"/>
      <c r="AH443" s="65" t="n"/>
      <c r="AI443" s="65" t="n"/>
      <c r="AJ443" s="65" t="n"/>
      <c r="AK443" s="65" t="n"/>
      <c r="AL443" s="65" t="n"/>
      <c r="AM443" s="65" t="n"/>
      <c r="AN443" s="65" t="n"/>
      <c r="AO443" s="65" t="n"/>
      <c r="AP443" s="65" t="n"/>
    </row>
    <row r="444">
      <c r="F444" s="68" t="n"/>
      <c r="G444" s="68">
        <f>IF(B444="","",F444-I444 )</f>
        <v/>
      </c>
      <c r="H444" s="5">
        <f>IF(G444="","",G444/F444)</f>
        <v/>
      </c>
      <c r="J444" s="65" t="n"/>
      <c r="K444" s="65" t="n"/>
      <c r="L444" s="65" t="n"/>
      <c r="M444" s="65" t="n"/>
      <c r="N444" s="65" t="n"/>
      <c r="O444" s="65" t="n"/>
      <c r="P444" s="65" t="n"/>
      <c r="Q444" s="65" t="n"/>
      <c r="R444" s="65" t="n"/>
      <c r="S444" s="65" t="n"/>
      <c r="T444" s="65" t="n"/>
      <c r="U444" s="65" t="n"/>
      <c r="V444" s="77" t="n"/>
      <c r="W444" s="65" t="n"/>
      <c r="X444" s="65" t="n"/>
      <c r="Y444" s="65" t="n"/>
      <c r="Z444" s="65" t="n"/>
      <c r="AA444" s="65" t="n"/>
      <c r="AB444" s="65" t="n"/>
      <c r="AC444" s="65" t="n"/>
      <c r="AD444" s="65" t="n"/>
      <c r="AE444" s="65" t="n"/>
      <c r="AF444" s="65" t="n"/>
      <c r="AG444" s="65" t="n"/>
      <c r="AH444" s="65" t="n"/>
      <c r="AI444" s="65" t="n"/>
      <c r="AJ444" s="65" t="n"/>
      <c r="AK444" s="65" t="n"/>
      <c r="AL444" s="65" t="n"/>
      <c r="AM444" s="65" t="n"/>
      <c r="AN444" s="65" t="n"/>
      <c r="AO444" s="65" t="n"/>
      <c r="AP444" s="65" t="n"/>
    </row>
    <row r="445">
      <c r="F445" s="68" t="n"/>
      <c r="G445" s="68">
        <f>IF(B445="","",F445-I445 )</f>
        <v/>
      </c>
      <c r="H445" s="5">
        <f>IF(G445="","",G445/F445)</f>
        <v/>
      </c>
      <c r="J445" s="65" t="n"/>
      <c r="K445" s="65" t="n"/>
      <c r="L445" s="65" t="n"/>
      <c r="M445" s="65" t="n"/>
      <c r="N445" s="65" t="n"/>
      <c r="O445" s="65" t="n"/>
      <c r="P445" s="65" t="n"/>
      <c r="Q445" s="65" t="n"/>
      <c r="R445" s="65" t="n"/>
      <c r="S445" s="65" t="n"/>
      <c r="T445" s="65" t="n"/>
      <c r="U445" s="65" t="n"/>
      <c r="V445" s="77" t="n"/>
      <c r="W445" s="65" t="n"/>
      <c r="X445" s="65" t="n"/>
      <c r="Y445" s="65" t="n"/>
      <c r="Z445" s="65" t="n"/>
      <c r="AA445" s="65" t="n"/>
      <c r="AB445" s="65" t="n"/>
      <c r="AC445" s="65" t="n"/>
      <c r="AD445" s="65" t="n"/>
      <c r="AE445" s="65" t="n"/>
      <c r="AF445" s="65" t="n"/>
      <c r="AG445" s="65" t="n"/>
      <c r="AH445" s="65" t="n"/>
      <c r="AI445" s="65" t="n"/>
      <c r="AJ445" s="65" t="n"/>
      <c r="AK445" s="65" t="n"/>
      <c r="AL445" s="65" t="n"/>
      <c r="AM445" s="65" t="n"/>
      <c r="AN445" s="65" t="n"/>
      <c r="AO445" s="65" t="n"/>
      <c r="AP445" s="65" t="n"/>
    </row>
    <row r="446">
      <c r="F446" s="68" t="n"/>
      <c r="G446" s="68">
        <f>IF(B446="","",F446-I446 )</f>
        <v/>
      </c>
      <c r="H446" s="5">
        <f>IF(G446="","",G446/F446)</f>
        <v/>
      </c>
      <c r="J446" s="65" t="n"/>
      <c r="K446" s="65" t="n"/>
      <c r="L446" s="65" t="n"/>
      <c r="M446" s="65" t="n"/>
      <c r="N446" s="65" t="n"/>
      <c r="O446" s="65" t="n"/>
      <c r="P446" s="65" t="n"/>
      <c r="Q446" s="65" t="n"/>
      <c r="R446" s="65" t="n"/>
      <c r="S446" s="65" t="n"/>
      <c r="T446" s="65" t="n"/>
      <c r="U446" s="65" t="n"/>
      <c r="V446" s="77" t="n"/>
      <c r="W446" s="65" t="n"/>
      <c r="X446" s="65" t="n"/>
      <c r="Y446" s="65" t="n"/>
      <c r="Z446" s="65" t="n"/>
      <c r="AA446" s="65" t="n"/>
      <c r="AB446" s="65" t="n"/>
      <c r="AC446" s="65" t="n"/>
      <c r="AD446" s="65" t="n"/>
      <c r="AE446" s="65" t="n"/>
      <c r="AF446" s="65" t="n"/>
      <c r="AG446" s="65" t="n"/>
      <c r="AH446" s="65" t="n"/>
      <c r="AI446" s="65" t="n"/>
      <c r="AJ446" s="65" t="n"/>
      <c r="AK446" s="65" t="n"/>
      <c r="AL446" s="65" t="n"/>
      <c r="AM446" s="65" t="n"/>
      <c r="AN446" s="65" t="n"/>
      <c r="AO446" s="65" t="n"/>
      <c r="AP446" s="65" t="n"/>
    </row>
    <row r="447">
      <c r="F447" s="68" t="n"/>
      <c r="G447" s="68">
        <f>IF(B447="","",F447-I447 )</f>
        <v/>
      </c>
      <c r="H447" s="5">
        <f>IF(G447="","",G447/F447)</f>
        <v/>
      </c>
      <c r="J447" s="65" t="n"/>
      <c r="K447" s="65" t="n"/>
      <c r="L447" s="65" t="n"/>
      <c r="M447" s="65" t="n"/>
      <c r="N447" s="65" t="n"/>
      <c r="O447" s="65" t="n"/>
      <c r="P447" s="65" t="n"/>
      <c r="Q447" s="65" t="n"/>
      <c r="R447" s="65" t="n"/>
      <c r="S447" s="65" t="n"/>
      <c r="T447" s="65" t="n"/>
      <c r="U447" s="65" t="n"/>
      <c r="V447" s="77" t="n"/>
      <c r="W447" s="65" t="n"/>
      <c r="X447" s="65" t="n"/>
      <c r="Y447" s="65" t="n"/>
      <c r="Z447" s="65" t="n"/>
      <c r="AA447" s="65" t="n"/>
      <c r="AB447" s="65" t="n"/>
      <c r="AC447" s="65" t="n"/>
      <c r="AD447" s="65" t="n"/>
      <c r="AE447" s="65" t="n"/>
      <c r="AF447" s="65" t="n"/>
      <c r="AG447" s="65" t="n"/>
      <c r="AH447" s="65" t="n"/>
      <c r="AI447" s="65" t="n"/>
      <c r="AJ447" s="65" t="n"/>
      <c r="AK447" s="65" t="n"/>
      <c r="AL447" s="65" t="n"/>
      <c r="AM447" s="65" t="n"/>
      <c r="AN447" s="65" t="n"/>
      <c r="AO447" s="65" t="n"/>
      <c r="AP447" s="65" t="n"/>
    </row>
    <row r="448">
      <c r="F448" s="68" t="n"/>
      <c r="G448" s="68">
        <f>IF(B448="","",F448-I448 )</f>
        <v/>
      </c>
      <c r="H448" s="5">
        <f>IF(G448="","",G448/F448)</f>
        <v/>
      </c>
      <c r="J448" s="65" t="n"/>
      <c r="K448" s="65" t="n"/>
      <c r="L448" s="65" t="n"/>
      <c r="M448" s="65" t="n"/>
      <c r="N448" s="65" t="n"/>
      <c r="O448" s="65" t="n"/>
      <c r="P448" s="65" t="n"/>
      <c r="Q448" s="65" t="n"/>
      <c r="R448" s="65" t="n"/>
      <c r="S448" s="65" t="n"/>
      <c r="T448" s="65" t="n"/>
      <c r="U448" s="65" t="n"/>
      <c r="V448" s="77" t="n"/>
      <c r="W448" s="65" t="n"/>
      <c r="X448" s="65" t="n"/>
      <c r="Y448" s="65" t="n"/>
      <c r="Z448" s="65" t="n"/>
      <c r="AA448" s="65" t="n"/>
      <c r="AB448" s="65" t="n"/>
      <c r="AC448" s="65" t="n"/>
      <c r="AD448" s="65" t="n"/>
      <c r="AE448" s="65" t="n"/>
      <c r="AF448" s="65" t="n"/>
      <c r="AG448" s="65" t="n"/>
      <c r="AH448" s="65" t="n"/>
      <c r="AI448" s="65" t="n"/>
      <c r="AJ448" s="65" t="n"/>
      <c r="AK448" s="65" t="n"/>
      <c r="AL448" s="65" t="n"/>
      <c r="AM448" s="65" t="n"/>
      <c r="AN448" s="65" t="n"/>
      <c r="AO448" s="65" t="n"/>
      <c r="AP448" s="65" t="n"/>
    </row>
    <row r="449">
      <c r="F449" s="68" t="n"/>
      <c r="G449" s="68">
        <f>IF(B449="","",F449-I449 )</f>
        <v/>
      </c>
      <c r="H449" s="5">
        <f>IF(G449="","",G449/F449)</f>
        <v/>
      </c>
      <c r="J449" s="65" t="n"/>
      <c r="K449" s="65" t="n"/>
      <c r="L449" s="65" t="n"/>
      <c r="M449" s="65" t="n"/>
      <c r="N449" s="65" t="n"/>
      <c r="O449" s="65" t="n"/>
      <c r="P449" s="65" t="n"/>
      <c r="Q449" s="65" t="n"/>
      <c r="R449" s="65" t="n"/>
      <c r="S449" s="65" t="n"/>
      <c r="T449" s="65" t="n"/>
      <c r="U449" s="65" t="n"/>
      <c r="V449" s="77" t="n"/>
      <c r="W449" s="65" t="n"/>
      <c r="X449" s="65" t="n"/>
      <c r="Y449" s="65" t="n"/>
      <c r="Z449" s="65" t="n"/>
      <c r="AA449" s="65" t="n"/>
      <c r="AB449" s="65" t="n"/>
      <c r="AC449" s="65" t="n"/>
      <c r="AD449" s="65" t="n"/>
      <c r="AE449" s="65" t="n"/>
      <c r="AF449" s="65" t="n"/>
      <c r="AG449" s="65" t="n"/>
      <c r="AH449" s="65" t="n"/>
      <c r="AI449" s="65" t="n"/>
      <c r="AJ449" s="65" t="n"/>
      <c r="AK449" s="65" t="n"/>
      <c r="AL449" s="65" t="n"/>
      <c r="AM449" s="65" t="n"/>
      <c r="AN449" s="65" t="n"/>
      <c r="AO449" s="65" t="n"/>
      <c r="AP449" s="65" t="n"/>
    </row>
    <row r="450">
      <c r="F450" s="68" t="n"/>
      <c r="G450" s="68">
        <f>IF(B450="","",F450-I450 )</f>
        <v/>
      </c>
      <c r="H450" s="5">
        <f>IF(G450="","",G450/F450)</f>
        <v/>
      </c>
      <c r="J450" s="65" t="n"/>
      <c r="K450" s="65" t="n"/>
      <c r="L450" s="65" t="n"/>
      <c r="M450" s="65" t="n"/>
      <c r="N450" s="65" t="n"/>
      <c r="O450" s="65" t="n"/>
      <c r="P450" s="65" t="n"/>
      <c r="Q450" s="65" t="n"/>
      <c r="R450" s="65" t="n"/>
      <c r="S450" s="65" t="n"/>
      <c r="T450" s="65" t="n"/>
      <c r="U450" s="65" t="n"/>
      <c r="V450" s="77" t="n"/>
      <c r="W450" s="65" t="n"/>
      <c r="X450" s="65" t="n"/>
      <c r="Y450" s="65" t="n"/>
      <c r="Z450" s="65" t="n"/>
      <c r="AA450" s="65" t="n"/>
      <c r="AB450" s="65" t="n"/>
      <c r="AC450" s="65" t="n"/>
      <c r="AD450" s="65" t="n"/>
      <c r="AE450" s="65" t="n"/>
      <c r="AF450" s="65" t="n"/>
      <c r="AG450" s="65" t="n"/>
      <c r="AH450" s="65" t="n"/>
      <c r="AI450" s="65" t="n"/>
      <c r="AJ450" s="65" t="n"/>
      <c r="AK450" s="65" t="n"/>
      <c r="AL450" s="65" t="n"/>
      <c r="AM450" s="65" t="n"/>
      <c r="AN450" s="65" t="n"/>
      <c r="AO450" s="65" t="n"/>
      <c r="AP450" s="65" t="n"/>
    </row>
    <row r="451">
      <c r="F451" s="68" t="n"/>
      <c r="G451" s="68">
        <f>IF(B451="","",F451-I451 )</f>
        <v/>
      </c>
      <c r="H451" s="5">
        <f>IF(G451="","",G451/F451)</f>
        <v/>
      </c>
      <c r="J451" s="65" t="n"/>
      <c r="K451" s="65" t="n"/>
      <c r="L451" s="65" t="n"/>
      <c r="M451" s="65" t="n"/>
      <c r="N451" s="65" t="n"/>
      <c r="O451" s="65" t="n"/>
      <c r="P451" s="65" t="n"/>
      <c r="Q451" s="65" t="n"/>
      <c r="R451" s="65" t="n"/>
      <c r="S451" s="65" t="n"/>
      <c r="T451" s="65" t="n"/>
      <c r="U451" s="65" t="n"/>
      <c r="V451" s="77" t="n"/>
      <c r="W451" s="65" t="n"/>
      <c r="X451" s="65" t="n"/>
      <c r="Y451" s="65" t="n"/>
      <c r="Z451" s="65" t="n"/>
      <c r="AA451" s="65" t="n"/>
      <c r="AB451" s="65" t="n"/>
      <c r="AC451" s="65" t="n"/>
      <c r="AD451" s="65" t="n"/>
      <c r="AE451" s="65" t="n"/>
      <c r="AF451" s="65" t="n"/>
      <c r="AG451" s="65" t="n"/>
      <c r="AH451" s="65" t="n"/>
      <c r="AI451" s="65" t="n"/>
      <c r="AJ451" s="65" t="n"/>
      <c r="AK451" s="65" t="n"/>
      <c r="AL451" s="65" t="n"/>
      <c r="AM451" s="65" t="n"/>
      <c r="AN451" s="65" t="n"/>
      <c r="AO451" s="65" t="n"/>
      <c r="AP451" s="65" t="n"/>
    </row>
    <row r="452">
      <c r="F452" s="68" t="n"/>
      <c r="G452" s="68">
        <f>IF(B452="","",F452-I452 )</f>
        <v/>
      </c>
      <c r="H452" s="5">
        <f>IF(G452="","",G452/F452)</f>
        <v/>
      </c>
      <c r="J452" s="65" t="n"/>
      <c r="K452" s="65" t="n"/>
      <c r="L452" s="65" t="n"/>
      <c r="M452" s="65" t="n"/>
      <c r="N452" s="65" t="n"/>
      <c r="O452" s="65" t="n"/>
      <c r="P452" s="65" t="n"/>
      <c r="Q452" s="65" t="n"/>
      <c r="R452" s="65" t="n"/>
      <c r="S452" s="65" t="n"/>
      <c r="T452" s="65" t="n"/>
      <c r="U452" s="65" t="n"/>
      <c r="V452" s="77" t="n"/>
      <c r="W452" s="65" t="n"/>
      <c r="X452" s="65" t="n"/>
      <c r="Y452" s="65" t="n"/>
      <c r="Z452" s="65" t="n"/>
      <c r="AA452" s="65" t="n"/>
      <c r="AB452" s="65" t="n"/>
      <c r="AC452" s="65" t="n"/>
      <c r="AD452" s="65" t="n"/>
      <c r="AE452" s="65" t="n"/>
      <c r="AF452" s="65" t="n"/>
      <c r="AG452" s="65" t="n"/>
      <c r="AH452" s="65" t="n"/>
      <c r="AI452" s="65" t="n"/>
      <c r="AJ452" s="65" t="n"/>
      <c r="AK452" s="65" t="n"/>
      <c r="AL452" s="65" t="n"/>
      <c r="AM452" s="65" t="n"/>
      <c r="AN452" s="65" t="n"/>
      <c r="AO452" s="65" t="n"/>
      <c r="AP452" s="65" t="n"/>
    </row>
    <row r="453">
      <c r="F453" s="68" t="n"/>
      <c r="G453" s="68">
        <f>IF(B453="","",F453-I453 )</f>
        <v/>
      </c>
      <c r="H453" s="5">
        <f>IF(G453="","",G453/F453)</f>
        <v/>
      </c>
      <c r="J453" s="65" t="n"/>
      <c r="K453" s="65" t="n"/>
      <c r="L453" s="65" t="n"/>
      <c r="M453" s="65" t="n"/>
      <c r="N453" s="65" t="n"/>
      <c r="O453" s="65" t="n"/>
      <c r="P453" s="65" t="n"/>
      <c r="Q453" s="65" t="n"/>
      <c r="R453" s="65" t="n"/>
      <c r="S453" s="65" t="n"/>
      <c r="T453" s="65" t="n"/>
      <c r="U453" s="65" t="n"/>
      <c r="V453" s="77" t="n"/>
      <c r="W453" s="65" t="n"/>
      <c r="X453" s="65" t="n"/>
      <c r="Y453" s="65" t="n"/>
      <c r="Z453" s="65" t="n"/>
      <c r="AA453" s="65" t="n"/>
      <c r="AB453" s="65" t="n"/>
      <c r="AC453" s="65" t="n"/>
      <c r="AD453" s="65" t="n"/>
      <c r="AE453" s="65" t="n"/>
      <c r="AF453" s="65" t="n"/>
      <c r="AG453" s="65" t="n"/>
      <c r="AH453" s="65" t="n"/>
      <c r="AI453" s="65" t="n"/>
      <c r="AJ453" s="65" t="n"/>
      <c r="AK453" s="65" t="n"/>
      <c r="AL453" s="65" t="n"/>
      <c r="AM453" s="65" t="n"/>
      <c r="AN453" s="65" t="n"/>
      <c r="AO453" s="65" t="n"/>
      <c r="AP453" s="65" t="n"/>
    </row>
    <row r="454">
      <c r="F454" s="68" t="n"/>
      <c r="G454" s="68">
        <f>IF(B454="","",F454-I454 )</f>
        <v/>
      </c>
      <c r="H454" s="5">
        <f>IF(G454="","",G454/F454)</f>
        <v/>
      </c>
      <c r="J454" s="65" t="n"/>
      <c r="K454" s="65" t="n"/>
      <c r="L454" s="65" t="n"/>
      <c r="M454" s="65" t="n"/>
      <c r="N454" s="65" t="n"/>
      <c r="O454" s="65" t="n"/>
      <c r="P454" s="65" t="n"/>
      <c r="Q454" s="65" t="n"/>
      <c r="R454" s="65" t="n"/>
      <c r="S454" s="65" t="n"/>
      <c r="T454" s="65" t="n"/>
      <c r="U454" s="65" t="n"/>
      <c r="V454" s="77" t="n"/>
      <c r="W454" s="65" t="n"/>
      <c r="X454" s="65" t="n"/>
      <c r="Y454" s="65" t="n"/>
      <c r="Z454" s="65" t="n"/>
      <c r="AA454" s="65" t="n"/>
      <c r="AB454" s="65" t="n"/>
      <c r="AC454" s="65" t="n"/>
      <c r="AD454" s="65" t="n"/>
      <c r="AE454" s="65" t="n"/>
      <c r="AF454" s="65" t="n"/>
      <c r="AG454" s="65" t="n"/>
      <c r="AH454" s="65" t="n"/>
      <c r="AI454" s="65" t="n"/>
      <c r="AJ454" s="65" t="n"/>
      <c r="AK454" s="65" t="n"/>
      <c r="AL454" s="65" t="n"/>
      <c r="AM454" s="65" t="n"/>
      <c r="AN454" s="65" t="n"/>
      <c r="AO454" s="65" t="n"/>
      <c r="AP454" s="65" t="n"/>
    </row>
    <row r="455">
      <c r="F455" s="68" t="n"/>
      <c r="G455" s="68">
        <f>IF(B455="","",F455-I455 )</f>
        <v/>
      </c>
      <c r="H455" s="5">
        <f>IF(G455="","",G455/F455)</f>
        <v/>
      </c>
      <c r="J455" s="65" t="n"/>
      <c r="K455" s="65" t="n"/>
      <c r="L455" s="65" t="n"/>
      <c r="M455" s="65" t="n"/>
      <c r="N455" s="65" t="n"/>
      <c r="O455" s="65" t="n"/>
      <c r="P455" s="65" t="n"/>
      <c r="Q455" s="65" t="n"/>
      <c r="R455" s="65" t="n"/>
      <c r="S455" s="65" t="n"/>
      <c r="T455" s="65" t="n"/>
      <c r="U455" s="65" t="n"/>
      <c r="V455" s="77" t="n"/>
      <c r="W455" s="65" t="n"/>
      <c r="X455" s="65" t="n"/>
      <c r="Y455" s="65" t="n"/>
      <c r="Z455" s="65" t="n"/>
      <c r="AA455" s="65" t="n"/>
      <c r="AB455" s="65" t="n"/>
      <c r="AC455" s="65" t="n"/>
      <c r="AD455" s="65" t="n"/>
      <c r="AE455" s="65" t="n"/>
      <c r="AF455" s="65" t="n"/>
      <c r="AG455" s="65" t="n"/>
      <c r="AH455" s="65" t="n"/>
      <c r="AI455" s="65" t="n"/>
      <c r="AJ455" s="65" t="n"/>
      <c r="AK455" s="65" t="n"/>
      <c r="AL455" s="65" t="n"/>
      <c r="AM455" s="65" t="n"/>
      <c r="AN455" s="65" t="n"/>
      <c r="AO455" s="65" t="n"/>
      <c r="AP455" s="65" t="n"/>
    </row>
    <row r="456">
      <c r="F456" s="68" t="n"/>
      <c r="G456" s="68">
        <f>IF(B456="","",F456-I456 )</f>
        <v/>
      </c>
      <c r="H456" s="5">
        <f>IF(G456="","",G456/F456)</f>
        <v/>
      </c>
      <c r="J456" s="65" t="n"/>
      <c r="K456" s="65" t="n"/>
      <c r="L456" s="65" t="n"/>
      <c r="M456" s="65" t="n"/>
      <c r="N456" s="65" t="n"/>
      <c r="O456" s="65" t="n"/>
      <c r="P456" s="65" t="n"/>
      <c r="Q456" s="65" t="n"/>
      <c r="R456" s="65" t="n"/>
      <c r="S456" s="65" t="n"/>
      <c r="T456" s="65" t="n"/>
      <c r="U456" s="65" t="n"/>
      <c r="V456" s="77" t="n"/>
      <c r="W456" s="65" t="n"/>
      <c r="X456" s="65" t="n"/>
      <c r="Y456" s="65" t="n"/>
      <c r="Z456" s="65" t="n"/>
      <c r="AA456" s="65" t="n"/>
      <c r="AB456" s="65" t="n"/>
      <c r="AC456" s="65" t="n"/>
      <c r="AD456" s="65" t="n"/>
      <c r="AE456" s="65" t="n"/>
      <c r="AF456" s="65" t="n"/>
      <c r="AG456" s="65" t="n"/>
      <c r="AH456" s="65" t="n"/>
      <c r="AI456" s="65" t="n"/>
      <c r="AJ456" s="65" t="n"/>
      <c r="AK456" s="65" t="n"/>
      <c r="AL456" s="65" t="n"/>
      <c r="AM456" s="65" t="n"/>
      <c r="AN456" s="65" t="n"/>
      <c r="AO456" s="65" t="n"/>
      <c r="AP456" s="65" t="n"/>
    </row>
    <row r="457">
      <c r="F457" s="68" t="n"/>
      <c r="G457" s="68">
        <f>IF(B457="","",F457-I457 )</f>
        <v/>
      </c>
      <c r="H457" s="5">
        <f>IF(G457="","",G457/F457)</f>
        <v/>
      </c>
      <c r="J457" s="65" t="n"/>
      <c r="K457" s="65" t="n"/>
      <c r="L457" s="65" t="n"/>
      <c r="M457" s="65" t="n"/>
      <c r="N457" s="65" t="n"/>
      <c r="O457" s="65" t="n"/>
      <c r="P457" s="65" t="n"/>
      <c r="Q457" s="65" t="n"/>
      <c r="R457" s="65" t="n"/>
      <c r="S457" s="65" t="n"/>
      <c r="T457" s="65" t="n"/>
      <c r="U457" s="65" t="n"/>
      <c r="V457" s="77" t="n"/>
      <c r="W457" s="65" t="n"/>
      <c r="X457" s="65" t="n"/>
      <c r="Y457" s="65" t="n"/>
      <c r="Z457" s="65" t="n"/>
      <c r="AA457" s="65" t="n"/>
      <c r="AB457" s="65" t="n"/>
      <c r="AC457" s="65" t="n"/>
      <c r="AD457" s="65" t="n"/>
      <c r="AE457" s="65" t="n"/>
      <c r="AF457" s="65" t="n"/>
      <c r="AG457" s="65" t="n"/>
      <c r="AH457" s="65" t="n"/>
      <c r="AI457" s="65" t="n"/>
      <c r="AJ457" s="65" t="n"/>
      <c r="AK457" s="65" t="n"/>
      <c r="AL457" s="65" t="n"/>
      <c r="AM457" s="65" t="n"/>
      <c r="AN457" s="65" t="n"/>
      <c r="AO457" s="65" t="n"/>
      <c r="AP457" s="65" t="n"/>
    </row>
    <row r="458">
      <c r="F458" s="68" t="n"/>
      <c r="G458" s="68">
        <f>IF(B458="","",F458-I458 )</f>
        <v/>
      </c>
      <c r="H458" s="5">
        <f>IF(G458="","",G458/F458)</f>
        <v/>
      </c>
      <c r="J458" s="65" t="n"/>
      <c r="K458" s="65" t="n"/>
      <c r="L458" s="65" t="n"/>
      <c r="M458" s="65" t="n"/>
      <c r="N458" s="65" t="n"/>
      <c r="O458" s="65" t="n"/>
      <c r="P458" s="65" t="n"/>
      <c r="Q458" s="65" t="n"/>
      <c r="R458" s="65" t="n"/>
      <c r="S458" s="65" t="n"/>
      <c r="T458" s="65" t="n"/>
      <c r="U458" s="65" t="n"/>
      <c r="V458" s="77" t="n"/>
      <c r="W458" s="65" t="n"/>
      <c r="X458" s="65" t="n"/>
      <c r="Y458" s="65" t="n"/>
      <c r="Z458" s="65" t="n"/>
      <c r="AA458" s="65" t="n"/>
      <c r="AB458" s="65" t="n"/>
      <c r="AC458" s="65" t="n"/>
      <c r="AD458" s="65" t="n"/>
      <c r="AE458" s="65" t="n"/>
      <c r="AF458" s="65" t="n"/>
      <c r="AG458" s="65" t="n"/>
      <c r="AH458" s="65" t="n"/>
      <c r="AI458" s="65" t="n"/>
      <c r="AJ458" s="65" t="n"/>
      <c r="AK458" s="65" t="n"/>
      <c r="AL458" s="65" t="n"/>
      <c r="AM458" s="65" t="n"/>
      <c r="AN458" s="65" t="n"/>
      <c r="AO458" s="65" t="n"/>
      <c r="AP458" s="65" t="n"/>
    </row>
    <row r="459">
      <c r="F459" s="68" t="n"/>
      <c r="G459" s="68">
        <f>IF(B459="","",F459-I459 )</f>
        <v/>
      </c>
      <c r="H459" s="5">
        <f>IF(G459="","",G459/F459)</f>
        <v/>
      </c>
      <c r="J459" s="65" t="n"/>
      <c r="K459" s="65" t="n"/>
      <c r="L459" s="65" t="n"/>
      <c r="M459" s="65" t="n"/>
      <c r="N459" s="65" t="n"/>
      <c r="O459" s="65" t="n"/>
      <c r="P459" s="65" t="n"/>
      <c r="Q459" s="65" t="n"/>
      <c r="R459" s="65" t="n"/>
      <c r="S459" s="65" t="n"/>
      <c r="T459" s="65" t="n"/>
      <c r="U459" s="65" t="n"/>
      <c r="V459" s="77" t="n"/>
      <c r="W459" s="65" t="n"/>
      <c r="X459" s="65" t="n"/>
      <c r="Y459" s="65" t="n"/>
      <c r="Z459" s="65" t="n"/>
      <c r="AA459" s="65" t="n"/>
      <c r="AB459" s="65" t="n"/>
      <c r="AC459" s="65" t="n"/>
      <c r="AD459" s="65" t="n"/>
      <c r="AE459" s="65" t="n"/>
      <c r="AF459" s="65" t="n"/>
      <c r="AG459" s="65" t="n"/>
      <c r="AH459" s="65" t="n"/>
      <c r="AI459" s="65" t="n"/>
      <c r="AJ459" s="65" t="n"/>
      <c r="AK459" s="65" t="n"/>
      <c r="AL459" s="65" t="n"/>
      <c r="AM459" s="65" t="n"/>
      <c r="AN459" s="65" t="n"/>
      <c r="AO459" s="65" t="n"/>
      <c r="AP459" s="65" t="n"/>
    </row>
    <row r="460">
      <c r="F460" s="68" t="n"/>
      <c r="G460" s="68">
        <f>IF(B460="","",F460-I460 )</f>
        <v/>
      </c>
      <c r="H460" s="5">
        <f>IF(G460="","",G460/F460)</f>
        <v/>
      </c>
      <c r="J460" s="65" t="n"/>
      <c r="K460" s="65" t="n"/>
      <c r="L460" s="65" t="n"/>
      <c r="M460" s="65" t="n"/>
      <c r="N460" s="65" t="n"/>
      <c r="O460" s="65" t="n"/>
      <c r="P460" s="65" t="n"/>
      <c r="Q460" s="65" t="n"/>
      <c r="R460" s="65" t="n"/>
      <c r="S460" s="65" t="n"/>
      <c r="T460" s="65" t="n"/>
      <c r="U460" s="65" t="n"/>
      <c r="V460" s="77" t="n"/>
      <c r="W460" s="65" t="n"/>
      <c r="X460" s="65" t="n"/>
      <c r="Y460" s="65" t="n"/>
      <c r="Z460" s="65" t="n"/>
      <c r="AA460" s="65" t="n"/>
      <c r="AB460" s="65" t="n"/>
      <c r="AC460" s="65" t="n"/>
      <c r="AD460" s="65" t="n"/>
      <c r="AE460" s="65" t="n"/>
      <c r="AF460" s="65" t="n"/>
      <c r="AG460" s="65" t="n"/>
      <c r="AH460" s="65" t="n"/>
      <c r="AI460" s="65" t="n"/>
      <c r="AJ460" s="65" t="n"/>
      <c r="AK460" s="65" t="n"/>
      <c r="AL460" s="65" t="n"/>
      <c r="AM460" s="65" t="n"/>
      <c r="AN460" s="65" t="n"/>
      <c r="AO460" s="65" t="n"/>
      <c r="AP460" s="65" t="n"/>
    </row>
    <row r="461">
      <c r="F461" s="68" t="n"/>
      <c r="G461" s="68">
        <f>IF(B461="","",F461-I461 )</f>
        <v/>
      </c>
      <c r="H461" s="5">
        <f>IF(G461="","",G461/F461)</f>
        <v/>
      </c>
      <c r="J461" s="65" t="n"/>
      <c r="K461" s="65" t="n"/>
      <c r="L461" s="65" t="n"/>
      <c r="M461" s="65" t="n"/>
      <c r="N461" s="65" t="n"/>
      <c r="O461" s="65" t="n"/>
      <c r="P461" s="65" t="n"/>
      <c r="Q461" s="65" t="n"/>
      <c r="R461" s="65" t="n"/>
      <c r="S461" s="65" t="n"/>
      <c r="T461" s="65" t="n"/>
      <c r="U461" s="65" t="n"/>
      <c r="V461" s="77" t="n"/>
      <c r="W461" s="65" t="n"/>
      <c r="X461" s="65" t="n"/>
      <c r="Y461" s="65" t="n"/>
      <c r="Z461" s="65" t="n"/>
      <c r="AA461" s="65" t="n"/>
      <c r="AB461" s="65" t="n"/>
      <c r="AC461" s="65" t="n"/>
      <c r="AD461" s="65" t="n"/>
      <c r="AE461" s="65" t="n"/>
      <c r="AF461" s="65" t="n"/>
      <c r="AG461" s="65" t="n"/>
      <c r="AH461" s="65" t="n"/>
      <c r="AI461" s="65" t="n"/>
      <c r="AJ461" s="65" t="n"/>
      <c r="AK461" s="65" t="n"/>
      <c r="AL461" s="65" t="n"/>
      <c r="AM461" s="65" t="n"/>
      <c r="AN461" s="65" t="n"/>
      <c r="AO461" s="65" t="n"/>
      <c r="AP461" s="65" t="n"/>
    </row>
    <row r="462">
      <c r="F462" s="68" t="n"/>
      <c r="G462" s="68">
        <f>IF(B462="","",F462-I462 )</f>
        <v/>
      </c>
      <c r="H462" s="5">
        <f>IF(G462="","",G462/F462)</f>
        <v/>
      </c>
      <c r="J462" s="65" t="n"/>
      <c r="K462" s="65" t="n"/>
      <c r="L462" s="65" t="n"/>
      <c r="M462" s="65" t="n"/>
      <c r="N462" s="65" t="n"/>
      <c r="O462" s="65" t="n"/>
      <c r="P462" s="65" t="n"/>
      <c r="Q462" s="65" t="n"/>
      <c r="R462" s="65" t="n"/>
      <c r="S462" s="65" t="n"/>
      <c r="T462" s="65" t="n"/>
      <c r="U462" s="65" t="n"/>
      <c r="V462" s="77" t="n"/>
      <c r="W462" s="65" t="n"/>
      <c r="X462" s="65" t="n"/>
      <c r="Y462" s="65" t="n"/>
      <c r="Z462" s="65" t="n"/>
      <c r="AA462" s="65" t="n"/>
      <c r="AB462" s="65" t="n"/>
      <c r="AC462" s="65" t="n"/>
      <c r="AD462" s="65" t="n"/>
      <c r="AE462" s="65" t="n"/>
      <c r="AF462" s="65" t="n"/>
      <c r="AG462" s="65" t="n"/>
      <c r="AH462" s="65" t="n"/>
      <c r="AI462" s="65" t="n"/>
      <c r="AJ462" s="65" t="n"/>
      <c r="AK462" s="65" t="n"/>
      <c r="AL462" s="65" t="n"/>
      <c r="AM462" s="65" t="n"/>
      <c r="AN462" s="65" t="n"/>
      <c r="AO462" s="65" t="n"/>
      <c r="AP462" s="65" t="n"/>
    </row>
    <row r="463">
      <c r="F463" s="68" t="n"/>
      <c r="G463" s="68">
        <f>IF(B463="","",F463-I463 )</f>
        <v/>
      </c>
      <c r="H463" s="5">
        <f>IF(G463="","",G463/F463)</f>
        <v/>
      </c>
      <c r="J463" s="65" t="n"/>
      <c r="K463" s="65" t="n"/>
      <c r="L463" s="65" t="n"/>
      <c r="M463" s="65" t="n"/>
      <c r="N463" s="65" t="n"/>
      <c r="O463" s="65" t="n"/>
      <c r="P463" s="65" t="n"/>
      <c r="Q463" s="65" t="n"/>
      <c r="R463" s="65" t="n"/>
      <c r="S463" s="65" t="n"/>
      <c r="T463" s="65" t="n"/>
      <c r="U463" s="65" t="n"/>
      <c r="V463" s="77" t="n"/>
      <c r="W463" s="65" t="n"/>
      <c r="X463" s="65" t="n"/>
      <c r="Y463" s="65" t="n"/>
      <c r="Z463" s="65" t="n"/>
      <c r="AA463" s="65" t="n"/>
      <c r="AB463" s="65" t="n"/>
      <c r="AC463" s="65" t="n"/>
      <c r="AD463" s="65" t="n"/>
      <c r="AE463" s="65" t="n"/>
      <c r="AF463" s="65" t="n"/>
      <c r="AG463" s="65" t="n"/>
      <c r="AH463" s="65" t="n"/>
      <c r="AI463" s="65" t="n"/>
      <c r="AJ463" s="65" t="n"/>
      <c r="AK463" s="65" t="n"/>
      <c r="AL463" s="65" t="n"/>
      <c r="AM463" s="65" t="n"/>
      <c r="AN463" s="65" t="n"/>
      <c r="AO463" s="65" t="n"/>
      <c r="AP463" s="65" t="n"/>
    </row>
    <row r="464">
      <c r="F464" s="68" t="n"/>
      <c r="G464" s="68">
        <f>IF(B464="","",F464-I464 )</f>
        <v/>
      </c>
      <c r="H464" s="5">
        <f>IF(G464="","",G464/F464)</f>
        <v/>
      </c>
      <c r="J464" s="65" t="n"/>
      <c r="K464" s="65" t="n"/>
      <c r="L464" s="65" t="n"/>
      <c r="M464" s="65" t="n"/>
      <c r="N464" s="65" t="n"/>
      <c r="O464" s="65" t="n"/>
      <c r="P464" s="65" t="n"/>
      <c r="Q464" s="65" t="n"/>
      <c r="R464" s="65" t="n"/>
      <c r="S464" s="65" t="n"/>
      <c r="T464" s="65" t="n"/>
      <c r="U464" s="65" t="n"/>
      <c r="V464" s="77" t="n"/>
      <c r="W464" s="65" t="n"/>
      <c r="X464" s="65" t="n"/>
      <c r="Y464" s="65" t="n"/>
      <c r="Z464" s="65" t="n"/>
      <c r="AA464" s="65" t="n"/>
      <c r="AB464" s="65" t="n"/>
      <c r="AC464" s="65" t="n"/>
      <c r="AD464" s="65" t="n"/>
      <c r="AE464" s="65" t="n"/>
      <c r="AF464" s="65" t="n"/>
      <c r="AG464" s="65" t="n"/>
      <c r="AH464" s="65" t="n"/>
      <c r="AI464" s="65" t="n"/>
      <c r="AJ464" s="65" t="n"/>
      <c r="AK464" s="65" t="n"/>
      <c r="AL464" s="65" t="n"/>
      <c r="AM464" s="65" t="n"/>
      <c r="AN464" s="65" t="n"/>
      <c r="AO464" s="65" t="n"/>
      <c r="AP464" s="65" t="n"/>
    </row>
    <row r="465">
      <c r="F465" s="68" t="n"/>
      <c r="G465" s="68">
        <f>IF(B465="","",F465-I465 )</f>
        <v/>
      </c>
      <c r="H465" s="5">
        <f>IF(G465="","",G465/F465)</f>
        <v/>
      </c>
      <c r="J465" s="65" t="n"/>
      <c r="K465" s="65" t="n"/>
      <c r="L465" s="65" t="n"/>
      <c r="M465" s="65" t="n"/>
      <c r="N465" s="65" t="n"/>
      <c r="O465" s="65" t="n"/>
      <c r="P465" s="65" t="n"/>
      <c r="Q465" s="65" t="n"/>
      <c r="R465" s="65" t="n"/>
      <c r="S465" s="65" t="n"/>
      <c r="T465" s="65" t="n"/>
      <c r="U465" s="65" t="n"/>
      <c r="V465" s="77" t="n"/>
      <c r="W465" s="65" t="n"/>
      <c r="X465" s="65" t="n"/>
      <c r="Y465" s="65" t="n"/>
      <c r="Z465" s="65" t="n"/>
      <c r="AA465" s="65" t="n"/>
      <c r="AB465" s="65" t="n"/>
      <c r="AC465" s="65" t="n"/>
      <c r="AD465" s="65" t="n"/>
      <c r="AE465" s="65" t="n"/>
      <c r="AF465" s="65" t="n"/>
      <c r="AG465" s="65" t="n"/>
      <c r="AH465" s="65" t="n"/>
      <c r="AI465" s="65" t="n"/>
      <c r="AJ465" s="65" t="n"/>
      <c r="AK465" s="65" t="n"/>
      <c r="AL465" s="65" t="n"/>
      <c r="AM465" s="65" t="n"/>
      <c r="AN465" s="65" t="n"/>
      <c r="AO465" s="65" t="n"/>
      <c r="AP465" s="65" t="n"/>
    </row>
    <row r="466">
      <c r="F466" s="68" t="n"/>
      <c r="G466" s="68">
        <f>IF(B466="","",F466-I466 )</f>
        <v/>
      </c>
      <c r="H466" s="5">
        <f>IF(G466="","",G466/F466)</f>
        <v/>
      </c>
      <c r="J466" s="65" t="n"/>
      <c r="K466" s="65" t="n"/>
      <c r="L466" s="65" t="n"/>
      <c r="M466" s="65" t="n"/>
      <c r="N466" s="65" t="n"/>
      <c r="O466" s="65" t="n"/>
      <c r="P466" s="65" t="n"/>
      <c r="Q466" s="65" t="n"/>
      <c r="R466" s="65" t="n"/>
      <c r="S466" s="65" t="n"/>
      <c r="T466" s="65" t="n"/>
      <c r="U466" s="65" t="n"/>
      <c r="V466" s="77" t="n"/>
      <c r="W466" s="65" t="n"/>
      <c r="X466" s="65" t="n"/>
      <c r="Y466" s="65" t="n"/>
      <c r="Z466" s="65" t="n"/>
      <c r="AA466" s="65" t="n"/>
      <c r="AB466" s="65" t="n"/>
      <c r="AC466" s="65" t="n"/>
      <c r="AD466" s="65" t="n"/>
      <c r="AE466" s="65" t="n"/>
      <c r="AF466" s="65" t="n"/>
      <c r="AG466" s="65" t="n"/>
      <c r="AH466" s="65" t="n"/>
      <c r="AI466" s="65" t="n"/>
      <c r="AJ466" s="65" t="n"/>
      <c r="AK466" s="65" t="n"/>
      <c r="AL466" s="65" t="n"/>
      <c r="AM466" s="65" t="n"/>
      <c r="AN466" s="65" t="n"/>
      <c r="AO466" s="65" t="n"/>
      <c r="AP466" s="65" t="n"/>
    </row>
    <row r="467">
      <c r="F467" s="68" t="n"/>
      <c r="G467" s="68">
        <f>IF(B467="","",F467-I467 )</f>
        <v/>
      </c>
      <c r="H467" s="5">
        <f>IF(G467="","",G467/F467)</f>
        <v/>
      </c>
      <c r="J467" s="65" t="n"/>
      <c r="K467" s="65" t="n"/>
      <c r="L467" s="65" t="n"/>
      <c r="M467" s="65" t="n"/>
      <c r="N467" s="65" t="n"/>
      <c r="O467" s="65" t="n"/>
      <c r="P467" s="65" t="n"/>
      <c r="Q467" s="65" t="n"/>
      <c r="R467" s="65" t="n"/>
      <c r="S467" s="65" t="n"/>
      <c r="T467" s="65" t="n"/>
      <c r="U467" s="65" t="n"/>
      <c r="V467" s="77" t="n"/>
      <c r="W467" s="65" t="n"/>
      <c r="X467" s="65" t="n"/>
      <c r="Y467" s="65" t="n"/>
      <c r="Z467" s="65" t="n"/>
      <c r="AA467" s="65" t="n"/>
      <c r="AB467" s="65" t="n"/>
      <c r="AC467" s="65" t="n"/>
      <c r="AD467" s="65" t="n"/>
      <c r="AE467" s="65" t="n"/>
      <c r="AF467" s="65" t="n"/>
      <c r="AG467" s="65" t="n"/>
      <c r="AH467" s="65" t="n"/>
      <c r="AI467" s="65" t="n"/>
      <c r="AJ467" s="65" t="n"/>
      <c r="AK467" s="65" t="n"/>
      <c r="AL467" s="65" t="n"/>
      <c r="AM467" s="65" t="n"/>
      <c r="AN467" s="65" t="n"/>
      <c r="AO467" s="65" t="n"/>
      <c r="AP467" s="65" t="n"/>
    </row>
    <row r="468">
      <c r="F468" s="68" t="n"/>
      <c r="G468" s="68">
        <f>IF(B468="","",F468-I468 )</f>
        <v/>
      </c>
      <c r="H468" s="5">
        <f>IF(G468="","",G468/F468)</f>
        <v/>
      </c>
      <c r="J468" s="65" t="n"/>
      <c r="K468" s="65" t="n"/>
      <c r="L468" s="65" t="n"/>
      <c r="M468" s="65" t="n"/>
      <c r="N468" s="65" t="n"/>
      <c r="O468" s="65" t="n"/>
      <c r="P468" s="65" t="n"/>
      <c r="Q468" s="65" t="n"/>
      <c r="R468" s="65" t="n"/>
      <c r="S468" s="65" t="n"/>
      <c r="T468" s="65" t="n"/>
      <c r="U468" s="65" t="n"/>
      <c r="V468" s="77" t="n"/>
      <c r="W468" s="65" t="n"/>
      <c r="X468" s="65" t="n"/>
      <c r="Y468" s="65" t="n"/>
      <c r="Z468" s="65" t="n"/>
      <c r="AA468" s="65" t="n"/>
      <c r="AB468" s="65" t="n"/>
      <c r="AC468" s="65" t="n"/>
      <c r="AD468" s="65" t="n"/>
      <c r="AE468" s="65" t="n"/>
      <c r="AF468" s="65" t="n"/>
      <c r="AG468" s="65" t="n"/>
      <c r="AH468" s="65" t="n"/>
      <c r="AI468" s="65" t="n"/>
      <c r="AJ468" s="65" t="n"/>
      <c r="AK468" s="65" t="n"/>
      <c r="AL468" s="65" t="n"/>
      <c r="AM468" s="65" t="n"/>
      <c r="AN468" s="65" t="n"/>
      <c r="AO468" s="65" t="n"/>
      <c r="AP468" s="65" t="n"/>
    </row>
    <row r="469">
      <c r="F469" s="68" t="n"/>
      <c r="G469" s="68">
        <f>IF(B469="","",F469-I469 )</f>
        <v/>
      </c>
      <c r="H469" s="5">
        <f>IF(G469="","",G469/F469)</f>
        <v/>
      </c>
      <c r="J469" s="65" t="n"/>
      <c r="K469" s="65" t="n"/>
      <c r="L469" s="65" t="n"/>
      <c r="M469" s="65" t="n"/>
      <c r="N469" s="65" t="n"/>
      <c r="O469" s="65" t="n"/>
      <c r="P469" s="65" t="n"/>
      <c r="Q469" s="65" t="n"/>
      <c r="R469" s="65" t="n"/>
      <c r="S469" s="65" t="n"/>
      <c r="T469" s="65" t="n"/>
      <c r="U469" s="65" t="n"/>
      <c r="V469" s="77" t="n"/>
      <c r="W469" s="65" t="n"/>
      <c r="X469" s="65" t="n"/>
      <c r="Y469" s="65" t="n"/>
      <c r="Z469" s="65" t="n"/>
      <c r="AA469" s="65" t="n"/>
      <c r="AB469" s="65" t="n"/>
      <c r="AC469" s="65" t="n"/>
      <c r="AD469" s="65" t="n"/>
      <c r="AE469" s="65" t="n"/>
      <c r="AF469" s="65" t="n"/>
      <c r="AG469" s="65" t="n"/>
      <c r="AH469" s="65" t="n"/>
      <c r="AI469" s="65" t="n"/>
      <c r="AJ469" s="65" t="n"/>
      <c r="AK469" s="65" t="n"/>
      <c r="AL469" s="65" t="n"/>
      <c r="AM469" s="65" t="n"/>
      <c r="AN469" s="65" t="n"/>
      <c r="AO469" s="65" t="n"/>
      <c r="AP469" s="65" t="n"/>
    </row>
    <row r="470">
      <c r="F470" s="68" t="n"/>
      <c r="G470" s="68">
        <f>IF(B470="","",F470-I470 )</f>
        <v/>
      </c>
      <c r="H470" s="5">
        <f>IF(G470="","",G470/F470)</f>
        <v/>
      </c>
      <c r="J470" s="65" t="n"/>
      <c r="K470" s="65" t="n"/>
      <c r="L470" s="65" t="n"/>
      <c r="M470" s="65" t="n"/>
      <c r="N470" s="65" t="n"/>
      <c r="O470" s="65" t="n"/>
      <c r="P470" s="65" t="n"/>
      <c r="Q470" s="65" t="n"/>
      <c r="R470" s="65" t="n"/>
      <c r="S470" s="65" t="n"/>
      <c r="T470" s="65" t="n"/>
      <c r="U470" s="65" t="n"/>
      <c r="V470" s="77" t="n"/>
      <c r="W470" s="65" t="n"/>
      <c r="X470" s="65" t="n"/>
      <c r="Y470" s="65" t="n"/>
      <c r="Z470" s="65" t="n"/>
      <c r="AA470" s="65" t="n"/>
      <c r="AB470" s="65" t="n"/>
      <c r="AC470" s="65" t="n"/>
      <c r="AD470" s="65" t="n"/>
      <c r="AE470" s="65" t="n"/>
      <c r="AF470" s="65" t="n"/>
      <c r="AG470" s="65" t="n"/>
      <c r="AH470" s="65" t="n"/>
      <c r="AI470" s="65" t="n"/>
      <c r="AJ470" s="65" t="n"/>
      <c r="AK470" s="65" t="n"/>
      <c r="AL470" s="65" t="n"/>
      <c r="AM470" s="65" t="n"/>
      <c r="AN470" s="65" t="n"/>
      <c r="AO470" s="65" t="n"/>
      <c r="AP470" s="65" t="n"/>
    </row>
    <row r="471">
      <c r="F471" s="68" t="n"/>
      <c r="G471" s="68">
        <f>IF(B471="","",F471-I471 )</f>
        <v/>
      </c>
      <c r="H471" s="5">
        <f>IF(G471="","",G471/F471)</f>
        <v/>
      </c>
      <c r="J471" s="65" t="n"/>
      <c r="K471" s="65" t="n"/>
      <c r="L471" s="65" t="n"/>
      <c r="M471" s="65" t="n"/>
      <c r="N471" s="65" t="n"/>
      <c r="O471" s="65" t="n"/>
      <c r="P471" s="65" t="n"/>
      <c r="Q471" s="65" t="n"/>
      <c r="R471" s="65" t="n"/>
      <c r="S471" s="65" t="n"/>
      <c r="T471" s="65" t="n"/>
      <c r="U471" s="65" t="n"/>
      <c r="V471" s="77" t="n"/>
      <c r="W471" s="65" t="n"/>
      <c r="X471" s="65" t="n"/>
      <c r="Y471" s="65" t="n"/>
      <c r="Z471" s="65" t="n"/>
      <c r="AA471" s="65" t="n"/>
      <c r="AB471" s="65" t="n"/>
      <c r="AC471" s="65" t="n"/>
      <c r="AD471" s="65" t="n"/>
      <c r="AE471" s="65" t="n"/>
      <c r="AF471" s="65" t="n"/>
      <c r="AG471" s="65" t="n"/>
      <c r="AH471" s="65" t="n"/>
      <c r="AI471" s="65" t="n"/>
      <c r="AJ471" s="65" t="n"/>
      <c r="AK471" s="65" t="n"/>
      <c r="AL471" s="65" t="n"/>
      <c r="AM471" s="65" t="n"/>
      <c r="AN471" s="65" t="n"/>
      <c r="AO471" s="65" t="n"/>
      <c r="AP471" s="65" t="n"/>
    </row>
    <row r="472">
      <c r="F472" s="68" t="n"/>
      <c r="G472" s="68">
        <f>IF(B472="","",F472-I472 )</f>
        <v/>
      </c>
      <c r="H472" s="5">
        <f>IF(G472="","",G472/F472)</f>
        <v/>
      </c>
      <c r="J472" s="65" t="n"/>
      <c r="K472" s="65" t="n"/>
      <c r="L472" s="65" t="n"/>
      <c r="M472" s="65" t="n"/>
      <c r="N472" s="65" t="n"/>
      <c r="O472" s="65" t="n"/>
      <c r="P472" s="65" t="n"/>
      <c r="Q472" s="65" t="n"/>
      <c r="R472" s="65" t="n"/>
      <c r="S472" s="65" t="n"/>
      <c r="T472" s="65" t="n"/>
      <c r="U472" s="65" t="n"/>
      <c r="V472" s="77" t="n"/>
      <c r="W472" s="65" t="n"/>
      <c r="X472" s="65" t="n"/>
      <c r="Y472" s="65" t="n"/>
      <c r="Z472" s="65" t="n"/>
      <c r="AA472" s="65" t="n"/>
      <c r="AB472" s="65" t="n"/>
      <c r="AC472" s="65" t="n"/>
      <c r="AD472" s="65" t="n"/>
      <c r="AE472" s="65" t="n"/>
      <c r="AF472" s="65" t="n"/>
      <c r="AG472" s="65" t="n"/>
      <c r="AH472" s="65" t="n"/>
      <c r="AI472" s="65" t="n"/>
      <c r="AJ472" s="65" t="n"/>
      <c r="AK472" s="65" t="n"/>
      <c r="AL472" s="65" t="n"/>
      <c r="AM472" s="65" t="n"/>
      <c r="AN472" s="65" t="n"/>
      <c r="AO472" s="65" t="n"/>
      <c r="AP472" s="65" t="n"/>
    </row>
    <row r="473">
      <c r="F473" s="68" t="n"/>
      <c r="G473" s="68">
        <f>IF(B473="","",F473-I473 )</f>
        <v/>
      </c>
      <c r="H473" s="5">
        <f>IF(G473="","",G473/F473)</f>
        <v/>
      </c>
      <c r="J473" s="65" t="n"/>
      <c r="K473" s="65" t="n"/>
      <c r="L473" s="65" t="n"/>
      <c r="M473" s="65" t="n"/>
      <c r="N473" s="65" t="n"/>
      <c r="O473" s="65" t="n"/>
      <c r="P473" s="65" t="n"/>
      <c r="Q473" s="65" t="n"/>
      <c r="R473" s="65" t="n"/>
      <c r="S473" s="65" t="n"/>
      <c r="T473" s="65" t="n"/>
      <c r="U473" s="65" t="n"/>
      <c r="V473" s="77" t="n"/>
      <c r="W473" s="65" t="n"/>
      <c r="X473" s="65" t="n"/>
      <c r="Y473" s="65" t="n"/>
      <c r="Z473" s="65" t="n"/>
      <c r="AA473" s="65" t="n"/>
      <c r="AB473" s="65" t="n"/>
      <c r="AC473" s="65" t="n"/>
      <c r="AD473" s="65" t="n"/>
      <c r="AE473" s="65" t="n"/>
      <c r="AF473" s="65" t="n"/>
      <c r="AG473" s="65" t="n"/>
      <c r="AH473" s="65" t="n"/>
      <c r="AI473" s="65" t="n"/>
      <c r="AJ473" s="65" t="n"/>
      <c r="AK473" s="65" t="n"/>
      <c r="AL473" s="65" t="n"/>
      <c r="AM473" s="65" t="n"/>
      <c r="AN473" s="65" t="n"/>
      <c r="AO473" s="65" t="n"/>
      <c r="AP473" s="65" t="n"/>
    </row>
    <row r="474">
      <c r="F474" s="68" t="n"/>
      <c r="G474" s="68">
        <f>IF(B474="","",F474-I474 )</f>
        <v/>
      </c>
      <c r="H474" s="5">
        <f>IF(G474="","",G474/F474)</f>
        <v/>
      </c>
      <c r="J474" s="65" t="n"/>
      <c r="K474" s="65" t="n"/>
      <c r="L474" s="65" t="n"/>
      <c r="M474" s="65" t="n"/>
      <c r="N474" s="65" t="n"/>
      <c r="O474" s="65" t="n"/>
      <c r="P474" s="65" t="n"/>
      <c r="Q474" s="65" t="n"/>
      <c r="R474" s="65" t="n"/>
      <c r="S474" s="65" t="n"/>
      <c r="T474" s="65" t="n"/>
      <c r="U474" s="65" t="n"/>
      <c r="V474" s="77" t="n"/>
      <c r="W474" s="65" t="n"/>
      <c r="X474" s="65" t="n"/>
      <c r="Y474" s="65" t="n"/>
      <c r="Z474" s="65" t="n"/>
      <c r="AA474" s="65" t="n"/>
      <c r="AB474" s="65" t="n"/>
      <c r="AC474" s="65" t="n"/>
      <c r="AD474" s="65" t="n"/>
      <c r="AE474" s="65" t="n"/>
      <c r="AF474" s="65" t="n"/>
      <c r="AG474" s="65" t="n"/>
      <c r="AH474" s="65" t="n"/>
      <c r="AI474" s="65" t="n"/>
      <c r="AJ474" s="65" t="n"/>
      <c r="AK474" s="65" t="n"/>
      <c r="AL474" s="65" t="n"/>
      <c r="AM474" s="65" t="n"/>
      <c r="AN474" s="65" t="n"/>
      <c r="AO474" s="65" t="n"/>
      <c r="AP474" s="65" t="n"/>
    </row>
    <row r="475">
      <c r="F475" s="68" t="n"/>
      <c r="G475" s="68">
        <f>IF(B475="","",F475-I475 )</f>
        <v/>
      </c>
      <c r="H475" s="5">
        <f>IF(G475="","",G475/F475)</f>
        <v/>
      </c>
      <c r="J475" s="65" t="n"/>
      <c r="K475" s="65" t="n"/>
      <c r="L475" s="65" t="n"/>
      <c r="M475" s="65" t="n"/>
      <c r="N475" s="65" t="n"/>
      <c r="O475" s="65" t="n"/>
      <c r="P475" s="65" t="n"/>
      <c r="Q475" s="65" t="n"/>
      <c r="R475" s="65" t="n"/>
      <c r="S475" s="65" t="n"/>
      <c r="T475" s="65" t="n"/>
      <c r="U475" s="65" t="n"/>
      <c r="V475" s="77" t="n"/>
      <c r="W475" s="65" t="n"/>
      <c r="X475" s="65" t="n"/>
      <c r="Y475" s="65" t="n"/>
      <c r="Z475" s="65" t="n"/>
      <c r="AA475" s="65" t="n"/>
      <c r="AB475" s="65" t="n"/>
      <c r="AC475" s="65" t="n"/>
      <c r="AD475" s="65" t="n"/>
      <c r="AE475" s="65" t="n"/>
      <c r="AF475" s="65" t="n"/>
      <c r="AG475" s="65" t="n"/>
      <c r="AH475" s="65" t="n"/>
      <c r="AI475" s="65" t="n"/>
      <c r="AJ475" s="65" t="n"/>
      <c r="AK475" s="65" t="n"/>
      <c r="AL475" s="65" t="n"/>
      <c r="AM475" s="65" t="n"/>
      <c r="AN475" s="65" t="n"/>
      <c r="AO475" s="65" t="n"/>
      <c r="AP475" s="65" t="n"/>
    </row>
    <row r="476">
      <c r="F476" s="68" t="n"/>
      <c r="G476" s="68">
        <f>IF(B476="","",F476-I476 )</f>
        <v/>
      </c>
      <c r="H476" s="5">
        <f>IF(G476="","",G476/F476)</f>
        <v/>
      </c>
      <c r="J476" s="65" t="n"/>
      <c r="K476" s="65" t="n"/>
      <c r="L476" s="65" t="n"/>
      <c r="M476" s="65" t="n"/>
      <c r="N476" s="65" t="n"/>
      <c r="O476" s="65" t="n"/>
      <c r="P476" s="65" t="n"/>
      <c r="Q476" s="65" t="n"/>
      <c r="R476" s="65" t="n"/>
      <c r="S476" s="65" t="n"/>
      <c r="T476" s="65" t="n"/>
      <c r="U476" s="65" t="n"/>
      <c r="V476" s="77" t="n"/>
      <c r="W476" s="65" t="n"/>
      <c r="X476" s="65" t="n"/>
      <c r="Y476" s="65" t="n"/>
      <c r="Z476" s="65" t="n"/>
      <c r="AA476" s="65" t="n"/>
      <c r="AB476" s="65" t="n"/>
      <c r="AC476" s="65" t="n"/>
      <c r="AD476" s="65" t="n"/>
      <c r="AE476" s="65" t="n"/>
      <c r="AF476" s="65" t="n"/>
      <c r="AG476" s="65" t="n"/>
      <c r="AH476" s="65" t="n"/>
      <c r="AI476" s="65" t="n"/>
      <c r="AJ476" s="65" t="n"/>
      <c r="AK476" s="65" t="n"/>
      <c r="AL476" s="65" t="n"/>
      <c r="AM476" s="65" t="n"/>
      <c r="AN476" s="65" t="n"/>
      <c r="AO476" s="65" t="n"/>
      <c r="AP476" s="65" t="n"/>
    </row>
    <row r="477">
      <c r="F477" s="68" t="n"/>
      <c r="G477" s="68">
        <f>IF(B477="","",F477-I477 )</f>
        <v/>
      </c>
      <c r="H477" s="5">
        <f>IF(G477="","",G477/F477)</f>
        <v/>
      </c>
      <c r="J477" s="65" t="n"/>
      <c r="K477" s="65" t="n"/>
      <c r="L477" s="65" t="n"/>
      <c r="M477" s="65" t="n"/>
      <c r="N477" s="65" t="n"/>
      <c r="O477" s="65" t="n"/>
      <c r="P477" s="65" t="n"/>
      <c r="Q477" s="65" t="n"/>
      <c r="R477" s="65" t="n"/>
      <c r="S477" s="65" t="n"/>
      <c r="T477" s="65" t="n"/>
      <c r="U477" s="65" t="n"/>
      <c r="V477" s="77" t="n"/>
      <c r="W477" s="65" t="n"/>
      <c r="X477" s="65" t="n"/>
      <c r="Y477" s="65" t="n"/>
      <c r="Z477" s="65" t="n"/>
      <c r="AA477" s="65" t="n"/>
      <c r="AB477" s="65" t="n"/>
      <c r="AC477" s="65" t="n"/>
      <c r="AD477" s="65" t="n"/>
      <c r="AE477" s="65" t="n"/>
      <c r="AF477" s="65" t="n"/>
      <c r="AG477" s="65" t="n"/>
      <c r="AH477" s="65" t="n"/>
      <c r="AI477" s="65" t="n"/>
      <c r="AJ477" s="65" t="n"/>
      <c r="AK477" s="65" t="n"/>
      <c r="AL477" s="65" t="n"/>
      <c r="AM477" s="65" t="n"/>
      <c r="AN477" s="65" t="n"/>
      <c r="AO477" s="65" t="n"/>
      <c r="AP477" s="65" t="n"/>
    </row>
    <row r="478">
      <c r="F478" s="68" t="n"/>
      <c r="G478" s="68">
        <f>IF(B478="","",F478-I478 )</f>
        <v/>
      </c>
      <c r="H478" s="5">
        <f>IF(G478="","",G478/F478)</f>
        <v/>
      </c>
      <c r="J478" s="65" t="n"/>
      <c r="K478" s="65" t="n"/>
      <c r="L478" s="65" t="n"/>
      <c r="M478" s="65" t="n"/>
      <c r="N478" s="65" t="n"/>
      <c r="O478" s="65" t="n"/>
      <c r="P478" s="65" t="n"/>
      <c r="Q478" s="65" t="n"/>
      <c r="R478" s="65" t="n"/>
      <c r="S478" s="65" t="n"/>
      <c r="T478" s="65" t="n"/>
      <c r="U478" s="65" t="n"/>
      <c r="V478" s="77" t="n"/>
      <c r="W478" s="65" t="n"/>
      <c r="X478" s="65" t="n"/>
      <c r="Y478" s="65" t="n"/>
      <c r="Z478" s="65" t="n"/>
      <c r="AA478" s="65" t="n"/>
      <c r="AB478" s="65" t="n"/>
      <c r="AC478" s="65" t="n"/>
      <c r="AD478" s="65" t="n"/>
      <c r="AE478" s="65" t="n"/>
      <c r="AF478" s="65" t="n"/>
      <c r="AG478" s="65" t="n"/>
      <c r="AH478" s="65" t="n"/>
      <c r="AI478" s="65" t="n"/>
      <c r="AJ478" s="65" t="n"/>
      <c r="AK478" s="65" t="n"/>
      <c r="AL478" s="65" t="n"/>
      <c r="AM478" s="65" t="n"/>
      <c r="AN478" s="65" t="n"/>
      <c r="AO478" s="65" t="n"/>
      <c r="AP478" s="65" t="n"/>
    </row>
    <row r="479">
      <c r="F479" s="68" t="n"/>
      <c r="G479" s="68">
        <f>IF(B479="","",F479-I479 )</f>
        <v/>
      </c>
      <c r="H479" s="5">
        <f>IF(G479="","",G479/F479)</f>
        <v/>
      </c>
      <c r="J479" s="65" t="n"/>
      <c r="K479" s="65" t="n"/>
      <c r="L479" s="65" t="n"/>
      <c r="M479" s="65" t="n"/>
      <c r="N479" s="65" t="n"/>
      <c r="O479" s="65" t="n"/>
      <c r="P479" s="65" t="n"/>
      <c r="Q479" s="65" t="n"/>
      <c r="R479" s="65" t="n"/>
      <c r="S479" s="65" t="n"/>
      <c r="T479" s="65" t="n"/>
      <c r="U479" s="65" t="n"/>
      <c r="V479" s="77" t="n"/>
      <c r="W479" s="65" t="n"/>
      <c r="X479" s="65" t="n"/>
      <c r="Y479" s="65" t="n"/>
      <c r="Z479" s="65" t="n"/>
      <c r="AA479" s="65" t="n"/>
      <c r="AB479" s="65" t="n"/>
      <c r="AC479" s="65" t="n"/>
      <c r="AD479" s="65" t="n"/>
      <c r="AE479" s="65" t="n"/>
      <c r="AF479" s="65" t="n"/>
      <c r="AG479" s="65" t="n"/>
      <c r="AH479" s="65" t="n"/>
      <c r="AI479" s="65" t="n"/>
      <c r="AJ479" s="65" t="n"/>
      <c r="AK479" s="65" t="n"/>
      <c r="AL479" s="65" t="n"/>
      <c r="AM479" s="65" t="n"/>
      <c r="AN479" s="65" t="n"/>
      <c r="AO479" s="65" t="n"/>
      <c r="AP479" s="65" t="n"/>
    </row>
    <row r="480">
      <c r="F480" s="68" t="n"/>
      <c r="G480" s="68">
        <f>IF(B480="","",F480-I480 )</f>
        <v/>
      </c>
      <c r="H480" s="5">
        <f>IF(G480="","",G480/F480)</f>
        <v/>
      </c>
      <c r="J480" s="65" t="n"/>
      <c r="K480" s="65" t="n"/>
      <c r="L480" s="65" t="n"/>
      <c r="M480" s="65" t="n"/>
      <c r="N480" s="65" t="n"/>
      <c r="O480" s="65" t="n"/>
      <c r="P480" s="65" t="n"/>
      <c r="Q480" s="65" t="n"/>
      <c r="R480" s="65" t="n"/>
      <c r="S480" s="65" t="n"/>
      <c r="T480" s="65" t="n"/>
      <c r="U480" s="65" t="n"/>
      <c r="V480" s="77" t="n"/>
      <c r="W480" s="65" t="n"/>
      <c r="X480" s="65" t="n"/>
      <c r="Y480" s="65" t="n"/>
      <c r="Z480" s="65" t="n"/>
      <c r="AA480" s="65" t="n"/>
      <c r="AB480" s="65" t="n"/>
      <c r="AC480" s="65" t="n"/>
      <c r="AD480" s="65" t="n"/>
      <c r="AE480" s="65" t="n"/>
      <c r="AF480" s="65" t="n"/>
      <c r="AG480" s="65" t="n"/>
      <c r="AH480" s="65" t="n"/>
      <c r="AI480" s="65" t="n"/>
      <c r="AJ480" s="65" t="n"/>
      <c r="AK480" s="65" t="n"/>
      <c r="AL480" s="65" t="n"/>
      <c r="AM480" s="65" t="n"/>
      <c r="AN480" s="65" t="n"/>
      <c r="AO480" s="65" t="n"/>
      <c r="AP480" s="65" t="n"/>
    </row>
    <row r="481">
      <c r="F481" s="68" t="n"/>
      <c r="G481" s="68">
        <f>IF(B481="","",F481-I481 )</f>
        <v/>
      </c>
      <c r="H481" s="5">
        <f>IF(G481="","",G481/F481)</f>
        <v/>
      </c>
      <c r="J481" s="65" t="n"/>
      <c r="K481" s="65" t="n"/>
      <c r="L481" s="65" t="n"/>
      <c r="M481" s="65" t="n"/>
      <c r="N481" s="65" t="n"/>
      <c r="O481" s="65" t="n"/>
      <c r="P481" s="65" t="n"/>
      <c r="Q481" s="65" t="n"/>
      <c r="R481" s="65" t="n"/>
      <c r="S481" s="65" t="n"/>
      <c r="T481" s="65" t="n"/>
      <c r="U481" s="65" t="n"/>
      <c r="V481" s="77" t="n"/>
      <c r="W481" s="65" t="n"/>
      <c r="X481" s="65" t="n"/>
      <c r="Y481" s="65" t="n"/>
      <c r="Z481" s="65" t="n"/>
      <c r="AA481" s="65" t="n"/>
      <c r="AB481" s="65" t="n"/>
      <c r="AC481" s="65" t="n"/>
      <c r="AD481" s="65" t="n"/>
      <c r="AE481" s="65" t="n"/>
      <c r="AF481" s="65" t="n"/>
      <c r="AG481" s="65" t="n"/>
      <c r="AH481" s="65" t="n"/>
      <c r="AI481" s="65" t="n"/>
      <c r="AJ481" s="65" t="n"/>
      <c r="AK481" s="65" t="n"/>
      <c r="AL481" s="65" t="n"/>
      <c r="AM481" s="65" t="n"/>
      <c r="AN481" s="65" t="n"/>
      <c r="AO481" s="65" t="n"/>
      <c r="AP481" s="65" t="n"/>
    </row>
    <row r="482">
      <c r="F482" s="68" t="n"/>
      <c r="G482" s="68">
        <f>IF(B482="","",F482-I482 )</f>
        <v/>
      </c>
      <c r="H482" s="5">
        <f>IF(G482="","",G482/F482)</f>
        <v/>
      </c>
      <c r="J482" s="65" t="n"/>
      <c r="K482" s="65" t="n"/>
      <c r="L482" s="65" t="n"/>
      <c r="M482" s="65" t="n"/>
      <c r="N482" s="65" t="n"/>
      <c r="O482" s="65" t="n"/>
      <c r="P482" s="65" t="n"/>
      <c r="Q482" s="65" t="n"/>
      <c r="R482" s="65" t="n"/>
      <c r="S482" s="65" t="n"/>
      <c r="T482" s="65" t="n"/>
      <c r="U482" s="65" t="n"/>
      <c r="V482" s="77" t="n"/>
      <c r="W482" s="65" t="n"/>
      <c r="X482" s="65" t="n"/>
      <c r="Y482" s="65" t="n"/>
      <c r="Z482" s="65" t="n"/>
      <c r="AA482" s="65" t="n"/>
      <c r="AB482" s="65" t="n"/>
      <c r="AC482" s="65" t="n"/>
      <c r="AD482" s="65" t="n"/>
      <c r="AE482" s="65" t="n"/>
      <c r="AF482" s="65" t="n"/>
      <c r="AG482" s="65" t="n"/>
      <c r="AH482" s="65" t="n"/>
      <c r="AI482" s="65" t="n"/>
      <c r="AJ482" s="65" t="n"/>
      <c r="AK482" s="65" t="n"/>
      <c r="AL482" s="65" t="n"/>
      <c r="AM482" s="65" t="n"/>
      <c r="AN482" s="65" t="n"/>
      <c r="AO482" s="65" t="n"/>
      <c r="AP482" s="65" t="n"/>
    </row>
    <row r="483">
      <c r="F483" s="68" t="n"/>
      <c r="G483" s="68">
        <f>IF(B483="","",F483-I483 )</f>
        <v/>
      </c>
      <c r="H483" s="5">
        <f>IF(G483="","",G483/F483)</f>
        <v/>
      </c>
      <c r="J483" s="65" t="n"/>
      <c r="K483" s="65" t="n"/>
      <c r="L483" s="65" t="n"/>
      <c r="M483" s="65" t="n"/>
      <c r="N483" s="65" t="n"/>
      <c r="O483" s="65" t="n"/>
      <c r="P483" s="65" t="n"/>
      <c r="Q483" s="65" t="n"/>
      <c r="R483" s="65" t="n"/>
      <c r="S483" s="65" t="n"/>
      <c r="T483" s="65" t="n"/>
      <c r="U483" s="65" t="n"/>
      <c r="V483" s="77" t="n"/>
      <c r="W483" s="65" t="n"/>
      <c r="X483" s="65" t="n"/>
      <c r="Y483" s="65" t="n"/>
      <c r="Z483" s="65" t="n"/>
      <c r="AA483" s="65" t="n"/>
      <c r="AB483" s="65" t="n"/>
      <c r="AC483" s="65" t="n"/>
      <c r="AD483" s="65" t="n"/>
      <c r="AE483" s="65" t="n"/>
      <c r="AF483" s="65" t="n"/>
      <c r="AG483" s="65" t="n"/>
      <c r="AH483" s="65" t="n"/>
      <c r="AI483" s="65" t="n"/>
      <c r="AJ483" s="65" t="n"/>
      <c r="AK483" s="65" t="n"/>
      <c r="AL483" s="65" t="n"/>
      <c r="AM483" s="65" t="n"/>
      <c r="AN483" s="65" t="n"/>
      <c r="AO483" s="65" t="n"/>
      <c r="AP483" s="65" t="n"/>
    </row>
    <row r="484">
      <c r="F484" s="68" t="n"/>
      <c r="G484" s="68">
        <f>IF(B484="","",F484-I484 )</f>
        <v/>
      </c>
      <c r="H484" s="5">
        <f>IF(G484="","",G484/F484)</f>
        <v/>
      </c>
      <c r="J484" s="65" t="n"/>
      <c r="K484" s="65" t="n"/>
      <c r="L484" s="65" t="n"/>
      <c r="M484" s="65" t="n"/>
      <c r="N484" s="65" t="n"/>
      <c r="O484" s="65" t="n"/>
      <c r="P484" s="65" t="n"/>
      <c r="Q484" s="65" t="n"/>
      <c r="R484" s="65" t="n"/>
      <c r="S484" s="65" t="n"/>
      <c r="T484" s="65" t="n"/>
      <c r="U484" s="65" t="n"/>
      <c r="V484" s="77" t="n"/>
      <c r="W484" s="65" t="n"/>
      <c r="X484" s="65" t="n"/>
      <c r="Y484" s="65" t="n"/>
      <c r="Z484" s="65" t="n"/>
      <c r="AA484" s="65" t="n"/>
      <c r="AB484" s="65" t="n"/>
      <c r="AC484" s="65" t="n"/>
      <c r="AD484" s="65" t="n"/>
      <c r="AE484" s="65" t="n"/>
      <c r="AF484" s="65" t="n"/>
      <c r="AG484" s="65" t="n"/>
      <c r="AH484" s="65" t="n"/>
      <c r="AI484" s="65" t="n"/>
      <c r="AJ484" s="65" t="n"/>
      <c r="AK484" s="65" t="n"/>
      <c r="AL484" s="65" t="n"/>
      <c r="AM484" s="65" t="n"/>
      <c r="AN484" s="65" t="n"/>
      <c r="AO484" s="65" t="n"/>
      <c r="AP484" s="65" t="n"/>
    </row>
    <row r="485">
      <c r="F485" s="68" t="n"/>
      <c r="G485" s="68">
        <f>IF(B485="","",F485-I485 )</f>
        <v/>
      </c>
      <c r="H485" s="5">
        <f>IF(G485="","",G485/F485)</f>
        <v/>
      </c>
      <c r="J485" s="65" t="n"/>
      <c r="K485" s="65" t="n"/>
      <c r="L485" s="65" t="n"/>
      <c r="M485" s="65" t="n"/>
      <c r="N485" s="65" t="n"/>
      <c r="O485" s="65" t="n"/>
      <c r="P485" s="65" t="n"/>
      <c r="Q485" s="65" t="n"/>
      <c r="R485" s="65" t="n"/>
      <c r="S485" s="65" t="n"/>
      <c r="T485" s="65" t="n"/>
      <c r="U485" s="65" t="n"/>
      <c r="V485" s="77" t="n"/>
      <c r="W485" s="65" t="n"/>
      <c r="X485" s="65" t="n"/>
      <c r="Y485" s="65" t="n"/>
      <c r="Z485" s="65" t="n"/>
      <c r="AA485" s="65" t="n"/>
      <c r="AB485" s="65" t="n"/>
      <c r="AC485" s="65" t="n"/>
      <c r="AD485" s="65" t="n"/>
      <c r="AE485" s="65" t="n"/>
      <c r="AF485" s="65" t="n"/>
      <c r="AG485" s="65" t="n"/>
      <c r="AH485" s="65" t="n"/>
      <c r="AI485" s="65" t="n"/>
      <c r="AJ485" s="65" t="n"/>
      <c r="AK485" s="65" t="n"/>
      <c r="AL485" s="65" t="n"/>
      <c r="AM485" s="65" t="n"/>
      <c r="AN485" s="65" t="n"/>
      <c r="AO485" s="65" t="n"/>
      <c r="AP485" s="65" t="n"/>
    </row>
    <row r="486">
      <c r="F486" s="68" t="n"/>
      <c r="G486" s="68">
        <f>IF(B486="","",F486-I486 )</f>
        <v/>
      </c>
      <c r="H486" s="5">
        <f>IF(G486="","",G486/F486)</f>
        <v/>
      </c>
      <c r="J486" s="65" t="n"/>
      <c r="K486" s="65" t="n"/>
      <c r="L486" s="65" t="n"/>
      <c r="M486" s="65" t="n"/>
      <c r="N486" s="65" t="n"/>
      <c r="O486" s="65" t="n"/>
      <c r="P486" s="65" t="n"/>
      <c r="Q486" s="65" t="n"/>
      <c r="R486" s="65" t="n"/>
      <c r="S486" s="65" t="n"/>
      <c r="T486" s="65" t="n"/>
      <c r="U486" s="65" t="n"/>
      <c r="V486" s="77" t="n"/>
      <c r="W486" s="65" t="n"/>
      <c r="X486" s="65" t="n"/>
      <c r="Y486" s="65" t="n"/>
      <c r="Z486" s="65" t="n"/>
      <c r="AA486" s="65" t="n"/>
      <c r="AB486" s="65" t="n"/>
      <c r="AC486" s="65" t="n"/>
      <c r="AD486" s="65" t="n"/>
      <c r="AE486" s="65" t="n"/>
      <c r="AF486" s="65" t="n"/>
      <c r="AG486" s="65" t="n"/>
      <c r="AH486" s="65" t="n"/>
      <c r="AI486" s="65" t="n"/>
      <c r="AJ486" s="65" t="n"/>
      <c r="AK486" s="65" t="n"/>
      <c r="AL486" s="65" t="n"/>
      <c r="AM486" s="65" t="n"/>
      <c r="AN486" s="65" t="n"/>
      <c r="AO486" s="65" t="n"/>
      <c r="AP486" s="65" t="n"/>
    </row>
    <row r="487">
      <c r="F487" s="68" t="n"/>
      <c r="G487" s="68">
        <f>IF(B487="","",F487-I487 )</f>
        <v/>
      </c>
      <c r="H487" s="5">
        <f>IF(G487="","",G487/F487)</f>
        <v/>
      </c>
      <c r="J487" s="65" t="n"/>
      <c r="K487" s="65" t="n"/>
      <c r="L487" s="65" t="n"/>
      <c r="M487" s="65" t="n"/>
      <c r="N487" s="65" t="n"/>
      <c r="O487" s="65" t="n"/>
      <c r="P487" s="65" t="n"/>
      <c r="Q487" s="65" t="n"/>
      <c r="R487" s="65" t="n"/>
      <c r="S487" s="65" t="n"/>
      <c r="T487" s="65" t="n"/>
      <c r="U487" s="65" t="n"/>
      <c r="V487" s="77" t="n"/>
      <c r="W487" s="65" t="n"/>
      <c r="X487" s="65" t="n"/>
      <c r="Y487" s="65" t="n"/>
      <c r="Z487" s="65" t="n"/>
      <c r="AA487" s="65" t="n"/>
      <c r="AB487" s="65" t="n"/>
      <c r="AC487" s="65" t="n"/>
      <c r="AD487" s="65" t="n"/>
      <c r="AE487" s="65" t="n"/>
      <c r="AF487" s="65" t="n"/>
      <c r="AG487" s="65" t="n"/>
      <c r="AH487" s="65" t="n"/>
      <c r="AI487" s="65" t="n"/>
      <c r="AJ487" s="65" t="n"/>
      <c r="AK487" s="65" t="n"/>
      <c r="AL487" s="65" t="n"/>
      <c r="AM487" s="65" t="n"/>
      <c r="AN487" s="65" t="n"/>
      <c r="AO487" s="65" t="n"/>
      <c r="AP487" s="65" t="n"/>
    </row>
    <row r="488">
      <c r="F488" s="68" t="n"/>
      <c r="G488" s="68">
        <f>IF(B488="","",F488-I488 )</f>
        <v/>
      </c>
      <c r="H488" s="5">
        <f>IF(G488="","",G488/F488)</f>
        <v/>
      </c>
      <c r="J488" s="65" t="n"/>
      <c r="K488" s="65" t="n"/>
      <c r="L488" s="65" t="n"/>
      <c r="M488" s="65" t="n"/>
      <c r="N488" s="65" t="n"/>
      <c r="O488" s="65" t="n"/>
      <c r="P488" s="65" t="n"/>
      <c r="Q488" s="65" t="n"/>
      <c r="R488" s="65" t="n"/>
      <c r="S488" s="65" t="n"/>
      <c r="T488" s="65" t="n"/>
      <c r="U488" s="65" t="n"/>
      <c r="V488" s="77" t="n"/>
      <c r="W488" s="65" t="n"/>
      <c r="X488" s="65" t="n"/>
      <c r="Y488" s="65" t="n"/>
      <c r="Z488" s="65" t="n"/>
      <c r="AA488" s="65" t="n"/>
      <c r="AB488" s="65" t="n"/>
      <c r="AC488" s="65" t="n"/>
      <c r="AD488" s="65" t="n"/>
      <c r="AE488" s="65" t="n"/>
      <c r="AF488" s="65" t="n"/>
      <c r="AG488" s="65" t="n"/>
      <c r="AH488" s="65" t="n"/>
      <c r="AI488" s="65" t="n"/>
      <c r="AJ488" s="65" t="n"/>
      <c r="AK488" s="65" t="n"/>
      <c r="AL488" s="65" t="n"/>
      <c r="AM488" s="65" t="n"/>
      <c r="AN488" s="65" t="n"/>
      <c r="AO488" s="65" t="n"/>
      <c r="AP488" s="65" t="n"/>
    </row>
    <row r="489">
      <c r="F489" s="68" t="n"/>
      <c r="G489" s="68">
        <f>IF(B489="","",F489-I489 )</f>
        <v/>
      </c>
      <c r="H489" s="5">
        <f>IF(G489="","",G489/F489)</f>
        <v/>
      </c>
      <c r="J489" s="65" t="n"/>
      <c r="K489" s="65" t="n"/>
      <c r="L489" s="65" t="n"/>
      <c r="M489" s="65" t="n"/>
      <c r="N489" s="65" t="n"/>
      <c r="O489" s="65" t="n"/>
      <c r="P489" s="65" t="n"/>
      <c r="Q489" s="65" t="n"/>
      <c r="R489" s="65" t="n"/>
      <c r="S489" s="65" t="n"/>
      <c r="T489" s="65" t="n"/>
      <c r="U489" s="65" t="n"/>
      <c r="V489" s="77" t="n"/>
      <c r="W489" s="65" t="n"/>
      <c r="X489" s="65" t="n"/>
      <c r="Y489" s="65" t="n"/>
      <c r="Z489" s="65" t="n"/>
      <c r="AA489" s="65" t="n"/>
      <c r="AB489" s="65" t="n"/>
      <c r="AC489" s="65" t="n"/>
      <c r="AD489" s="65" t="n"/>
      <c r="AE489" s="65" t="n"/>
      <c r="AF489" s="65" t="n"/>
      <c r="AG489" s="65" t="n"/>
      <c r="AH489" s="65" t="n"/>
      <c r="AI489" s="65" t="n"/>
      <c r="AJ489" s="65" t="n"/>
      <c r="AK489" s="65" t="n"/>
      <c r="AL489" s="65" t="n"/>
      <c r="AM489" s="65" t="n"/>
      <c r="AN489" s="65" t="n"/>
      <c r="AO489" s="65" t="n"/>
      <c r="AP489" s="65" t="n"/>
    </row>
    <row r="490">
      <c r="F490" s="68" t="n"/>
      <c r="G490" s="68">
        <f>IF(B490="","",F490-I490 )</f>
        <v/>
      </c>
      <c r="H490" s="5">
        <f>IF(G490="","",G490/F490)</f>
        <v/>
      </c>
      <c r="J490" s="65" t="n"/>
      <c r="K490" s="65" t="n"/>
      <c r="L490" s="65" t="n"/>
      <c r="M490" s="65" t="n"/>
      <c r="N490" s="65" t="n"/>
      <c r="O490" s="65" t="n"/>
      <c r="P490" s="65" t="n"/>
      <c r="Q490" s="65" t="n"/>
      <c r="R490" s="65" t="n"/>
      <c r="S490" s="65" t="n"/>
      <c r="T490" s="65" t="n"/>
      <c r="U490" s="65" t="n"/>
      <c r="V490" s="77" t="n"/>
      <c r="W490" s="65" t="n"/>
      <c r="X490" s="65" t="n"/>
      <c r="Y490" s="65" t="n"/>
      <c r="Z490" s="65" t="n"/>
      <c r="AA490" s="65" t="n"/>
      <c r="AB490" s="65" t="n"/>
      <c r="AC490" s="65" t="n"/>
      <c r="AD490" s="65" t="n"/>
      <c r="AE490" s="65" t="n"/>
      <c r="AF490" s="65" t="n"/>
      <c r="AG490" s="65" t="n"/>
      <c r="AH490" s="65" t="n"/>
      <c r="AI490" s="65" t="n"/>
      <c r="AJ490" s="65" t="n"/>
      <c r="AK490" s="65" t="n"/>
      <c r="AL490" s="65" t="n"/>
      <c r="AM490" s="65" t="n"/>
      <c r="AN490" s="65" t="n"/>
      <c r="AO490" s="65" t="n"/>
      <c r="AP490" s="65" t="n"/>
    </row>
    <row r="491">
      <c r="F491" s="68" t="n"/>
      <c r="G491" s="68">
        <f>IF(B491="","",F491-I491 )</f>
        <v/>
      </c>
      <c r="H491" s="5">
        <f>IF(G491="","",G491/F491)</f>
        <v/>
      </c>
      <c r="J491" s="65" t="n"/>
      <c r="K491" s="65" t="n"/>
      <c r="L491" s="65" t="n"/>
      <c r="M491" s="65" t="n"/>
      <c r="N491" s="65" t="n"/>
      <c r="O491" s="65" t="n"/>
      <c r="P491" s="65" t="n"/>
      <c r="Q491" s="65" t="n"/>
      <c r="R491" s="65" t="n"/>
      <c r="S491" s="65" t="n"/>
      <c r="T491" s="65" t="n"/>
      <c r="U491" s="65" t="n"/>
      <c r="V491" s="77" t="n"/>
      <c r="W491" s="65" t="n"/>
      <c r="X491" s="65" t="n"/>
      <c r="Y491" s="65" t="n"/>
      <c r="Z491" s="65" t="n"/>
      <c r="AA491" s="65" t="n"/>
      <c r="AB491" s="65" t="n"/>
      <c r="AC491" s="65" t="n"/>
      <c r="AD491" s="65" t="n"/>
      <c r="AE491" s="65" t="n"/>
      <c r="AF491" s="65" t="n"/>
      <c r="AG491" s="65" t="n"/>
      <c r="AH491" s="65" t="n"/>
      <c r="AI491" s="65" t="n"/>
      <c r="AJ491" s="65" t="n"/>
      <c r="AK491" s="65" t="n"/>
      <c r="AL491" s="65" t="n"/>
      <c r="AM491" s="65" t="n"/>
      <c r="AN491" s="65" t="n"/>
      <c r="AO491" s="65" t="n"/>
      <c r="AP491" s="65" t="n"/>
    </row>
    <row r="492">
      <c r="F492" s="68" t="n"/>
      <c r="G492" s="68">
        <f>IF(B492="","",F492-I492 )</f>
        <v/>
      </c>
      <c r="H492" s="5">
        <f>IF(G492="","",G492/F492)</f>
        <v/>
      </c>
      <c r="J492" s="65" t="n"/>
      <c r="K492" s="65" t="n"/>
      <c r="L492" s="65" t="n"/>
      <c r="M492" s="65" t="n"/>
      <c r="N492" s="65" t="n"/>
      <c r="O492" s="65" t="n"/>
      <c r="P492" s="65" t="n"/>
      <c r="Q492" s="65" t="n"/>
      <c r="R492" s="65" t="n"/>
      <c r="S492" s="65" t="n"/>
      <c r="T492" s="65" t="n"/>
      <c r="U492" s="65" t="n"/>
      <c r="V492" s="77" t="n"/>
      <c r="W492" s="65" t="n"/>
      <c r="X492" s="65" t="n"/>
      <c r="Y492" s="65" t="n"/>
      <c r="Z492" s="65" t="n"/>
      <c r="AA492" s="65" t="n"/>
      <c r="AB492" s="65" t="n"/>
      <c r="AC492" s="65" t="n"/>
      <c r="AD492" s="65" t="n"/>
      <c r="AE492" s="65" t="n"/>
      <c r="AF492" s="65" t="n"/>
      <c r="AG492" s="65" t="n"/>
      <c r="AH492" s="65" t="n"/>
      <c r="AI492" s="65" t="n"/>
      <c r="AJ492" s="65" t="n"/>
      <c r="AK492" s="65" t="n"/>
      <c r="AL492" s="65" t="n"/>
      <c r="AM492" s="65" t="n"/>
      <c r="AN492" s="65" t="n"/>
      <c r="AO492" s="65" t="n"/>
      <c r="AP492" s="65" t="n"/>
    </row>
    <row r="493">
      <c r="F493" s="68" t="n"/>
      <c r="G493" s="68">
        <f>IF(B493="","",F493-I493 )</f>
        <v/>
      </c>
      <c r="H493" s="5">
        <f>IF(G493="","",G493/F493)</f>
        <v/>
      </c>
      <c r="J493" s="65" t="n"/>
      <c r="K493" s="65" t="n"/>
      <c r="L493" s="65" t="n"/>
      <c r="M493" s="65" t="n"/>
      <c r="N493" s="65" t="n"/>
      <c r="O493" s="65" t="n"/>
      <c r="P493" s="65" t="n"/>
      <c r="Q493" s="65" t="n"/>
      <c r="R493" s="65" t="n"/>
      <c r="S493" s="65" t="n"/>
      <c r="T493" s="65" t="n"/>
      <c r="U493" s="65" t="n"/>
      <c r="V493" s="77" t="n"/>
      <c r="W493" s="65" t="n"/>
      <c r="X493" s="65" t="n"/>
      <c r="Y493" s="65" t="n"/>
      <c r="Z493" s="65" t="n"/>
      <c r="AA493" s="65" t="n"/>
      <c r="AB493" s="65" t="n"/>
      <c r="AC493" s="65" t="n"/>
      <c r="AD493" s="65" t="n"/>
      <c r="AE493" s="65" t="n"/>
      <c r="AF493" s="65" t="n"/>
      <c r="AG493" s="65" t="n"/>
      <c r="AH493" s="65" t="n"/>
      <c r="AI493" s="65" t="n"/>
      <c r="AJ493" s="65" t="n"/>
      <c r="AK493" s="65" t="n"/>
      <c r="AL493" s="65" t="n"/>
      <c r="AM493" s="65" t="n"/>
      <c r="AN493" s="65" t="n"/>
      <c r="AO493" s="65" t="n"/>
      <c r="AP493" s="65" t="n"/>
    </row>
    <row r="494">
      <c r="F494" s="68" t="n"/>
      <c r="G494" s="68">
        <f>IF(B494="","",F494-I494 )</f>
        <v/>
      </c>
      <c r="H494" s="5">
        <f>IF(G494="","",G494/F494)</f>
        <v/>
      </c>
      <c r="J494" s="65" t="n"/>
      <c r="K494" s="65" t="n"/>
      <c r="L494" s="65" t="n"/>
      <c r="M494" s="65" t="n"/>
      <c r="N494" s="65" t="n"/>
      <c r="O494" s="65" t="n"/>
      <c r="P494" s="65" t="n"/>
      <c r="Q494" s="65" t="n"/>
      <c r="R494" s="65" t="n"/>
      <c r="S494" s="65" t="n"/>
      <c r="T494" s="65" t="n"/>
      <c r="U494" s="65" t="n"/>
      <c r="V494" s="77" t="n"/>
      <c r="W494" s="65" t="n"/>
      <c r="X494" s="65" t="n"/>
      <c r="Y494" s="65" t="n"/>
      <c r="Z494" s="65" t="n"/>
      <c r="AA494" s="65" t="n"/>
      <c r="AB494" s="65" t="n"/>
      <c r="AC494" s="65" t="n"/>
      <c r="AD494" s="65" t="n"/>
      <c r="AE494" s="65" t="n"/>
      <c r="AF494" s="65" t="n"/>
      <c r="AG494" s="65" t="n"/>
      <c r="AH494" s="65" t="n"/>
      <c r="AI494" s="65" t="n"/>
      <c r="AJ494" s="65" t="n"/>
      <c r="AK494" s="65" t="n"/>
      <c r="AL494" s="65" t="n"/>
      <c r="AM494" s="65" t="n"/>
      <c r="AN494" s="65" t="n"/>
      <c r="AO494" s="65" t="n"/>
      <c r="AP494" s="65" t="n"/>
    </row>
    <row r="495">
      <c r="F495" s="68" t="n"/>
      <c r="G495" s="68">
        <f>IF(B495="","",F495-I495 )</f>
        <v/>
      </c>
      <c r="H495" s="5">
        <f>IF(G495="","",G495/F495)</f>
        <v/>
      </c>
      <c r="J495" s="65" t="n"/>
      <c r="K495" s="65" t="n"/>
      <c r="L495" s="65" t="n"/>
      <c r="M495" s="65" t="n"/>
      <c r="N495" s="65" t="n"/>
      <c r="O495" s="65" t="n"/>
      <c r="P495" s="65" t="n"/>
      <c r="Q495" s="65" t="n"/>
      <c r="R495" s="65" t="n"/>
      <c r="S495" s="65" t="n"/>
      <c r="T495" s="65" t="n"/>
      <c r="U495" s="65" t="n"/>
      <c r="V495" s="77" t="n"/>
      <c r="W495" s="65" t="n"/>
      <c r="X495" s="65" t="n"/>
      <c r="Y495" s="65" t="n"/>
      <c r="Z495" s="65" t="n"/>
      <c r="AA495" s="65" t="n"/>
      <c r="AB495" s="65" t="n"/>
      <c r="AC495" s="65" t="n"/>
      <c r="AD495" s="65" t="n"/>
      <c r="AE495" s="65" t="n"/>
      <c r="AF495" s="65" t="n"/>
      <c r="AG495" s="65" t="n"/>
      <c r="AH495" s="65" t="n"/>
      <c r="AI495" s="65" t="n"/>
      <c r="AJ495" s="65" t="n"/>
      <c r="AK495" s="65" t="n"/>
      <c r="AL495" s="65" t="n"/>
      <c r="AM495" s="65" t="n"/>
      <c r="AN495" s="65" t="n"/>
      <c r="AO495" s="65" t="n"/>
      <c r="AP495" s="65" t="n"/>
    </row>
    <row r="496">
      <c r="F496" s="68" t="n"/>
      <c r="G496" s="68">
        <f>IF(B496="","",F496-I496 )</f>
        <v/>
      </c>
      <c r="H496" s="5">
        <f>IF(G496="","",G496/F496)</f>
        <v/>
      </c>
      <c r="J496" s="65" t="n"/>
      <c r="K496" s="65" t="n"/>
      <c r="L496" s="65" t="n"/>
      <c r="M496" s="65" t="n"/>
      <c r="N496" s="65" t="n"/>
      <c r="O496" s="65" t="n"/>
      <c r="P496" s="65" t="n"/>
      <c r="Q496" s="65" t="n"/>
      <c r="R496" s="65" t="n"/>
      <c r="S496" s="65" t="n"/>
      <c r="T496" s="65" t="n"/>
      <c r="U496" s="65" t="n"/>
      <c r="V496" s="77" t="n"/>
      <c r="W496" s="65" t="n"/>
      <c r="X496" s="65" t="n"/>
      <c r="Y496" s="65" t="n"/>
      <c r="Z496" s="65" t="n"/>
      <c r="AA496" s="65" t="n"/>
      <c r="AB496" s="65" t="n"/>
      <c r="AC496" s="65" t="n"/>
      <c r="AD496" s="65" t="n"/>
      <c r="AE496" s="65" t="n"/>
      <c r="AF496" s="65" t="n"/>
      <c r="AG496" s="65" t="n"/>
      <c r="AH496" s="65" t="n"/>
      <c r="AI496" s="65" t="n"/>
      <c r="AJ496" s="65" t="n"/>
      <c r="AK496" s="65" t="n"/>
      <c r="AL496" s="65" t="n"/>
      <c r="AM496" s="65" t="n"/>
      <c r="AN496" s="65" t="n"/>
      <c r="AO496" s="65" t="n"/>
      <c r="AP496" s="65" t="n"/>
    </row>
    <row r="497">
      <c r="F497" s="68" t="n"/>
      <c r="G497" s="68">
        <f>IF(B497="","",F497-I497 )</f>
        <v/>
      </c>
      <c r="H497" s="5">
        <f>IF(G497="","",G497/F497)</f>
        <v/>
      </c>
      <c r="J497" s="65" t="n"/>
      <c r="K497" s="65" t="n"/>
      <c r="L497" s="65" t="n"/>
      <c r="M497" s="65" t="n"/>
      <c r="N497" s="65" t="n"/>
      <c r="O497" s="65" t="n"/>
      <c r="P497" s="65" t="n"/>
      <c r="Q497" s="65" t="n"/>
      <c r="R497" s="65" t="n"/>
      <c r="S497" s="65" t="n"/>
      <c r="T497" s="65" t="n"/>
      <c r="U497" s="65" t="n"/>
      <c r="V497" s="77" t="n"/>
      <c r="W497" s="65" t="n"/>
      <c r="X497" s="65" t="n"/>
      <c r="Y497" s="65" t="n"/>
      <c r="Z497" s="65" t="n"/>
      <c r="AA497" s="65" t="n"/>
      <c r="AB497" s="65" t="n"/>
      <c r="AC497" s="65" t="n"/>
      <c r="AD497" s="65" t="n"/>
      <c r="AE497" s="65" t="n"/>
      <c r="AF497" s="65" t="n"/>
      <c r="AG497" s="65" t="n"/>
      <c r="AH497" s="65" t="n"/>
      <c r="AI497" s="65" t="n"/>
      <c r="AJ497" s="65" t="n"/>
      <c r="AK497" s="65" t="n"/>
      <c r="AL497" s="65" t="n"/>
      <c r="AM497" s="65" t="n"/>
      <c r="AN497" s="65" t="n"/>
      <c r="AO497" s="65" t="n"/>
      <c r="AP497" s="65" t="n"/>
    </row>
    <row r="498">
      <c r="F498" s="68" t="n"/>
      <c r="G498" s="68">
        <f>IF(B498="","",F498-I498 )</f>
        <v/>
      </c>
      <c r="H498" s="5">
        <f>IF(G498="","",G498/F498)</f>
        <v/>
      </c>
      <c r="J498" s="65" t="n"/>
      <c r="K498" s="65" t="n"/>
      <c r="L498" s="65" t="n"/>
      <c r="M498" s="65" t="n"/>
      <c r="N498" s="65" t="n"/>
      <c r="O498" s="65" t="n"/>
      <c r="P498" s="65" t="n"/>
      <c r="Q498" s="65" t="n"/>
      <c r="R498" s="65" t="n"/>
      <c r="S498" s="65" t="n"/>
      <c r="T498" s="65" t="n"/>
      <c r="U498" s="65" t="n"/>
      <c r="V498" s="77" t="n"/>
      <c r="W498" s="65" t="n"/>
      <c r="X498" s="65" t="n"/>
      <c r="Y498" s="65" t="n"/>
      <c r="Z498" s="65" t="n"/>
      <c r="AA498" s="65" t="n"/>
      <c r="AB498" s="65" t="n"/>
      <c r="AC498" s="65" t="n"/>
      <c r="AD498" s="65" t="n"/>
      <c r="AE498" s="65" t="n"/>
      <c r="AF498" s="65" t="n"/>
      <c r="AG498" s="65" t="n"/>
      <c r="AH498" s="65" t="n"/>
      <c r="AI498" s="65" t="n"/>
      <c r="AJ498" s="65" t="n"/>
      <c r="AK498" s="65" t="n"/>
      <c r="AL498" s="65" t="n"/>
      <c r="AM498" s="65" t="n"/>
      <c r="AN498" s="65" t="n"/>
      <c r="AO498" s="65" t="n"/>
      <c r="AP498" s="65" t="n"/>
    </row>
    <row r="499">
      <c r="F499" s="68" t="n"/>
      <c r="G499" s="68">
        <f>IF(B499="","",F499-I499 )</f>
        <v/>
      </c>
      <c r="H499" s="5">
        <f>IF(G499="","",G499/F499)</f>
        <v/>
      </c>
      <c r="J499" s="65" t="n"/>
      <c r="K499" s="65" t="n"/>
      <c r="L499" s="65" t="n"/>
      <c r="M499" s="65" t="n"/>
      <c r="N499" s="65" t="n"/>
      <c r="O499" s="65" t="n"/>
      <c r="P499" s="65" t="n"/>
      <c r="Q499" s="65" t="n"/>
      <c r="R499" s="65" t="n"/>
      <c r="S499" s="65" t="n"/>
      <c r="T499" s="65" t="n"/>
      <c r="U499" s="65" t="n"/>
      <c r="V499" s="77" t="n"/>
      <c r="W499" s="65" t="n"/>
      <c r="X499" s="65" t="n"/>
      <c r="Y499" s="65" t="n"/>
      <c r="Z499" s="65" t="n"/>
      <c r="AA499" s="65" t="n"/>
      <c r="AB499" s="65" t="n"/>
      <c r="AC499" s="65" t="n"/>
      <c r="AD499" s="65" t="n"/>
      <c r="AE499" s="65" t="n"/>
      <c r="AF499" s="65" t="n"/>
      <c r="AG499" s="65" t="n"/>
      <c r="AH499" s="65" t="n"/>
      <c r="AI499" s="65" t="n"/>
      <c r="AJ499" s="65" t="n"/>
      <c r="AK499" s="65" t="n"/>
      <c r="AL499" s="65" t="n"/>
      <c r="AM499" s="65" t="n"/>
      <c r="AN499" s="65" t="n"/>
      <c r="AO499" s="65" t="n"/>
      <c r="AP499" s="65" t="n"/>
    </row>
    <row r="500">
      <c r="F500" s="68" t="n"/>
      <c r="G500" s="68">
        <f>IF(B500="","",F500-I500 )</f>
        <v/>
      </c>
      <c r="H500" s="5">
        <f>IF(G500="","",G500/F500)</f>
        <v/>
      </c>
      <c r="J500" s="65" t="n"/>
      <c r="K500" s="65" t="n"/>
      <c r="L500" s="65" t="n"/>
      <c r="M500" s="65" t="n"/>
      <c r="N500" s="65" t="n"/>
      <c r="O500" s="65" t="n"/>
      <c r="P500" s="65" t="n"/>
      <c r="Q500" s="65" t="n"/>
      <c r="R500" s="65" t="n"/>
      <c r="S500" s="65" t="n"/>
      <c r="T500" s="65" t="n"/>
      <c r="U500" s="65" t="n"/>
      <c r="V500" s="77" t="n"/>
      <c r="W500" s="65" t="n"/>
      <c r="X500" s="65" t="n"/>
      <c r="Y500" s="65" t="n"/>
      <c r="Z500" s="65" t="n"/>
      <c r="AA500" s="65" t="n"/>
      <c r="AB500" s="65" t="n"/>
      <c r="AC500" s="65" t="n"/>
      <c r="AD500" s="65" t="n"/>
      <c r="AE500" s="65" t="n"/>
      <c r="AF500" s="65" t="n"/>
      <c r="AG500" s="65" t="n"/>
      <c r="AH500" s="65" t="n"/>
      <c r="AI500" s="65" t="n"/>
      <c r="AJ500" s="65" t="n"/>
      <c r="AK500" s="65" t="n"/>
      <c r="AL500" s="65" t="n"/>
      <c r="AM500" s="65" t="n"/>
      <c r="AN500" s="65" t="n"/>
      <c r="AO500" s="65" t="n"/>
      <c r="AP500" s="65" t="n"/>
    </row>
    <row r="501">
      <c r="F501" s="68" t="n"/>
      <c r="G501" s="68">
        <f>IF(B501="","",F501-I501 )</f>
        <v/>
      </c>
      <c r="H501" s="5">
        <f>IF(G501="","",G501/F501)</f>
        <v/>
      </c>
      <c r="J501" s="65" t="n"/>
      <c r="K501" s="65" t="n"/>
      <c r="L501" s="65" t="n"/>
      <c r="M501" s="65" t="n"/>
      <c r="N501" s="65" t="n"/>
      <c r="O501" s="65" t="n"/>
      <c r="P501" s="65" t="n"/>
      <c r="Q501" s="65" t="n"/>
      <c r="R501" s="65" t="n"/>
      <c r="S501" s="65" t="n"/>
      <c r="T501" s="65" t="n"/>
      <c r="U501" s="65" t="n"/>
      <c r="V501" s="77" t="n"/>
      <c r="W501" s="65" t="n"/>
      <c r="X501" s="65" t="n"/>
      <c r="Y501" s="65" t="n"/>
      <c r="Z501" s="65" t="n"/>
      <c r="AA501" s="65" t="n"/>
      <c r="AB501" s="65" t="n"/>
      <c r="AC501" s="65" t="n"/>
      <c r="AD501" s="65" t="n"/>
      <c r="AE501" s="65" t="n"/>
      <c r="AF501" s="65" t="n"/>
      <c r="AG501" s="65" t="n"/>
      <c r="AH501" s="65" t="n"/>
      <c r="AI501" s="65" t="n"/>
      <c r="AJ501" s="65" t="n"/>
      <c r="AK501" s="65" t="n"/>
      <c r="AL501" s="65" t="n"/>
      <c r="AM501" s="65" t="n"/>
      <c r="AN501" s="65" t="n"/>
      <c r="AO501" s="65" t="n"/>
      <c r="AP501" s="65" t="n"/>
    </row>
    <row r="502">
      <c r="F502" s="68" t="n"/>
      <c r="G502" s="68">
        <f>IF(B502="","",F502-I502 )</f>
        <v/>
      </c>
      <c r="H502" s="5">
        <f>IF(G502="","",G502/F502)</f>
        <v/>
      </c>
      <c r="J502" s="65" t="n"/>
      <c r="K502" s="65" t="n"/>
      <c r="L502" s="65" t="n"/>
      <c r="M502" s="65" t="n"/>
      <c r="N502" s="65" t="n"/>
      <c r="O502" s="65" t="n"/>
      <c r="P502" s="65" t="n"/>
      <c r="Q502" s="65" t="n"/>
      <c r="R502" s="65" t="n"/>
      <c r="S502" s="65" t="n"/>
      <c r="T502" s="65" t="n"/>
      <c r="U502" s="65" t="n"/>
      <c r="V502" s="77" t="n"/>
      <c r="W502" s="65" t="n"/>
      <c r="X502" s="65" t="n"/>
      <c r="Y502" s="65" t="n"/>
      <c r="Z502" s="65" t="n"/>
      <c r="AA502" s="65" t="n"/>
      <c r="AB502" s="65" t="n"/>
      <c r="AC502" s="65" t="n"/>
      <c r="AD502" s="65" t="n"/>
      <c r="AE502" s="65" t="n"/>
      <c r="AF502" s="65" t="n"/>
      <c r="AG502" s="65" t="n"/>
      <c r="AH502" s="65" t="n"/>
      <c r="AI502" s="65" t="n"/>
      <c r="AJ502" s="65" t="n"/>
      <c r="AK502" s="65" t="n"/>
      <c r="AL502" s="65" t="n"/>
      <c r="AM502" s="65" t="n"/>
      <c r="AN502" s="65" t="n"/>
      <c r="AO502" s="65" t="n"/>
      <c r="AP502" s="65" t="n"/>
    </row>
    <row r="503">
      <c r="F503" s="68" t="n"/>
      <c r="G503" s="68">
        <f>IF(B503="","",F503-I503 )</f>
        <v/>
      </c>
      <c r="H503" s="5">
        <f>IF(G503="","",G503/F503)</f>
        <v/>
      </c>
      <c r="J503" s="65" t="n"/>
      <c r="K503" s="65" t="n"/>
      <c r="L503" s="65" t="n"/>
      <c r="M503" s="65" t="n"/>
      <c r="N503" s="65" t="n"/>
      <c r="O503" s="65" t="n"/>
      <c r="P503" s="65" t="n"/>
      <c r="Q503" s="65" t="n"/>
      <c r="R503" s="65" t="n"/>
      <c r="S503" s="65" t="n"/>
      <c r="T503" s="65" t="n"/>
      <c r="U503" s="65" t="n"/>
      <c r="V503" s="77" t="n"/>
      <c r="W503" s="65" t="n"/>
      <c r="X503" s="65" t="n"/>
      <c r="Y503" s="65" t="n"/>
      <c r="Z503" s="65" t="n"/>
      <c r="AA503" s="65" t="n"/>
      <c r="AB503" s="65" t="n"/>
      <c r="AC503" s="65" t="n"/>
      <c r="AD503" s="65" t="n"/>
      <c r="AE503" s="65" t="n"/>
      <c r="AF503" s="65" t="n"/>
      <c r="AG503" s="65" t="n"/>
      <c r="AH503" s="65" t="n"/>
      <c r="AI503" s="65" t="n"/>
      <c r="AJ503" s="65" t="n"/>
      <c r="AK503" s="65" t="n"/>
      <c r="AL503" s="65" t="n"/>
      <c r="AM503" s="65" t="n"/>
      <c r="AN503" s="65" t="n"/>
      <c r="AO503" s="65" t="n"/>
      <c r="AP503" s="65" t="n"/>
    </row>
    <row r="504">
      <c r="F504" s="68" t="n"/>
      <c r="G504" s="68">
        <f>IF(B504="","",F504-I504 )</f>
        <v/>
      </c>
      <c r="H504" s="5">
        <f>IF(G504="","",G504/F504)</f>
        <v/>
      </c>
      <c r="J504" s="65" t="n"/>
      <c r="K504" s="65" t="n"/>
      <c r="L504" s="65" t="n"/>
      <c r="M504" s="65" t="n"/>
      <c r="N504" s="65" t="n"/>
      <c r="O504" s="65" t="n"/>
      <c r="P504" s="65" t="n"/>
      <c r="Q504" s="65" t="n"/>
      <c r="R504" s="65" t="n"/>
      <c r="S504" s="65" t="n"/>
      <c r="T504" s="65" t="n"/>
      <c r="U504" s="65" t="n"/>
      <c r="V504" s="77" t="n"/>
      <c r="W504" s="65" t="n"/>
      <c r="X504" s="65" t="n"/>
      <c r="Y504" s="65" t="n"/>
      <c r="Z504" s="65" t="n"/>
      <c r="AA504" s="65" t="n"/>
      <c r="AB504" s="65" t="n"/>
      <c r="AC504" s="65" t="n"/>
      <c r="AD504" s="65" t="n"/>
      <c r="AE504" s="65" t="n"/>
      <c r="AF504" s="65" t="n"/>
      <c r="AG504" s="65" t="n"/>
      <c r="AH504" s="65" t="n"/>
      <c r="AI504" s="65" t="n"/>
      <c r="AJ504" s="65" t="n"/>
      <c r="AK504" s="65" t="n"/>
      <c r="AL504" s="65" t="n"/>
      <c r="AM504" s="65" t="n"/>
      <c r="AN504" s="65" t="n"/>
      <c r="AO504" s="65" t="n"/>
      <c r="AP504" s="65" t="n"/>
    </row>
    <row r="505">
      <c r="F505" s="68" t="n"/>
      <c r="G505" s="68">
        <f>IF(B505="","",F505-I505 )</f>
        <v/>
      </c>
      <c r="H505" s="5">
        <f>IF(G505="","",G505/F505)</f>
        <v/>
      </c>
      <c r="J505" s="65" t="n"/>
      <c r="K505" s="65" t="n"/>
      <c r="L505" s="65" t="n"/>
      <c r="M505" s="65" t="n"/>
      <c r="N505" s="65" t="n"/>
      <c r="O505" s="65" t="n"/>
      <c r="P505" s="65" t="n"/>
      <c r="Q505" s="65" t="n"/>
      <c r="R505" s="65" t="n"/>
      <c r="S505" s="65" t="n"/>
      <c r="T505" s="65" t="n"/>
      <c r="U505" s="65" t="n"/>
      <c r="V505" s="77" t="n"/>
      <c r="W505" s="65" t="n"/>
      <c r="X505" s="65" t="n"/>
      <c r="Y505" s="65" t="n"/>
      <c r="Z505" s="65" t="n"/>
      <c r="AA505" s="65" t="n"/>
      <c r="AB505" s="65" t="n"/>
      <c r="AC505" s="65" t="n"/>
      <c r="AD505" s="65" t="n"/>
      <c r="AE505" s="65" t="n"/>
      <c r="AF505" s="65" t="n"/>
      <c r="AG505" s="65" t="n"/>
      <c r="AH505" s="65" t="n"/>
      <c r="AI505" s="65" t="n"/>
      <c r="AJ505" s="65" t="n"/>
      <c r="AK505" s="65" t="n"/>
      <c r="AL505" s="65" t="n"/>
      <c r="AM505" s="65" t="n"/>
      <c r="AN505" s="65" t="n"/>
      <c r="AO505" s="65" t="n"/>
      <c r="AP505" s="65" t="n"/>
    </row>
    <row r="506">
      <c r="F506" s="68" t="n"/>
      <c r="G506" s="68">
        <f>IF(B506="","",F506-I506 )</f>
        <v/>
      </c>
      <c r="H506" s="5">
        <f>IF(G506="","",G506/F506)</f>
        <v/>
      </c>
      <c r="J506" s="65" t="n"/>
      <c r="K506" s="65" t="n"/>
      <c r="L506" s="65" t="n"/>
      <c r="M506" s="65" t="n"/>
      <c r="N506" s="65" t="n"/>
      <c r="O506" s="65" t="n"/>
      <c r="P506" s="65" t="n"/>
      <c r="Q506" s="65" t="n"/>
      <c r="R506" s="65" t="n"/>
      <c r="S506" s="65" t="n"/>
      <c r="T506" s="65" t="n"/>
      <c r="U506" s="65" t="n"/>
      <c r="V506" s="77" t="n"/>
      <c r="W506" s="65" t="n"/>
      <c r="X506" s="65" t="n"/>
      <c r="Y506" s="65" t="n"/>
      <c r="Z506" s="65" t="n"/>
      <c r="AA506" s="65" t="n"/>
      <c r="AB506" s="65" t="n"/>
      <c r="AC506" s="65" t="n"/>
      <c r="AD506" s="65" t="n"/>
      <c r="AE506" s="65" t="n"/>
      <c r="AF506" s="65" t="n"/>
      <c r="AG506" s="65" t="n"/>
      <c r="AH506" s="65" t="n"/>
      <c r="AI506" s="65" t="n"/>
      <c r="AJ506" s="65" t="n"/>
      <c r="AK506" s="65" t="n"/>
      <c r="AL506" s="65" t="n"/>
      <c r="AM506" s="65" t="n"/>
      <c r="AN506" s="65" t="n"/>
      <c r="AO506" s="65" t="n"/>
      <c r="AP506" s="65" t="n"/>
    </row>
    <row r="507">
      <c r="F507" s="68" t="n"/>
      <c r="G507" s="68">
        <f>IF(B507="","",F507-I507 )</f>
        <v/>
      </c>
      <c r="H507" s="5">
        <f>IF(G507="","",G507/F507)</f>
        <v/>
      </c>
      <c r="J507" s="65" t="n"/>
      <c r="K507" s="65" t="n"/>
      <c r="L507" s="65" t="n"/>
      <c r="M507" s="65" t="n"/>
      <c r="N507" s="65" t="n"/>
      <c r="O507" s="65" t="n"/>
      <c r="P507" s="65" t="n"/>
      <c r="Q507" s="65" t="n"/>
      <c r="R507" s="65" t="n"/>
      <c r="S507" s="65" t="n"/>
      <c r="T507" s="65" t="n"/>
      <c r="U507" s="65" t="n"/>
      <c r="V507" s="77" t="n"/>
      <c r="W507" s="65" t="n"/>
      <c r="X507" s="65" t="n"/>
      <c r="Y507" s="65" t="n"/>
      <c r="Z507" s="65" t="n"/>
      <c r="AA507" s="65" t="n"/>
      <c r="AB507" s="65" t="n"/>
      <c r="AC507" s="65" t="n"/>
      <c r="AD507" s="65" t="n"/>
      <c r="AE507" s="65" t="n"/>
      <c r="AF507" s="65" t="n"/>
      <c r="AG507" s="65" t="n"/>
      <c r="AH507" s="65" t="n"/>
      <c r="AI507" s="65" t="n"/>
      <c r="AJ507" s="65" t="n"/>
      <c r="AK507" s="65" t="n"/>
      <c r="AL507" s="65" t="n"/>
      <c r="AM507" s="65" t="n"/>
      <c r="AN507" s="65" t="n"/>
      <c r="AO507" s="65" t="n"/>
      <c r="AP507" s="65" t="n"/>
    </row>
    <row r="508">
      <c r="F508" s="68" t="n"/>
      <c r="G508" s="68">
        <f>IF(B508="","",F508-I508 )</f>
        <v/>
      </c>
      <c r="H508" s="5">
        <f>IF(G508="","",G508/F508)</f>
        <v/>
      </c>
      <c r="J508" s="65" t="n"/>
      <c r="K508" s="65" t="n"/>
      <c r="L508" s="65" t="n"/>
      <c r="M508" s="65" t="n"/>
      <c r="N508" s="65" t="n"/>
      <c r="O508" s="65" t="n"/>
      <c r="P508" s="65" t="n"/>
      <c r="Q508" s="65" t="n"/>
      <c r="R508" s="65" t="n"/>
      <c r="S508" s="65" t="n"/>
      <c r="T508" s="65" t="n"/>
      <c r="U508" s="65" t="n"/>
      <c r="V508" s="77" t="n"/>
      <c r="W508" s="65" t="n"/>
      <c r="X508" s="65" t="n"/>
      <c r="Y508" s="65" t="n"/>
      <c r="Z508" s="65" t="n"/>
      <c r="AA508" s="65" t="n"/>
      <c r="AB508" s="65" t="n"/>
      <c r="AC508" s="65" t="n"/>
      <c r="AD508" s="65" t="n"/>
      <c r="AE508" s="65" t="n"/>
      <c r="AF508" s="65" t="n"/>
      <c r="AG508" s="65" t="n"/>
      <c r="AH508" s="65" t="n"/>
      <c r="AI508" s="65" t="n"/>
      <c r="AJ508" s="65" t="n"/>
      <c r="AK508" s="65" t="n"/>
      <c r="AL508" s="65" t="n"/>
      <c r="AM508" s="65" t="n"/>
      <c r="AN508" s="65" t="n"/>
      <c r="AO508" s="65" t="n"/>
      <c r="AP508" s="65" t="n"/>
    </row>
    <row r="509">
      <c r="F509" s="68" t="n"/>
      <c r="G509" s="68">
        <f>IF(B509="","",F509-I509 )</f>
        <v/>
      </c>
      <c r="H509" s="5">
        <f>IF(G509="","",G509/F509)</f>
        <v/>
      </c>
      <c r="J509" s="65" t="n"/>
      <c r="K509" s="65" t="n"/>
      <c r="L509" s="65" t="n"/>
      <c r="M509" s="65" t="n"/>
      <c r="N509" s="65" t="n"/>
      <c r="O509" s="65" t="n"/>
      <c r="P509" s="65" t="n"/>
      <c r="Q509" s="65" t="n"/>
      <c r="R509" s="65" t="n"/>
      <c r="S509" s="65" t="n"/>
      <c r="T509" s="65" t="n"/>
      <c r="U509" s="65" t="n"/>
      <c r="V509" s="77" t="n"/>
      <c r="W509" s="65" t="n"/>
      <c r="X509" s="65" t="n"/>
      <c r="Y509" s="65" t="n"/>
      <c r="Z509" s="65" t="n"/>
      <c r="AA509" s="65" t="n"/>
      <c r="AB509" s="65" t="n"/>
      <c r="AC509" s="65" t="n"/>
      <c r="AD509" s="65" t="n"/>
      <c r="AE509" s="65" t="n"/>
      <c r="AF509" s="65" t="n"/>
      <c r="AG509" s="65" t="n"/>
      <c r="AH509" s="65" t="n"/>
      <c r="AI509" s="65" t="n"/>
      <c r="AJ509" s="65" t="n"/>
      <c r="AK509" s="65" t="n"/>
      <c r="AL509" s="65" t="n"/>
      <c r="AM509" s="65" t="n"/>
      <c r="AN509" s="65" t="n"/>
      <c r="AO509" s="65" t="n"/>
      <c r="AP509" s="65" t="n"/>
    </row>
    <row r="510">
      <c r="F510" s="68" t="n"/>
      <c r="G510" s="68">
        <f>IF(B510="","",F510-I510 )</f>
        <v/>
      </c>
      <c r="H510" s="5">
        <f>IF(G510="","",G510/F510)</f>
        <v/>
      </c>
      <c r="J510" s="65" t="n"/>
      <c r="K510" s="65" t="n"/>
      <c r="L510" s="65" t="n"/>
      <c r="M510" s="65" t="n"/>
      <c r="N510" s="65" t="n"/>
      <c r="O510" s="65" t="n"/>
      <c r="P510" s="65" t="n"/>
      <c r="Q510" s="65" t="n"/>
      <c r="R510" s="65" t="n"/>
      <c r="S510" s="65" t="n"/>
      <c r="T510" s="65" t="n"/>
      <c r="U510" s="65" t="n"/>
      <c r="V510" s="77" t="n"/>
      <c r="W510" s="65" t="n"/>
      <c r="X510" s="65" t="n"/>
      <c r="Y510" s="65" t="n"/>
      <c r="Z510" s="65" t="n"/>
      <c r="AA510" s="65" t="n"/>
      <c r="AB510" s="65" t="n"/>
      <c r="AC510" s="65" t="n"/>
      <c r="AD510" s="65" t="n"/>
      <c r="AE510" s="65" t="n"/>
      <c r="AF510" s="65" t="n"/>
      <c r="AG510" s="65" t="n"/>
      <c r="AH510" s="65" t="n"/>
      <c r="AI510" s="65" t="n"/>
      <c r="AJ510" s="65" t="n"/>
      <c r="AK510" s="65" t="n"/>
      <c r="AL510" s="65" t="n"/>
      <c r="AM510" s="65" t="n"/>
      <c r="AN510" s="65" t="n"/>
      <c r="AO510" s="65" t="n"/>
      <c r="AP510" s="65" t="n"/>
    </row>
    <row r="511">
      <c r="F511" s="68" t="n"/>
      <c r="G511" s="68">
        <f>IF(B511="","",F511-I511 )</f>
        <v/>
      </c>
      <c r="H511" s="5">
        <f>IF(G511="","",G511/F511)</f>
        <v/>
      </c>
      <c r="J511" s="65" t="n"/>
      <c r="K511" s="65" t="n"/>
      <c r="L511" s="65" t="n"/>
      <c r="M511" s="65" t="n"/>
      <c r="N511" s="65" t="n"/>
      <c r="O511" s="65" t="n"/>
      <c r="P511" s="65" t="n"/>
      <c r="Q511" s="65" t="n"/>
      <c r="R511" s="65" t="n"/>
      <c r="S511" s="65" t="n"/>
      <c r="T511" s="65" t="n"/>
      <c r="U511" s="65" t="n"/>
      <c r="V511" s="77" t="n"/>
      <c r="W511" s="65" t="n"/>
      <c r="X511" s="65" t="n"/>
      <c r="Y511" s="65" t="n"/>
      <c r="Z511" s="65" t="n"/>
      <c r="AA511" s="65" t="n"/>
      <c r="AB511" s="65" t="n"/>
      <c r="AC511" s="65" t="n"/>
      <c r="AD511" s="65" t="n"/>
      <c r="AE511" s="65" t="n"/>
      <c r="AF511" s="65" t="n"/>
      <c r="AG511" s="65" t="n"/>
      <c r="AH511" s="65" t="n"/>
      <c r="AI511" s="65" t="n"/>
      <c r="AJ511" s="65" t="n"/>
      <c r="AK511" s="65" t="n"/>
      <c r="AL511" s="65" t="n"/>
      <c r="AM511" s="65" t="n"/>
      <c r="AN511" s="65" t="n"/>
      <c r="AO511" s="65" t="n"/>
      <c r="AP511" s="65" t="n"/>
    </row>
    <row r="512">
      <c r="F512" s="68" t="n"/>
      <c r="G512" s="68">
        <f>IF(B512="","",F512-I512 )</f>
        <v/>
      </c>
      <c r="H512" s="5">
        <f>IF(G512="","",G512/F512)</f>
        <v/>
      </c>
      <c r="J512" s="65" t="n"/>
      <c r="K512" s="65" t="n"/>
      <c r="L512" s="65" t="n"/>
      <c r="M512" s="65" t="n"/>
      <c r="N512" s="65" t="n"/>
      <c r="O512" s="65" t="n"/>
      <c r="P512" s="65" t="n"/>
      <c r="Q512" s="65" t="n"/>
      <c r="R512" s="65" t="n"/>
      <c r="S512" s="65" t="n"/>
      <c r="T512" s="65" t="n"/>
      <c r="U512" s="65" t="n"/>
      <c r="V512" s="77" t="n"/>
      <c r="W512" s="65" t="n"/>
      <c r="X512" s="65" t="n"/>
      <c r="Y512" s="65" t="n"/>
      <c r="Z512" s="65" t="n"/>
      <c r="AA512" s="65" t="n"/>
      <c r="AB512" s="65" t="n"/>
      <c r="AC512" s="65" t="n"/>
      <c r="AD512" s="65" t="n"/>
      <c r="AE512" s="65" t="n"/>
      <c r="AF512" s="65" t="n"/>
      <c r="AG512" s="65" t="n"/>
      <c r="AH512" s="65" t="n"/>
      <c r="AI512" s="65" t="n"/>
      <c r="AJ512" s="65" t="n"/>
      <c r="AK512" s="65" t="n"/>
      <c r="AL512" s="65" t="n"/>
      <c r="AM512" s="65" t="n"/>
      <c r="AN512" s="65" t="n"/>
      <c r="AO512" s="65" t="n"/>
      <c r="AP512" s="65" t="n"/>
    </row>
    <row r="513">
      <c r="F513" s="68" t="n"/>
      <c r="G513" s="68">
        <f>IF(B513="","",F513-I513 )</f>
        <v/>
      </c>
      <c r="H513" s="5">
        <f>IF(G513="","",G513/F513)</f>
        <v/>
      </c>
      <c r="J513" s="65" t="n"/>
      <c r="K513" s="65" t="n"/>
      <c r="L513" s="65" t="n"/>
      <c r="M513" s="65" t="n"/>
      <c r="N513" s="65" t="n"/>
      <c r="O513" s="65" t="n"/>
      <c r="P513" s="65" t="n"/>
      <c r="Q513" s="65" t="n"/>
      <c r="R513" s="65" t="n"/>
      <c r="S513" s="65" t="n"/>
      <c r="T513" s="65" t="n"/>
      <c r="U513" s="65" t="n"/>
      <c r="V513" s="77" t="n"/>
      <c r="W513" s="65" t="n"/>
      <c r="X513" s="65" t="n"/>
      <c r="Y513" s="65" t="n"/>
      <c r="Z513" s="65" t="n"/>
      <c r="AA513" s="65" t="n"/>
      <c r="AB513" s="65" t="n"/>
      <c r="AC513" s="65" t="n"/>
      <c r="AD513" s="65" t="n"/>
      <c r="AE513" s="65" t="n"/>
      <c r="AF513" s="65" t="n"/>
      <c r="AG513" s="65" t="n"/>
      <c r="AH513" s="65" t="n"/>
      <c r="AI513" s="65" t="n"/>
      <c r="AJ513" s="65" t="n"/>
      <c r="AK513" s="65" t="n"/>
      <c r="AL513" s="65" t="n"/>
      <c r="AM513" s="65" t="n"/>
      <c r="AN513" s="65" t="n"/>
      <c r="AO513" s="65" t="n"/>
      <c r="AP513" s="65" t="n"/>
    </row>
    <row r="514">
      <c r="F514" s="68" t="n"/>
      <c r="G514" s="68">
        <f>IF(B514="","",F514-I514 )</f>
        <v/>
      </c>
      <c r="H514" s="5">
        <f>IF(G514="","",G514/F514)</f>
        <v/>
      </c>
      <c r="J514" s="65" t="n"/>
      <c r="K514" s="65" t="n"/>
      <c r="L514" s="65" t="n"/>
      <c r="M514" s="65" t="n"/>
      <c r="N514" s="65" t="n"/>
      <c r="O514" s="65" t="n"/>
      <c r="P514" s="65" t="n"/>
      <c r="Q514" s="65" t="n"/>
      <c r="R514" s="65" t="n"/>
      <c r="S514" s="65" t="n"/>
      <c r="T514" s="65" t="n"/>
      <c r="U514" s="65" t="n"/>
      <c r="V514" s="77" t="n"/>
      <c r="W514" s="65" t="n"/>
      <c r="X514" s="65" t="n"/>
      <c r="Y514" s="65" t="n"/>
      <c r="Z514" s="65" t="n"/>
      <c r="AA514" s="65" t="n"/>
      <c r="AB514" s="65" t="n"/>
      <c r="AC514" s="65" t="n"/>
      <c r="AD514" s="65" t="n"/>
      <c r="AE514" s="65" t="n"/>
      <c r="AF514" s="65" t="n"/>
      <c r="AG514" s="65" t="n"/>
      <c r="AH514" s="65" t="n"/>
      <c r="AI514" s="65" t="n"/>
      <c r="AJ514" s="65" t="n"/>
      <c r="AK514" s="65" t="n"/>
      <c r="AL514" s="65" t="n"/>
      <c r="AM514" s="65" t="n"/>
      <c r="AN514" s="65" t="n"/>
      <c r="AO514" s="65" t="n"/>
      <c r="AP514" s="65" t="n"/>
    </row>
    <row r="515">
      <c r="F515" s="68" t="n"/>
      <c r="G515" s="68">
        <f>IF(B515="","",F515-I515 )</f>
        <v/>
      </c>
      <c r="H515" s="5">
        <f>IF(G515="","",G515/F515)</f>
        <v/>
      </c>
      <c r="J515" s="65" t="n"/>
      <c r="K515" s="65" t="n"/>
      <c r="L515" s="65" t="n"/>
      <c r="M515" s="65" t="n"/>
      <c r="N515" s="65" t="n"/>
      <c r="O515" s="65" t="n"/>
      <c r="P515" s="65" t="n"/>
      <c r="Q515" s="65" t="n"/>
      <c r="R515" s="65" t="n"/>
      <c r="S515" s="65" t="n"/>
      <c r="T515" s="65" t="n"/>
      <c r="U515" s="65" t="n"/>
      <c r="V515" s="77" t="n"/>
      <c r="W515" s="65" t="n"/>
      <c r="X515" s="65" t="n"/>
      <c r="Y515" s="65" t="n"/>
      <c r="Z515" s="65" t="n"/>
      <c r="AA515" s="65" t="n"/>
      <c r="AB515" s="65" t="n"/>
      <c r="AC515" s="65" t="n"/>
      <c r="AD515" s="65" t="n"/>
      <c r="AE515" s="65" t="n"/>
      <c r="AF515" s="65" t="n"/>
      <c r="AG515" s="65" t="n"/>
      <c r="AH515" s="65" t="n"/>
      <c r="AI515" s="65" t="n"/>
      <c r="AJ515" s="65" t="n"/>
      <c r="AK515" s="65" t="n"/>
      <c r="AL515" s="65" t="n"/>
      <c r="AM515" s="65" t="n"/>
      <c r="AN515" s="65" t="n"/>
      <c r="AO515" s="65" t="n"/>
      <c r="AP515" s="65" t="n"/>
    </row>
    <row r="516">
      <c r="F516" s="68" t="n"/>
      <c r="G516" s="68">
        <f>IF(B516="","",F516-I516 )</f>
        <v/>
      </c>
      <c r="H516" s="5">
        <f>IF(G516="","",G516/F516)</f>
        <v/>
      </c>
      <c r="J516" s="65" t="n"/>
      <c r="K516" s="65" t="n"/>
      <c r="L516" s="65" t="n"/>
      <c r="M516" s="65" t="n"/>
      <c r="N516" s="65" t="n"/>
      <c r="O516" s="65" t="n"/>
      <c r="P516" s="65" t="n"/>
      <c r="Q516" s="65" t="n"/>
      <c r="R516" s="65" t="n"/>
      <c r="S516" s="65" t="n"/>
      <c r="T516" s="65" t="n"/>
      <c r="U516" s="65" t="n"/>
      <c r="V516" s="77" t="n"/>
      <c r="W516" s="65" t="n"/>
      <c r="X516" s="65" t="n"/>
      <c r="Y516" s="65" t="n"/>
      <c r="Z516" s="65" t="n"/>
      <c r="AA516" s="65" t="n"/>
      <c r="AB516" s="65" t="n"/>
      <c r="AC516" s="65" t="n"/>
      <c r="AD516" s="65" t="n"/>
      <c r="AE516" s="65" t="n"/>
      <c r="AF516" s="65" t="n"/>
      <c r="AG516" s="65" t="n"/>
      <c r="AH516" s="65" t="n"/>
      <c r="AI516" s="65" t="n"/>
      <c r="AJ516" s="65" t="n"/>
      <c r="AK516" s="65" t="n"/>
      <c r="AL516" s="65" t="n"/>
      <c r="AM516" s="65" t="n"/>
      <c r="AN516" s="65" t="n"/>
      <c r="AO516" s="65" t="n"/>
      <c r="AP516" s="65" t="n"/>
    </row>
    <row r="517">
      <c r="F517" s="68" t="n"/>
      <c r="G517" s="68">
        <f>IF(B517="","",F517-I517 )</f>
        <v/>
      </c>
      <c r="H517" s="5">
        <f>IF(G517="","",G517/F517)</f>
        <v/>
      </c>
      <c r="J517" s="65" t="n"/>
      <c r="K517" s="65" t="n"/>
      <c r="L517" s="65" t="n"/>
      <c r="M517" s="65" t="n"/>
      <c r="N517" s="65" t="n"/>
      <c r="O517" s="65" t="n"/>
      <c r="P517" s="65" t="n"/>
      <c r="Q517" s="65" t="n"/>
      <c r="R517" s="65" t="n"/>
      <c r="S517" s="65" t="n"/>
      <c r="T517" s="65" t="n"/>
      <c r="U517" s="65" t="n"/>
      <c r="V517" s="77" t="n"/>
      <c r="W517" s="65" t="n"/>
      <c r="X517" s="65" t="n"/>
      <c r="Y517" s="65" t="n"/>
      <c r="Z517" s="65" t="n"/>
      <c r="AA517" s="65" t="n"/>
      <c r="AB517" s="65" t="n"/>
      <c r="AC517" s="65" t="n"/>
      <c r="AD517" s="65" t="n"/>
      <c r="AE517" s="65" t="n"/>
      <c r="AF517" s="65" t="n"/>
      <c r="AG517" s="65" t="n"/>
      <c r="AH517" s="65" t="n"/>
      <c r="AI517" s="65" t="n"/>
      <c r="AJ517" s="65" t="n"/>
      <c r="AK517" s="65" t="n"/>
      <c r="AL517" s="65" t="n"/>
      <c r="AM517" s="65" t="n"/>
      <c r="AN517" s="65" t="n"/>
      <c r="AO517" s="65" t="n"/>
      <c r="AP517" s="65" t="n"/>
    </row>
    <row r="518">
      <c r="F518" s="68" t="n"/>
      <c r="G518" s="68">
        <f>IF(B518="","",F518-I518 )</f>
        <v/>
      </c>
      <c r="H518" s="5">
        <f>IF(G518="","",G518/F518)</f>
        <v/>
      </c>
      <c r="J518" s="65" t="n"/>
      <c r="K518" s="65" t="n"/>
      <c r="L518" s="65" t="n"/>
      <c r="M518" s="65" t="n"/>
      <c r="N518" s="65" t="n"/>
      <c r="O518" s="65" t="n"/>
      <c r="P518" s="65" t="n"/>
      <c r="Q518" s="65" t="n"/>
      <c r="R518" s="65" t="n"/>
      <c r="S518" s="65" t="n"/>
      <c r="T518" s="65" t="n"/>
      <c r="U518" s="65" t="n"/>
      <c r="V518" s="77" t="n"/>
      <c r="W518" s="65" t="n"/>
      <c r="X518" s="65" t="n"/>
      <c r="Y518" s="65" t="n"/>
      <c r="Z518" s="65" t="n"/>
      <c r="AA518" s="65" t="n"/>
      <c r="AB518" s="65" t="n"/>
      <c r="AC518" s="65" t="n"/>
      <c r="AD518" s="65" t="n"/>
      <c r="AE518" s="65" t="n"/>
      <c r="AF518" s="65" t="n"/>
      <c r="AG518" s="65" t="n"/>
      <c r="AH518" s="65" t="n"/>
      <c r="AI518" s="65" t="n"/>
      <c r="AJ518" s="65" t="n"/>
      <c r="AK518" s="65" t="n"/>
      <c r="AL518" s="65" t="n"/>
      <c r="AM518" s="65" t="n"/>
      <c r="AN518" s="65" t="n"/>
      <c r="AO518" s="65" t="n"/>
      <c r="AP518" s="65" t="n"/>
    </row>
    <row r="519">
      <c r="F519" s="68" t="n"/>
      <c r="G519" s="68">
        <f>IF(B519="","",F519-I519 )</f>
        <v/>
      </c>
      <c r="H519" s="5">
        <f>IF(G519="","",G519/F519)</f>
        <v/>
      </c>
      <c r="J519" s="65" t="n"/>
      <c r="K519" s="65" t="n"/>
      <c r="L519" s="65" t="n"/>
      <c r="M519" s="65" t="n"/>
      <c r="N519" s="65" t="n"/>
      <c r="O519" s="65" t="n"/>
      <c r="P519" s="65" t="n"/>
      <c r="Q519" s="65" t="n"/>
      <c r="R519" s="65" t="n"/>
      <c r="S519" s="65" t="n"/>
      <c r="T519" s="65" t="n"/>
      <c r="U519" s="65" t="n"/>
      <c r="V519" s="77" t="n"/>
      <c r="W519" s="65" t="n"/>
      <c r="X519" s="65" t="n"/>
      <c r="Y519" s="65" t="n"/>
      <c r="Z519" s="65" t="n"/>
      <c r="AA519" s="65" t="n"/>
      <c r="AB519" s="65" t="n"/>
      <c r="AC519" s="65" t="n"/>
      <c r="AD519" s="65" t="n"/>
      <c r="AE519" s="65" t="n"/>
      <c r="AF519" s="65" t="n"/>
      <c r="AG519" s="65" t="n"/>
      <c r="AH519" s="65" t="n"/>
      <c r="AI519" s="65" t="n"/>
      <c r="AJ519" s="65" t="n"/>
      <c r="AK519" s="65" t="n"/>
      <c r="AL519" s="65" t="n"/>
      <c r="AM519" s="65" t="n"/>
      <c r="AN519" s="65" t="n"/>
      <c r="AO519" s="65" t="n"/>
      <c r="AP519" s="65" t="n"/>
    </row>
    <row r="520">
      <c r="F520" s="68" t="n"/>
      <c r="G520" s="68">
        <f>IF(B520="","",F520-I520 )</f>
        <v/>
      </c>
      <c r="H520" s="5">
        <f>IF(G520="","",G520/F520)</f>
        <v/>
      </c>
      <c r="J520" s="65" t="n"/>
      <c r="K520" s="65" t="n"/>
      <c r="L520" s="65" t="n"/>
      <c r="M520" s="65" t="n"/>
      <c r="N520" s="65" t="n"/>
      <c r="O520" s="65" t="n"/>
      <c r="P520" s="65" t="n"/>
      <c r="Q520" s="65" t="n"/>
      <c r="R520" s="65" t="n"/>
      <c r="S520" s="65" t="n"/>
      <c r="T520" s="65" t="n"/>
      <c r="U520" s="65" t="n"/>
      <c r="V520" s="77" t="n"/>
      <c r="W520" s="65" t="n"/>
      <c r="X520" s="65" t="n"/>
      <c r="Y520" s="65" t="n"/>
      <c r="Z520" s="65" t="n"/>
      <c r="AA520" s="65" t="n"/>
      <c r="AB520" s="65" t="n"/>
      <c r="AC520" s="65" t="n"/>
      <c r="AD520" s="65" t="n"/>
      <c r="AE520" s="65" t="n"/>
      <c r="AF520" s="65" t="n"/>
      <c r="AG520" s="65" t="n"/>
      <c r="AH520" s="65" t="n"/>
      <c r="AI520" s="65" t="n"/>
      <c r="AJ520" s="65" t="n"/>
      <c r="AK520" s="65" t="n"/>
      <c r="AL520" s="65" t="n"/>
      <c r="AM520" s="65" t="n"/>
      <c r="AN520" s="65" t="n"/>
      <c r="AO520" s="65" t="n"/>
      <c r="AP520" s="65" t="n"/>
    </row>
    <row r="521">
      <c r="F521" s="68" t="n"/>
      <c r="G521" s="68">
        <f>IF(B521="","",F521-I521 )</f>
        <v/>
      </c>
      <c r="H521" s="5">
        <f>IF(G521="","",G521/F521)</f>
        <v/>
      </c>
      <c r="J521" s="65" t="n"/>
      <c r="K521" s="65" t="n"/>
      <c r="L521" s="65" t="n"/>
      <c r="M521" s="65" t="n"/>
      <c r="N521" s="65" t="n"/>
      <c r="O521" s="65" t="n"/>
      <c r="P521" s="65" t="n"/>
      <c r="Q521" s="65" t="n"/>
      <c r="R521" s="65" t="n"/>
      <c r="S521" s="65" t="n"/>
      <c r="T521" s="65" t="n"/>
      <c r="U521" s="65" t="n"/>
      <c r="V521" s="77" t="n"/>
      <c r="W521" s="65" t="n"/>
      <c r="X521" s="65" t="n"/>
      <c r="Y521" s="65" t="n"/>
      <c r="Z521" s="65" t="n"/>
      <c r="AA521" s="65" t="n"/>
      <c r="AB521" s="65" t="n"/>
      <c r="AC521" s="65" t="n"/>
      <c r="AD521" s="65" t="n"/>
      <c r="AE521" s="65" t="n"/>
      <c r="AF521" s="65" t="n"/>
      <c r="AG521" s="65" t="n"/>
      <c r="AH521" s="65" t="n"/>
      <c r="AI521" s="65" t="n"/>
      <c r="AJ521" s="65" t="n"/>
      <c r="AK521" s="65" t="n"/>
      <c r="AL521" s="65" t="n"/>
      <c r="AM521" s="65" t="n"/>
      <c r="AN521" s="65" t="n"/>
      <c r="AO521" s="65" t="n"/>
      <c r="AP521" s="65" t="n"/>
    </row>
    <row r="522">
      <c r="F522" s="68" t="n"/>
      <c r="G522" s="68">
        <f>IF(B522="","",F522-I522 )</f>
        <v/>
      </c>
      <c r="H522" s="5">
        <f>IF(G522="","",G522/F522)</f>
        <v/>
      </c>
      <c r="J522" s="65" t="n"/>
      <c r="K522" s="65" t="n"/>
      <c r="L522" s="65" t="n"/>
      <c r="M522" s="65" t="n"/>
      <c r="N522" s="65" t="n"/>
      <c r="O522" s="65" t="n"/>
      <c r="P522" s="65" t="n"/>
      <c r="Q522" s="65" t="n"/>
      <c r="R522" s="65" t="n"/>
      <c r="S522" s="65" t="n"/>
      <c r="T522" s="65" t="n"/>
      <c r="U522" s="65" t="n"/>
      <c r="V522" s="77" t="n"/>
      <c r="W522" s="65" t="n"/>
      <c r="X522" s="65" t="n"/>
      <c r="Y522" s="65" t="n"/>
      <c r="Z522" s="65" t="n"/>
      <c r="AA522" s="65" t="n"/>
      <c r="AB522" s="65" t="n"/>
      <c r="AC522" s="65" t="n"/>
      <c r="AD522" s="65" t="n"/>
      <c r="AE522" s="65" t="n"/>
      <c r="AF522" s="65" t="n"/>
      <c r="AG522" s="65" t="n"/>
      <c r="AH522" s="65" t="n"/>
      <c r="AI522" s="65" t="n"/>
      <c r="AJ522" s="65" t="n"/>
      <c r="AK522" s="65" t="n"/>
      <c r="AL522" s="65" t="n"/>
      <c r="AM522" s="65" t="n"/>
      <c r="AN522" s="65" t="n"/>
      <c r="AO522" s="65" t="n"/>
      <c r="AP522" s="65" t="n"/>
    </row>
    <row r="523">
      <c r="F523" s="68" t="n"/>
      <c r="G523" s="68">
        <f>IF(B523="","",F523-I523 )</f>
        <v/>
      </c>
      <c r="H523" s="5">
        <f>IF(G523="","",G523/F523)</f>
        <v/>
      </c>
      <c r="J523" s="65" t="n"/>
      <c r="K523" s="65" t="n"/>
      <c r="L523" s="65" t="n"/>
      <c r="M523" s="65" t="n"/>
      <c r="N523" s="65" t="n"/>
      <c r="O523" s="65" t="n"/>
      <c r="P523" s="65" t="n"/>
      <c r="Q523" s="65" t="n"/>
      <c r="R523" s="65" t="n"/>
      <c r="S523" s="65" t="n"/>
      <c r="T523" s="65" t="n"/>
      <c r="U523" s="65" t="n"/>
      <c r="V523" s="77" t="n"/>
      <c r="W523" s="65" t="n"/>
      <c r="X523" s="65" t="n"/>
      <c r="Y523" s="65" t="n"/>
      <c r="Z523" s="65" t="n"/>
      <c r="AA523" s="65" t="n"/>
      <c r="AB523" s="65" t="n"/>
      <c r="AC523" s="65" t="n"/>
      <c r="AD523" s="65" t="n"/>
      <c r="AE523" s="65" t="n"/>
      <c r="AF523" s="65" t="n"/>
      <c r="AG523" s="65" t="n"/>
      <c r="AH523" s="65" t="n"/>
      <c r="AI523" s="65" t="n"/>
      <c r="AJ523" s="65" t="n"/>
      <c r="AK523" s="65" t="n"/>
      <c r="AL523" s="65" t="n"/>
      <c r="AM523" s="65" t="n"/>
      <c r="AN523" s="65" t="n"/>
      <c r="AO523" s="65" t="n"/>
      <c r="AP523" s="65" t="n"/>
    </row>
    <row r="524">
      <c r="F524" s="68" t="n"/>
      <c r="G524" s="68">
        <f>IF(B524="","",F524-I524 )</f>
        <v/>
      </c>
      <c r="H524" s="5">
        <f>IF(G524="","",G524/F524)</f>
        <v/>
      </c>
      <c r="J524" s="65" t="n"/>
      <c r="K524" s="65" t="n"/>
      <c r="L524" s="65" t="n"/>
      <c r="M524" s="65" t="n"/>
      <c r="N524" s="65" t="n"/>
      <c r="O524" s="65" t="n"/>
      <c r="P524" s="65" t="n"/>
      <c r="Q524" s="65" t="n"/>
      <c r="R524" s="65" t="n"/>
      <c r="S524" s="65" t="n"/>
      <c r="T524" s="65" t="n"/>
      <c r="U524" s="65" t="n"/>
      <c r="V524" s="77" t="n"/>
      <c r="W524" s="65" t="n"/>
      <c r="X524" s="65" t="n"/>
      <c r="Y524" s="65" t="n"/>
      <c r="Z524" s="65" t="n"/>
      <c r="AA524" s="65" t="n"/>
      <c r="AB524" s="65" t="n"/>
      <c r="AC524" s="65" t="n"/>
      <c r="AD524" s="65" t="n"/>
      <c r="AE524" s="65" t="n"/>
      <c r="AF524" s="65" t="n"/>
      <c r="AG524" s="65" t="n"/>
      <c r="AH524" s="65" t="n"/>
      <c r="AI524" s="65" t="n"/>
      <c r="AJ524" s="65" t="n"/>
      <c r="AK524" s="65" t="n"/>
      <c r="AL524" s="65" t="n"/>
      <c r="AM524" s="65" t="n"/>
      <c r="AN524" s="65" t="n"/>
      <c r="AO524" s="65" t="n"/>
      <c r="AP524" s="65" t="n"/>
    </row>
    <row r="525">
      <c r="F525" s="68" t="n"/>
      <c r="G525" s="68">
        <f>IF(B525="","",F525-I525 )</f>
        <v/>
      </c>
      <c r="H525" s="5">
        <f>IF(G525="","",G525/F525)</f>
        <v/>
      </c>
      <c r="J525" s="65" t="n"/>
      <c r="K525" s="65" t="n"/>
      <c r="L525" s="65" t="n"/>
      <c r="M525" s="65" t="n"/>
      <c r="N525" s="65" t="n"/>
      <c r="O525" s="65" t="n"/>
      <c r="P525" s="65" t="n"/>
      <c r="Q525" s="65" t="n"/>
      <c r="R525" s="65" t="n"/>
      <c r="S525" s="65" t="n"/>
      <c r="T525" s="65" t="n"/>
      <c r="U525" s="65" t="n"/>
      <c r="V525" s="77" t="n"/>
      <c r="W525" s="65" t="n"/>
      <c r="X525" s="65" t="n"/>
      <c r="Y525" s="65" t="n"/>
      <c r="Z525" s="65" t="n"/>
      <c r="AA525" s="65" t="n"/>
      <c r="AB525" s="65" t="n"/>
      <c r="AC525" s="65" t="n"/>
      <c r="AD525" s="65" t="n"/>
      <c r="AE525" s="65" t="n"/>
      <c r="AF525" s="65" t="n"/>
      <c r="AG525" s="65" t="n"/>
      <c r="AH525" s="65" t="n"/>
      <c r="AI525" s="65" t="n"/>
      <c r="AJ525" s="65" t="n"/>
      <c r="AK525" s="65" t="n"/>
      <c r="AL525" s="65" t="n"/>
      <c r="AM525" s="65" t="n"/>
      <c r="AN525" s="65" t="n"/>
      <c r="AO525" s="65" t="n"/>
      <c r="AP525" s="65" t="n"/>
    </row>
    <row r="526">
      <c r="F526" s="68" t="n"/>
      <c r="G526" s="68">
        <f>IF(B526="","",F526-I526 )</f>
        <v/>
      </c>
      <c r="H526" s="5">
        <f>IF(G526="","",G526/F526)</f>
        <v/>
      </c>
      <c r="J526" s="65" t="n"/>
      <c r="K526" s="65" t="n"/>
      <c r="L526" s="65" t="n"/>
      <c r="M526" s="65" t="n"/>
      <c r="N526" s="65" t="n"/>
      <c r="O526" s="65" t="n"/>
      <c r="P526" s="65" t="n"/>
      <c r="Q526" s="65" t="n"/>
      <c r="R526" s="65" t="n"/>
      <c r="S526" s="65" t="n"/>
      <c r="T526" s="65" t="n"/>
      <c r="U526" s="65" t="n"/>
      <c r="V526" s="77" t="n"/>
      <c r="W526" s="65" t="n"/>
      <c r="X526" s="65" t="n"/>
      <c r="Y526" s="65" t="n"/>
      <c r="Z526" s="65" t="n"/>
      <c r="AA526" s="65" t="n"/>
      <c r="AB526" s="65" t="n"/>
      <c r="AC526" s="65" t="n"/>
      <c r="AD526" s="65" t="n"/>
      <c r="AE526" s="65" t="n"/>
      <c r="AF526" s="65" t="n"/>
      <c r="AG526" s="65" t="n"/>
      <c r="AH526" s="65" t="n"/>
      <c r="AI526" s="65" t="n"/>
      <c r="AJ526" s="65" t="n"/>
      <c r="AK526" s="65" t="n"/>
      <c r="AL526" s="65" t="n"/>
      <c r="AM526" s="65" t="n"/>
      <c r="AN526" s="65" t="n"/>
      <c r="AO526" s="65" t="n"/>
      <c r="AP526" s="65" t="n"/>
    </row>
    <row r="527">
      <c r="F527" s="68" t="n"/>
      <c r="G527" s="68">
        <f>IF(B527="","",F527-I527 )</f>
        <v/>
      </c>
      <c r="H527" s="5">
        <f>IF(G527="","",G527/F527)</f>
        <v/>
      </c>
      <c r="J527" s="65" t="n"/>
      <c r="K527" s="65" t="n"/>
      <c r="L527" s="65" t="n"/>
      <c r="M527" s="65" t="n"/>
      <c r="N527" s="65" t="n"/>
      <c r="O527" s="65" t="n"/>
      <c r="P527" s="65" t="n"/>
      <c r="Q527" s="65" t="n"/>
      <c r="R527" s="65" t="n"/>
      <c r="S527" s="65" t="n"/>
      <c r="T527" s="65" t="n"/>
      <c r="U527" s="65" t="n"/>
      <c r="V527" s="77" t="n"/>
      <c r="W527" s="65" t="n"/>
      <c r="X527" s="65" t="n"/>
      <c r="Y527" s="65" t="n"/>
      <c r="Z527" s="65" t="n"/>
      <c r="AA527" s="65" t="n"/>
      <c r="AB527" s="65" t="n"/>
      <c r="AC527" s="65" t="n"/>
      <c r="AD527" s="65" t="n"/>
      <c r="AE527" s="65" t="n"/>
      <c r="AF527" s="65" t="n"/>
      <c r="AG527" s="65" t="n"/>
      <c r="AH527" s="65" t="n"/>
      <c r="AI527" s="65" t="n"/>
      <c r="AJ527" s="65" t="n"/>
      <c r="AK527" s="65" t="n"/>
      <c r="AL527" s="65" t="n"/>
      <c r="AM527" s="65" t="n"/>
      <c r="AN527" s="65" t="n"/>
      <c r="AO527" s="65" t="n"/>
      <c r="AP527" s="65" t="n"/>
    </row>
    <row r="528">
      <c r="F528" s="68" t="n"/>
      <c r="G528" s="68">
        <f>IF(B528="","",F528-I528 )</f>
        <v/>
      </c>
      <c r="H528" s="5">
        <f>IF(G528="","",G528/F528)</f>
        <v/>
      </c>
      <c r="J528" s="65" t="n"/>
      <c r="K528" s="65" t="n"/>
      <c r="L528" s="65" t="n"/>
      <c r="M528" s="65" t="n"/>
      <c r="N528" s="65" t="n"/>
      <c r="O528" s="65" t="n"/>
      <c r="P528" s="65" t="n"/>
      <c r="Q528" s="65" t="n"/>
      <c r="R528" s="65" t="n"/>
      <c r="S528" s="65" t="n"/>
      <c r="T528" s="65" t="n"/>
      <c r="U528" s="65" t="n"/>
      <c r="V528" s="77" t="n"/>
      <c r="W528" s="65" t="n"/>
      <c r="X528" s="65" t="n"/>
      <c r="Y528" s="65" t="n"/>
      <c r="Z528" s="65" t="n"/>
      <c r="AA528" s="65" t="n"/>
      <c r="AB528" s="65" t="n"/>
      <c r="AC528" s="65" t="n"/>
      <c r="AD528" s="65" t="n"/>
      <c r="AE528" s="65" t="n"/>
      <c r="AF528" s="65" t="n"/>
      <c r="AG528" s="65" t="n"/>
      <c r="AH528" s="65" t="n"/>
      <c r="AI528" s="65" t="n"/>
      <c r="AJ528" s="65" t="n"/>
      <c r="AK528" s="65" t="n"/>
      <c r="AL528" s="65" t="n"/>
      <c r="AM528" s="65" t="n"/>
      <c r="AN528" s="65" t="n"/>
      <c r="AO528" s="65" t="n"/>
      <c r="AP528" s="65" t="n"/>
    </row>
    <row r="529">
      <c r="F529" s="68" t="n"/>
      <c r="G529" s="68">
        <f>IF(B529="","",F529-I529 )</f>
        <v/>
      </c>
      <c r="H529" s="5">
        <f>IF(G529="","",G529/F529)</f>
        <v/>
      </c>
      <c r="J529" s="65" t="n"/>
      <c r="K529" s="65" t="n"/>
      <c r="L529" s="65" t="n"/>
      <c r="M529" s="65" t="n"/>
      <c r="N529" s="65" t="n"/>
      <c r="O529" s="65" t="n"/>
      <c r="P529" s="65" t="n"/>
      <c r="Q529" s="65" t="n"/>
      <c r="R529" s="65" t="n"/>
      <c r="S529" s="65" t="n"/>
      <c r="T529" s="65" t="n"/>
      <c r="U529" s="65" t="n"/>
      <c r="V529" s="77" t="n"/>
      <c r="W529" s="65" t="n"/>
      <c r="X529" s="65" t="n"/>
      <c r="Y529" s="65" t="n"/>
      <c r="Z529" s="65" t="n"/>
      <c r="AA529" s="65" t="n"/>
      <c r="AB529" s="65" t="n"/>
      <c r="AC529" s="65" t="n"/>
      <c r="AD529" s="65" t="n"/>
      <c r="AE529" s="65" t="n"/>
      <c r="AF529" s="65" t="n"/>
      <c r="AG529" s="65" t="n"/>
      <c r="AH529" s="65" t="n"/>
      <c r="AI529" s="65" t="n"/>
      <c r="AJ529" s="65" t="n"/>
      <c r="AK529" s="65" t="n"/>
      <c r="AL529" s="65" t="n"/>
      <c r="AM529" s="65" t="n"/>
      <c r="AN529" s="65" t="n"/>
      <c r="AO529" s="65" t="n"/>
      <c r="AP529" s="65" t="n"/>
    </row>
    <row r="530">
      <c r="F530" s="68" t="n"/>
      <c r="G530" s="68">
        <f>IF(B530="","",F530-I530 )</f>
        <v/>
      </c>
      <c r="H530" s="5">
        <f>IF(G530="","",G530/F530)</f>
        <v/>
      </c>
      <c r="J530" s="65" t="n"/>
      <c r="K530" s="65" t="n"/>
      <c r="L530" s="65" t="n"/>
      <c r="M530" s="65" t="n"/>
      <c r="N530" s="65" t="n"/>
      <c r="O530" s="65" t="n"/>
      <c r="P530" s="65" t="n"/>
      <c r="Q530" s="65" t="n"/>
      <c r="R530" s="65" t="n"/>
      <c r="S530" s="65" t="n"/>
      <c r="T530" s="65" t="n"/>
      <c r="U530" s="65" t="n"/>
      <c r="V530" s="77" t="n"/>
      <c r="W530" s="65" t="n"/>
      <c r="X530" s="65" t="n"/>
      <c r="Y530" s="65" t="n"/>
      <c r="Z530" s="65" t="n"/>
      <c r="AA530" s="65" t="n"/>
      <c r="AB530" s="65" t="n"/>
      <c r="AC530" s="65" t="n"/>
      <c r="AD530" s="65" t="n"/>
      <c r="AE530" s="65" t="n"/>
      <c r="AF530" s="65" t="n"/>
      <c r="AG530" s="65" t="n"/>
      <c r="AH530" s="65" t="n"/>
      <c r="AI530" s="65" t="n"/>
      <c r="AJ530" s="65" t="n"/>
      <c r="AK530" s="65" t="n"/>
      <c r="AL530" s="65" t="n"/>
      <c r="AM530" s="65" t="n"/>
      <c r="AN530" s="65" t="n"/>
      <c r="AO530" s="65" t="n"/>
      <c r="AP530" s="65" t="n"/>
    </row>
    <row r="531">
      <c r="F531" s="68" t="n"/>
      <c r="G531" s="68">
        <f>IF(B531="","",F531-I531 )</f>
        <v/>
      </c>
      <c r="H531" s="5">
        <f>IF(G531="","",G531/F531)</f>
        <v/>
      </c>
      <c r="J531" s="65" t="n"/>
      <c r="K531" s="65" t="n"/>
      <c r="L531" s="65" t="n"/>
      <c r="M531" s="65" t="n"/>
      <c r="N531" s="65" t="n"/>
      <c r="O531" s="65" t="n"/>
      <c r="P531" s="65" t="n"/>
      <c r="Q531" s="65" t="n"/>
      <c r="R531" s="65" t="n"/>
      <c r="S531" s="65" t="n"/>
      <c r="T531" s="65" t="n"/>
      <c r="U531" s="65" t="n"/>
      <c r="V531" s="77" t="n"/>
      <c r="W531" s="65" t="n"/>
      <c r="X531" s="65" t="n"/>
      <c r="Y531" s="65" t="n"/>
      <c r="Z531" s="65" t="n"/>
      <c r="AA531" s="65" t="n"/>
      <c r="AB531" s="65" t="n"/>
      <c r="AC531" s="65" t="n"/>
      <c r="AD531" s="65" t="n"/>
      <c r="AE531" s="65" t="n"/>
      <c r="AF531" s="65" t="n"/>
      <c r="AG531" s="65" t="n"/>
      <c r="AH531" s="65" t="n"/>
      <c r="AI531" s="65" t="n"/>
      <c r="AJ531" s="65" t="n"/>
      <c r="AK531" s="65" t="n"/>
      <c r="AL531" s="65" t="n"/>
      <c r="AM531" s="65" t="n"/>
      <c r="AN531" s="65" t="n"/>
      <c r="AO531" s="65" t="n"/>
      <c r="AP531" s="65" t="n"/>
    </row>
    <row r="532">
      <c r="F532" s="68" t="n"/>
      <c r="G532" s="68">
        <f>IF(B532="","",F532-I532 )</f>
        <v/>
      </c>
      <c r="H532" s="5">
        <f>IF(G532="","",G532/F532)</f>
        <v/>
      </c>
      <c r="J532" s="65" t="n"/>
      <c r="K532" s="65" t="n"/>
      <c r="L532" s="65" t="n"/>
      <c r="M532" s="65" t="n"/>
      <c r="N532" s="65" t="n"/>
      <c r="O532" s="65" t="n"/>
      <c r="P532" s="65" t="n"/>
      <c r="Q532" s="65" t="n"/>
      <c r="R532" s="65" t="n"/>
      <c r="S532" s="65" t="n"/>
      <c r="T532" s="65" t="n"/>
      <c r="U532" s="65" t="n"/>
      <c r="V532" s="77" t="n"/>
      <c r="W532" s="65" t="n"/>
      <c r="X532" s="65" t="n"/>
      <c r="Y532" s="65" t="n"/>
      <c r="Z532" s="65" t="n"/>
      <c r="AA532" s="65" t="n"/>
      <c r="AB532" s="65" t="n"/>
      <c r="AC532" s="65" t="n"/>
      <c r="AD532" s="65" t="n"/>
      <c r="AE532" s="65" t="n"/>
      <c r="AF532" s="65" t="n"/>
      <c r="AG532" s="65" t="n"/>
      <c r="AH532" s="65" t="n"/>
      <c r="AI532" s="65" t="n"/>
      <c r="AJ532" s="65" t="n"/>
      <c r="AK532" s="65" t="n"/>
      <c r="AL532" s="65" t="n"/>
      <c r="AM532" s="65" t="n"/>
      <c r="AN532" s="65" t="n"/>
      <c r="AO532" s="65" t="n"/>
      <c r="AP532" s="65" t="n"/>
    </row>
    <row r="533">
      <c r="F533" s="68" t="n"/>
      <c r="G533" s="68">
        <f>IF(B533="","",F533-I533 )</f>
        <v/>
      </c>
      <c r="H533" s="5">
        <f>IF(G533="","",G533/F533)</f>
        <v/>
      </c>
      <c r="J533" s="65" t="n"/>
      <c r="K533" s="65" t="n"/>
      <c r="L533" s="65" t="n"/>
      <c r="M533" s="65" t="n"/>
      <c r="N533" s="65" t="n"/>
      <c r="O533" s="65" t="n"/>
      <c r="P533" s="65" t="n"/>
      <c r="Q533" s="65" t="n"/>
      <c r="R533" s="65" t="n"/>
      <c r="S533" s="65" t="n"/>
      <c r="T533" s="65" t="n"/>
      <c r="U533" s="65" t="n"/>
      <c r="V533" s="77" t="n"/>
      <c r="W533" s="65" t="n"/>
      <c r="X533" s="65" t="n"/>
      <c r="Y533" s="65" t="n"/>
      <c r="Z533" s="65" t="n"/>
      <c r="AA533" s="65" t="n"/>
      <c r="AB533" s="65" t="n"/>
      <c r="AC533" s="65" t="n"/>
      <c r="AD533" s="65" t="n"/>
      <c r="AE533" s="65" t="n"/>
      <c r="AF533" s="65" t="n"/>
      <c r="AG533" s="65" t="n"/>
      <c r="AH533" s="65" t="n"/>
      <c r="AI533" s="65" t="n"/>
      <c r="AJ533" s="65" t="n"/>
      <c r="AK533" s="65" t="n"/>
      <c r="AL533" s="65" t="n"/>
      <c r="AM533" s="65" t="n"/>
      <c r="AN533" s="65" t="n"/>
      <c r="AO533" s="65" t="n"/>
      <c r="AP533" s="65" t="n"/>
    </row>
    <row r="534">
      <c r="F534" s="68" t="n"/>
      <c r="G534" s="68">
        <f>IF(B534="","",F534-I534 )</f>
        <v/>
      </c>
      <c r="H534" s="5">
        <f>IF(G534="","",G534/F534)</f>
        <v/>
      </c>
      <c r="J534" s="65" t="n"/>
      <c r="K534" s="65" t="n"/>
      <c r="L534" s="65" t="n"/>
      <c r="M534" s="65" t="n"/>
      <c r="N534" s="65" t="n"/>
      <c r="O534" s="65" t="n"/>
      <c r="P534" s="65" t="n"/>
      <c r="Q534" s="65" t="n"/>
      <c r="R534" s="65" t="n"/>
      <c r="S534" s="65" t="n"/>
      <c r="T534" s="65" t="n"/>
      <c r="U534" s="65" t="n"/>
      <c r="V534" s="77" t="n"/>
      <c r="W534" s="65" t="n"/>
      <c r="X534" s="65" t="n"/>
      <c r="Y534" s="65" t="n"/>
      <c r="Z534" s="65" t="n"/>
      <c r="AA534" s="65" t="n"/>
      <c r="AB534" s="65" t="n"/>
      <c r="AC534" s="65" t="n"/>
      <c r="AD534" s="65" t="n"/>
      <c r="AE534" s="65" t="n"/>
      <c r="AF534" s="65" t="n"/>
      <c r="AG534" s="65" t="n"/>
      <c r="AH534" s="65" t="n"/>
      <c r="AI534" s="65" t="n"/>
      <c r="AJ534" s="65" t="n"/>
      <c r="AK534" s="65" t="n"/>
      <c r="AL534" s="65" t="n"/>
      <c r="AM534" s="65" t="n"/>
      <c r="AN534" s="65" t="n"/>
      <c r="AO534" s="65" t="n"/>
      <c r="AP534" s="65" t="n"/>
    </row>
    <row r="535">
      <c r="F535" s="68" t="n"/>
      <c r="G535" s="68">
        <f>IF(B535="","",F535-I535 )</f>
        <v/>
      </c>
      <c r="H535" s="5">
        <f>IF(G535="","",G535/F535)</f>
        <v/>
      </c>
      <c r="J535" s="65" t="n"/>
      <c r="K535" s="65" t="n"/>
      <c r="L535" s="65" t="n"/>
      <c r="M535" s="65" t="n"/>
      <c r="N535" s="65" t="n"/>
      <c r="O535" s="65" t="n"/>
      <c r="P535" s="65" t="n"/>
      <c r="Q535" s="65" t="n"/>
      <c r="R535" s="65" t="n"/>
      <c r="S535" s="65" t="n"/>
      <c r="T535" s="65" t="n"/>
      <c r="U535" s="65" t="n"/>
      <c r="V535" s="77" t="n"/>
      <c r="W535" s="65" t="n"/>
      <c r="X535" s="65" t="n"/>
      <c r="Y535" s="65" t="n"/>
      <c r="Z535" s="65" t="n"/>
      <c r="AA535" s="65" t="n"/>
      <c r="AB535" s="65" t="n"/>
      <c r="AC535" s="65" t="n"/>
      <c r="AD535" s="65" t="n"/>
      <c r="AE535" s="65" t="n"/>
      <c r="AF535" s="65" t="n"/>
      <c r="AG535" s="65" t="n"/>
      <c r="AH535" s="65" t="n"/>
      <c r="AI535" s="65" t="n"/>
      <c r="AJ535" s="65" t="n"/>
      <c r="AK535" s="65" t="n"/>
      <c r="AL535" s="65" t="n"/>
      <c r="AM535" s="65" t="n"/>
      <c r="AN535" s="65" t="n"/>
      <c r="AO535" s="65" t="n"/>
      <c r="AP535" s="65" t="n"/>
    </row>
    <row r="536">
      <c r="F536" s="68" t="n"/>
      <c r="G536" s="68">
        <f>IF(B536="","",F536-I536 )</f>
        <v/>
      </c>
      <c r="H536" s="5">
        <f>IF(G536="","",G536/F536)</f>
        <v/>
      </c>
      <c r="J536" s="65" t="n"/>
      <c r="K536" s="65" t="n"/>
      <c r="L536" s="65" t="n"/>
      <c r="M536" s="65" t="n"/>
      <c r="N536" s="65" t="n"/>
      <c r="O536" s="65" t="n"/>
      <c r="P536" s="65" t="n"/>
      <c r="Q536" s="65" t="n"/>
      <c r="R536" s="65" t="n"/>
      <c r="S536" s="65" t="n"/>
      <c r="T536" s="65" t="n"/>
      <c r="U536" s="65" t="n"/>
      <c r="V536" s="77" t="n"/>
      <c r="W536" s="65" t="n"/>
      <c r="X536" s="65" t="n"/>
      <c r="Y536" s="65" t="n"/>
      <c r="Z536" s="65" t="n"/>
      <c r="AA536" s="65" t="n"/>
      <c r="AB536" s="65" t="n"/>
      <c r="AC536" s="65" t="n"/>
      <c r="AD536" s="65" t="n"/>
      <c r="AE536" s="65" t="n"/>
      <c r="AF536" s="65" t="n"/>
      <c r="AG536" s="65" t="n"/>
      <c r="AH536" s="65" t="n"/>
      <c r="AI536" s="65" t="n"/>
      <c r="AJ536" s="65" t="n"/>
      <c r="AK536" s="65" t="n"/>
      <c r="AL536" s="65" t="n"/>
      <c r="AM536" s="65" t="n"/>
      <c r="AN536" s="65" t="n"/>
      <c r="AO536" s="65" t="n"/>
      <c r="AP536" s="65" t="n"/>
    </row>
    <row r="537">
      <c r="F537" s="68" t="n"/>
      <c r="G537" s="68">
        <f>IF(B537="","",F537-I537 )</f>
        <v/>
      </c>
      <c r="H537" s="5">
        <f>IF(G537="","",G537/F537)</f>
        <v/>
      </c>
      <c r="J537" s="65" t="n"/>
      <c r="K537" s="65" t="n"/>
      <c r="L537" s="65" t="n"/>
      <c r="M537" s="65" t="n"/>
      <c r="N537" s="65" t="n"/>
      <c r="O537" s="65" t="n"/>
      <c r="P537" s="65" t="n"/>
      <c r="Q537" s="65" t="n"/>
      <c r="R537" s="65" t="n"/>
      <c r="S537" s="65" t="n"/>
      <c r="T537" s="65" t="n"/>
      <c r="U537" s="65" t="n"/>
      <c r="V537" s="77" t="n"/>
      <c r="W537" s="65" t="n"/>
      <c r="X537" s="65" t="n"/>
      <c r="Y537" s="65" t="n"/>
      <c r="Z537" s="65" t="n"/>
      <c r="AA537" s="65" t="n"/>
      <c r="AB537" s="65" t="n"/>
      <c r="AC537" s="65" t="n"/>
      <c r="AD537" s="65" t="n"/>
      <c r="AE537" s="65" t="n"/>
      <c r="AF537" s="65" t="n"/>
      <c r="AG537" s="65" t="n"/>
      <c r="AH537" s="65" t="n"/>
      <c r="AI537" s="65" t="n"/>
      <c r="AJ537" s="65" t="n"/>
      <c r="AK537" s="65" t="n"/>
      <c r="AL537" s="65" t="n"/>
      <c r="AM537" s="65" t="n"/>
      <c r="AN537" s="65" t="n"/>
      <c r="AO537" s="65" t="n"/>
      <c r="AP537" s="65" t="n"/>
    </row>
    <row r="538">
      <c r="F538" s="68" t="n"/>
      <c r="G538" s="68">
        <f>IF(B538="","",F538-I538 )</f>
        <v/>
      </c>
      <c r="H538" s="5">
        <f>IF(G538="","",G538/F538)</f>
        <v/>
      </c>
      <c r="J538" s="65" t="n"/>
      <c r="K538" s="65" t="n"/>
      <c r="L538" s="65" t="n"/>
      <c r="M538" s="65" t="n"/>
      <c r="N538" s="65" t="n"/>
      <c r="O538" s="65" t="n"/>
      <c r="P538" s="65" t="n"/>
      <c r="Q538" s="65" t="n"/>
      <c r="R538" s="65" t="n"/>
      <c r="S538" s="65" t="n"/>
      <c r="T538" s="65" t="n"/>
      <c r="U538" s="65" t="n"/>
      <c r="V538" s="77" t="n"/>
      <c r="W538" s="65" t="n"/>
      <c r="X538" s="65" t="n"/>
      <c r="Y538" s="65" t="n"/>
      <c r="Z538" s="65" t="n"/>
      <c r="AA538" s="65" t="n"/>
      <c r="AB538" s="65" t="n"/>
      <c r="AC538" s="65" t="n"/>
      <c r="AD538" s="65" t="n"/>
      <c r="AE538" s="65" t="n"/>
      <c r="AF538" s="65" t="n"/>
      <c r="AG538" s="65" t="n"/>
      <c r="AH538" s="65" t="n"/>
      <c r="AI538" s="65" t="n"/>
      <c r="AJ538" s="65" t="n"/>
      <c r="AK538" s="65" t="n"/>
      <c r="AL538" s="65" t="n"/>
      <c r="AM538" s="65" t="n"/>
      <c r="AN538" s="65" t="n"/>
      <c r="AO538" s="65" t="n"/>
      <c r="AP538" s="65" t="n"/>
    </row>
    <row r="539">
      <c r="F539" s="68" t="n"/>
      <c r="G539" s="68">
        <f>IF(B539="","",F539-I539 )</f>
        <v/>
      </c>
      <c r="H539" s="5">
        <f>IF(G539="","",G539/F539)</f>
        <v/>
      </c>
      <c r="J539" s="65" t="n"/>
      <c r="K539" s="65" t="n"/>
      <c r="L539" s="65" t="n"/>
      <c r="M539" s="65" t="n"/>
      <c r="N539" s="65" t="n"/>
      <c r="O539" s="65" t="n"/>
      <c r="P539" s="65" t="n"/>
      <c r="Q539" s="65" t="n"/>
      <c r="R539" s="65" t="n"/>
      <c r="S539" s="65" t="n"/>
      <c r="T539" s="65" t="n"/>
      <c r="U539" s="65" t="n"/>
      <c r="V539" s="77" t="n"/>
      <c r="W539" s="65" t="n"/>
      <c r="X539" s="65" t="n"/>
      <c r="Y539" s="65" t="n"/>
      <c r="Z539" s="65" t="n"/>
      <c r="AA539" s="65" t="n"/>
      <c r="AB539" s="65" t="n"/>
      <c r="AC539" s="65" t="n"/>
      <c r="AD539" s="65" t="n"/>
      <c r="AE539" s="65" t="n"/>
      <c r="AF539" s="65" t="n"/>
      <c r="AG539" s="65" t="n"/>
      <c r="AH539" s="65" t="n"/>
      <c r="AI539" s="65" t="n"/>
      <c r="AJ539" s="65" t="n"/>
      <c r="AK539" s="65" t="n"/>
      <c r="AL539" s="65" t="n"/>
      <c r="AM539" s="65" t="n"/>
      <c r="AN539" s="65" t="n"/>
      <c r="AO539" s="65" t="n"/>
      <c r="AP539" s="65" t="n"/>
    </row>
    <row r="540">
      <c r="F540" s="68" t="n"/>
      <c r="G540" s="68">
        <f>IF(B540="","",F540-I540 )</f>
        <v/>
      </c>
      <c r="H540" s="5">
        <f>IF(G540="","",G540/F540)</f>
        <v/>
      </c>
      <c r="J540" s="65" t="n"/>
      <c r="K540" s="65" t="n"/>
      <c r="L540" s="65" t="n"/>
      <c r="M540" s="65" t="n"/>
      <c r="N540" s="65" t="n"/>
      <c r="O540" s="65" t="n"/>
      <c r="P540" s="65" t="n"/>
      <c r="Q540" s="65" t="n"/>
      <c r="R540" s="65" t="n"/>
      <c r="S540" s="65" t="n"/>
      <c r="T540" s="65" t="n"/>
      <c r="U540" s="65" t="n"/>
      <c r="V540" s="77" t="n"/>
      <c r="W540" s="65" t="n"/>
      <c r="X540" s="65" t="n"/>
      <c r="Y540" s="65" t="n"/>
      <c r="Z540" s="65" t="n"/>
      <c r="AA540" s="65" t="n"/>
      <c r="AB540" s="65" t="n"/>
      <c r="AC540" s="65" t="n"/>
      <c r="AD540" s="65" t="n"/>
      <c r="AE540" s="65" t="n"/>
      <c r="AF540" s="65" t="n"/>
      <c r="AG540" s="65" t="n"/>
      <c r="AH540" s="65" t="n"/>
      <c r="AI540" s="65" t="n"/>
      <c r="AJ540" s="65" t="n"/>
      <c r="AK540" s="65" t="n"/>
      <c r="AL540" s="65" t="n"/>
      <c r="AM540" s="65" t="n"/>
      <c r="AN540" s="65" t="n"/>
      <c r="AO540" s="65" t="n"/>
      <c r="AP540" s="65" t="n"/>
    </row>
    <row r="541">
      <c r="F541" s="68" t="n"/>
      <c r="G541" s="68">
        <f>IF(B541="","",F541-I541 )</f>
        <v/>
      </c>
      <c r="H541" s="5">
        <f>IF(G541="","",G541/F541)</f>
        <v/>
      </c>
      <c r="J541" s="65" t="n"/>
      <c r="K541" s="65" t="n"/>
      <c r="L541" s="65" t="n"/>
      <c r="M541" s="65" t="n"/>
      <c r="N541" s="65" t="n"/>
      <c r="O541" s="65" t="n"/>
      <c r="P541" s="65" t="n"/>
      <c r="Q541" s="65" t="n"/>
      <c r="R541" s="65" t="n"/>
      <c r="S541" s="65" t="n"/>
      <c r="T541" s="65" t="n"/>
      <c r="U541" s="65" t="n"/>
      <c r="V541" s="77" t="n"/>
      <c r="W541" s="65" t="n"/>
      <c r="X541" s="65" t="n"/>
      <c r="Y541" s="65" t="n"/>
      <c r="Z541" s="65" t="n"/>
      <c r="AA541" s="65" t="n"/>
      <c r="AB541" s="65" t="n"/>
      <c r="AC541" s="65" t="n"/>
      <c r="AD541" s="65" t="n"/>
      <c r="AE541" s="65" t="n"/>
      <c r="AF541" s="65" t="n"/>
      <c r="AG541" s="65" t="n"/>
      <c r="AH541" s="65" t="n"/>
      <c r="AI541" s="65" t="n"/>
      <c r="AJ541" s="65" t="n"/>
      <c r="AK541" s="65" t="n"/>
      <c r="AL541" s="65" t="n"/>
      <c r="AM541" s="65" t="n"/>
      <c r="AN541" s="65" t="n"/>
      <c r="AO541" s="65" t="n"/>
      <c r="AP541" s="65" t="n"/>
    </row>
    <row r="542">
      <c r="F542" s="68" t="n"/>
      <c r="G542" s="68">
        <f>IF(B542="","",F542-I542 )</f>
        <v/>
      </c>
      <c r="H542" s="5">
        <f>IF(G542="","",G542/F542)</f>
        <v/>
      </c>
      <c r="J542" s="65" t="n"/>
      <c r="K542" s="65" t="n"/>
      <c r="L542" s="65" t="n"/>
      <c r="M542" s="65" t="n"/>
      <c r="N542" s="65" t="n"/>
      <c r="O542" s="65" t="n"/>
      <c r="P542" s="65" t="n"/>
      <c r="Q542" s="65" t="n"/>
      <c r="R542" s="65" t="n"/>
      <c r="S542" s="65" t="n"/>
      <c r="T542" s="65" t="n"/>
      <c r="U542" s="65" t="n"/>
      <c r="V542" s="77" t="n"/>
      <c r="W542" s="65" t="n"/>
      <c r="X542" s="65" t="n"/>
      <c r="Y542" s="65" t="n"/>
      <c r="Z542" s="65" t="n"/>
      <c r="AA542" s="65" t="n"/>
      <c r="AB542" s="65" t="n"/>
      <c r="AC542" s="65" t="n"/>
      <c r="AD542" s="65" t="n"/>
      <c r="AE542" s="65" t="n"/>
      <c r="AF542" s="65" t="n"/>
      <c r="AG542" s="65" t="n"/>
      <c r="AH542" s="65" t="n"/>
      <c r="AI542" s="65" t="n"/>
      <c r="AJ542" s="65" t="n"/>
      <c r="AK542" s="65" t="n"/>
      <c r="AL542" s="65" t="n"/>
      <c r="AM542" s="65" t="n"/>
      <c r="AN542" s="65" t="n"/>
      <c r="AO542" s="65" t="n"/>
      <c r="AP542" s="65" t="n"/>
    </row>
    <row r="543">
      <c r="F543" s="68" t="n"/>
      <c r="G543" s="68">
        <f>IF(B543="","",F543-I543 )</f>
        <v/>
      </c>
      <c r="H543" s="5">
        <f>IF(G543="","",G543/F543)</f>
        <v/>
      </c>
      <c r="J543" s="65" t="n"/>
      <c r="K543" s="65" t="n"/>
      <c r="L543" s="65" t="n"/>
      <c r="M543" s="65" t="n"/>
      <c r="N543" s="65" t="n"/>
      <c r="O543" s="65" t="n"/>
      <c r="P543" s="65" t="n"/>
      <c r="Q543" s="65" t="n"/>
      <c r="R543" s="65" t="n"/>
      <c r="S543" s="65" t="n"/>
      <c r="T543" s="65" t="n"/>
      <c r="U543" s="65" t="n"/>
      <c r="V543" s="77" t="n"/>
      <c r="W543" s="65" t="n"/>
      <c r="X543" s="65" t="n"/>
      <c r="Y543" s="65" t="n"/>
      <c r="Z543" s="65" t="n"/>
      <c r="AA543" s="65" t="n"/>
      <c r="AB543" s="65" t="n"/>
      <c r="AC543" s="65" t="n"/>
      <c r="AD543" s="65" t="n"/>
      <c r="AE543" s="65" t="n"/>
      <c r="AF543" s="65" t="n"/>
      <c r="AG543" s="65" t="n"/>
      <c r="AH543" s="65" t="n"/>
      <c r="AI543" s="65" t="n"/>
      <c r="AJ543" s="65" t="n"/>
      <c r="AK543" s="65" t="n"/>
      <c r="AL543" s="65" t="n"/>
      <c r="AM543" s="65" t="n"/>
      <c r="AN543" s="65" t="n"/>
      <c r="AO543" s="65" t="n"/>
      <c r="AP543" s="65" t="n"/>
    </row>
    <row r="544">
      <c r="F544" s="68" t="n"/>
      <c r="G544" s="68">
        <f>IF(B544="","",F544-I544 )</f>
        <v/>
      </c>
      <c r="H544" s="5">
        <f>IF(G544="","",G544/F544)</f>
        <v/>
      </c>
      <c r="J544" s="65" t="n"/>
      <c r="K544" s="65" t="n"/>
      <c r="L544" s="65" t="n"/>
      <c r="M544" s="65" t="n"/>
      <c r="N544" s="65" t="n"/>
      <c r="O544" s="65" t="n"/>
      <c r="P544" s="65" t="n"/>
      <c r="Q544" s="65" t="n"/>
      <c r="R544" s="65" t="n"/>
      <c r="S544" s="65" t="n"/>
      <c r="T544" s="65" t="n"/>
      <c r="U544" s="65" t="n"/>
      <c r="V544" s="77" t="n"/>
      <c r="W544" s="65" t="n"/>
      <c r="X544" s="65" t="n"/>
      <c r="Y544" s="65" t="n"/>
      <c r="Z544" s="65" t="n"/>
      <c r="AA544" s="65" t="n"/>
      <c r="AB544" s="65" t="n"/>
      <c r="AC544" s="65" t="n"/>
      <c r="AD544" s="65" t="n"/>
      <c r="AE544" s="65" t="n"/>
      <c r="AF544" s="65" t="n"/>
      <c r="AG544" s="65" t="n"/>
      <c r="AH544" s="65" t="n"/>
      <c r="AI544" s="65" t="n"/>
      <c r="AJ544" s="65" t="n"/>
      <c r="AK544" s="65" t="n"/>
      <c r="AL544" s="65" t="n"/>
      <c r="AM544" s="65" t="n"/>
      <c r="AN544" s="65" t="n"/>
      <c r="AO544" s="65" t="n"/>
      <c r="AP544" s="65" t="n"/>
    </row>
    <row r="545">
      <c r="F545" s="68" t="n"/>
      <c r="G545" s="68">
        <f>IF(B545="","",F545-I545 )</f>
        <v/>
      </c>
      <c r="H545" s="5">
        <f>IF(G545="","",G545/F545)</f>
        <v/>
      </c>
      <c r="J545" s="65" t="n"/>
      <c r="K545" s="65" t="n"/>
      <c r="L545" s="65" t="n"/>
      <c r="M545" s="65" t="n"/>
      <c r="N545" s="65" t="n"/>
      <c r="O545" s="65" t="n"/>
      <c r="P545" s="65" t="n"/>
      <c r="Q545" s="65" t="n"/>
      <c r="R545" s="65" t="n"/>
      <c r="S545" s="65" t="n"/>
      <c r="T545" s="65" t="n"/>
      <c r="U545" s="65" t="n"/>
      <c r="V545" s="77" t="n"/>
      <c r="W545" s="65" t="n"/>
      <c r="X545" s="65" t="n"/>
      <c r="Y545" s="65" t="n"/>
      <c r="Z545" s="65" t="n"/>
      <c r="AA545" s="65" t="n"/>
      <c r="AB545" s="65" t="n"/>
      <c r="AC545" s="65" t="n"/>
      <c r="AD545" s="65" t="n"/>
      <c r="AE545" s="65" t="n"/>
      <c r="AF545" s="65" t="n"/>
      <c r="AG545" s="65" t="n"/>
      <c r="AH545" s="65" t="n"/>
      <c r="AI545" s="65" t="n"/>
      <c r="AJ545" s="65" t="n"/>
      <c r="AK545" s="65" t="n"/>
      <c r="AL545" s="65" t="n"/>
      <c r="AM545" s="65" t="n"/>
      <c r="AN545" s="65" t="n"/>
      <c r="AO545" s="65" t="n"/>
      <c r="AP545" s="65" t="n"/>
    </row>
    <row r="546">
      <c r="F546" s="68" t="n"/>
      <c r="G546" s="68">
        <f>IF(B546="","",F546-I546 )</f>
        <v/>
      </c>
      <c r="H546" s="5">
        <f>IF(G546="","",G546/F546)</f>
        <v/>
      </c>
      <c r="J546" s="65" t="n"/>
      <c r="K546" s="65" t="n"/>
      <c r="L546" s="65" t="n"/>
      <c r="M546" s="65" t="n"/>
      <c r="N546" s="65" t="n"/>
      <c r="O546" s="65" t="n"/>
      <c r="P546" s="65" t="n"/>
      <c r="Q546" s="65" t="n"/>
      <c r="R546" s="65" t="n"/>
      <c r="S546" s="65" t="n"/>
      <c r="T546" s="65" t="n"/>
      <c r="U546" s="65" t="n"/>
      <c r="V546" s="77" t="n"/>
      <c r="W546" s="65" t="n"/>
      <c r="X546" s="65" t="n"/>
      <c r="Y546" s="65" t="n"/>
      <c r="Z546" s="65" t="n"/>
      <c r="AA546" s="65" t="n"/>
      <c r="AB546" s="65" t="n"/>
      <c r="AC546" s="65" t="n"/>
      <c r="AD546" s="65" t="n"/>
      <c r="AE546" s="65" t="n"/>
      <c r="AF546" s="65" t="n"/>
      <c r="AG546" s="65" t="n"/>
      <c r="AH546" s="65" t="n"/>
      <c r="AI546" s="65" t="n"/>
      <c r="AJ546" s="65" t="n"/>
      <c r="AK546" s="65" t="n"/>
      <c r="AL546" s="65" t="n"/>
      <c r="AM546" s="65" t="n"/>
      <c r="AN546" s="65" t="n"/>
      <c r="AO546" s="65" t="n"/>
      <c r="AP546" s="65" t="n"/>
    </row>
    <row r="547">
      <c r="F547" s="68" t="n"/>
      <c r="G547" s="68">
        <f>IF(B547="","",F547-I547 )</f>
        <v/>
      </c>
      <c r="H547" s="5">
        <f>IF(G547="","",G547/F547)</f>
        <v/>
      </c>
      <c r="J547" s="65" t="n"/>
      <c r="K547" s="65" t="n"/>
      <c r="L547" s="65" t="n"/>
      <c r="M547" s="65" t="n"/>
      <c r="N547" s="65" t="n"/>
      <c r="O547" s="65" t="n"/>
      <c r="P547" s="65" t="n"/>
      <c r="Q547" s="65" t="n"/>
      <c r="R547" s="65" t="n"/>
      <c r="S547" s="65" t="n"/>
      <c r="T547" s="65" t="n"/>
      <c r="U547" s="65" t="n"/>
      <c r="V547" s="77" t="n"/>
      <c r="W547" s="65" t="n"/>
      <c r="X547" s="65" t="n"/>
      <c r="Y547" s="65" t="n"/>
      <c r="Z547" s="65" t="n"/>
      <c r="AA547" s="65" t="n"/>
      <c r="AB547" s="65" t="n"/>
      <c r="AC547" s="65" t="n"/>
      <c r="AD547" s="65" t="n"/>
      <c r="AE547" s="65" t="n"/>
      <c r="AF547" s="65" t="n"/>
      <c r="AG547" s="65" t="n"/>
      <c r="AH547" s="65" t="n"/>
      <c r="AI547" s="65" t="n"/>
      <c r="AJ547" s="65" t="n"/>
      <c r="AK547" s="65" t="n"/>
      <c r="AL547" s="65" t="n"/>
      <c r="AM547" s="65" t="n"/>
      <c r="AN547" s="65" t="n"/>
      <c r="AO547" s="65" t="n"/>
      <c r="AP547" s="65" t="n"/>
    </row>
    <row r="548">
      <c r="F548" s="68" t="n"/>
      <c r="G548" s="68">
        <f>IF(B548="","",F548-I548 )</f>
        <v/>
      </c>
      <c r="H548" s="5">
        <f>IF(G548="","",G548/F548)</f>
        <v/>
      </c>
      <c r="J548" s="65" t="n"/>
      <c r="K548" s="65" t="n"/>
      <c r="L548" s="65" t="n"/>
      <c r="M548" s="65" t="n"/>
      <c r="N548" s="65" t="n"/>
      <c r="O548" s="65" t="n"/>
      <c r="P548" s="65" t="n"/>
      <c r="Q548" s="65" t="n"/>
      <c r="R548" s="65" t="n"/>
      <c r="S548" s="65" t="n"/>
      <c r="T548" s="65" t="n"/>
      <c r="U548" s="65" t="n"/>
      <c r="V548" s="77" t="n"/>
      <c r="W548" s="65" t="n"/>
      <c r="X548" s="65" t="n"/>
      <c r="Y548" s="65" t="n"/>
      <c r="Z548" s="65" t="n"/>
      <c r="AA548" s="65" t="n"/>
      <c r="AB548" s="65" t="n"/>
      <c r="AC548" s="65" t="n"/>
      <c r="AD548" s="65" t="n"/>
      <c r="AE548" s="65" t="n"/>
      <c r="AF548" s="65" t="n"/>
      <c r="AG548" s="65" t="n"/>
      <c r="AH548" s="65" t="n"/>
      <c r="AI548" s="65" t="n"/>
      <c r="AJ548" s="65" t="n"/>
      <c r="AK548" s="65" t="n"/>
      <c r="AL548" s="65" t="n"/>
      <c r="AM548" s="65" t="n"/>
      <c r="AN548" s="65" t="n"/>
      <c r="AO548" s="65" t="n"/>
      <c r="AP548" s="65" t="n"/>
    </row>
    <row r="549">
      <c r="F549" s="68" t="n"/>
      <c r="G549" s="68">
        <f>IF(B549="","",F549-I549 )</f>
        <v/>
      </c>
      <c r="H549" s="5">
        <f>IF(G549="","",G549/F549)</f>
        <v/>
      </c>
      <c r="J549" s="65" t="n"/>
      <c r="K549" s="65" t="n"/>
      <c r="L549" s="65" t="n"/>
      <c r="M549" s="65" t="n"/>
      <c r="N549" s="65" t="n"/>
      <c r="O549" s="65" t="n"/>
      <c r="P549" s="65" t="n"/>
      <c r="Q549" s="65" t="n"/>
      <c r="R549" s="65" t="n"/>
      <c r="S549" s="65" t="n"/>
      <c r="T549" s="65" t="n"/>
      <c r="U549" s="65" t="n"/>
      <c r="V549" s="77" t="n"/>
      <c r="W549" s="65" t="n"/>
      <c r="X549" s="65" t="n"/>
      <c r="Y549" s="65" t="n"/>
      <c r="Z549" s="65" t="n"/>
      <c r="AA549" s="65" t="n"/>
      <c r="AB549" s="65" t="n"/>
      <c r="AC549" s="65" t="n"/>
      <c r="AD549" s="65" t="n"/>
      <c r="AE549" s="65" t="n"/>
      <c r="AF549" s="65" t="n"/>
      <c r="AG549" s="65" t="n"/>
      <c r="AH549" s="65" t="n"/>
      <c r="AI549" s="65" t="n"/>
      <c r="AJ549" s="65" t="n"/>
      <c r="AK549" s="65" t="n"/>
      <c r="AL549" s="65" t="n"/>
      <c r="AM549" s="65" t="n"/>
      <c r="AN549" s="65" t="n"/>
      <c r="AO549" s="65" t="n"/>
      <c r="AP549" s="65" t="n"/>
    </row>
    <row r="550">
      <c r="F550" s="68" t="n"/>
      <c r="G550" s="68">
        <f>IF(B550="","",F550-I550 )</f>
        <v/>
      </c>
      <c r="H550" s="5">
        <f>IF(G550="","",G550/F550)</f>
        <v/>
      </c>
      <c r="J550" s="65" t="n"/>
      <c r="K550" s="65" t="n"/>
      <c r="L550" s="65" t="n"/>
      <c r="M550" s="65" t="n"/>
      <c r="N550" s="65" t="n"/>
      <c r="O550" s="65" t="n"/>
      <c r="P550" s="65" t="n"/>
      <c r="Q550" s="65" t="n"/>
      <c r="R550" s="65" t="n"/>
      <c r="S550" s="65" t="n"/>
      <c r="T550" s="65" t="n"/>
      <c r="U550" s="65" t="n"/>
      <c r="V550" s="77" t="n"/>
      <c r="W550" s="65" t="n"/>
      <c r="X550" s="65" t="n"/>
      <c r="Y550" s="65" t="n"/>
      <c r="Z550" s="65" t="n"/>
      <c r="AA550" s="65" t="n"/>
      <c r="AB550" s="65" t="n"/>
      <c r="AC550" s="65" t="n"/>
      <c r="AD550" s="65" t="n"/>
      <c r="AE550" s="65" t="n"/>
      <c r="AF550" s="65" t="n"/>
      <c r="AG550" s="65" t="n"/>
      <c r="AH550" s="65" t="n"/>
      <c r="AI550" s="65" t="n"/>
      <c r="AJ550" s="65" t="n"/>
      <c r="AK550" s="65" t="n"/>
      <c r="AL550" s="65" t="n"/>
      <c r="AM550" s="65" t="n"/>
      <c r="AN550" s="65" t="n"/>
      <c r="AO550" s="65" t="n"/>
      <c r="AP550" s="65" t="n"/>
    </row>
    <row r="551">
      <c r="F551" s="68" t="n"/>
      <c r="G551" s="68">
        <f>IF(B551="","",F551-I551 )</f>
        <v/>
      </c>
      <c r="H551" s="5">
        <f>IF(G551="","",G551/F551)</f>
        <v/>
      </c>
      <c r="J551" s="65" t="n"/>
      <c r="K551" s="65" t="n"/>
      <c r="L551" s="65" t="n"/>
      <c r="M551" s="65" t="n"/>
      <c r="N551" s="65" t="n"/>
      <c r="O551" s="65" t="n"/>
      <c r="P551" s="65" t="n"/>
      <c r="Q551" s="65" t="n"/>
      <c r="R551" s="65" t="n"/>
      <c r="S551" s="65" t="n"/>
      <c r="T551" s="65" t="n"/>
      <c r="U551" s="65" t="n"/>
      <c r="V551" s="77" t="n"/>
      <c r="W551" s="65" t="n"/>
      <c r="X551" s="65" t="n"/>
      <c r="Y551" s="65" t="n"/>
      <c r="Z551" s="65" t="n"/>
      <c r="AA551" s="65" t="n"/>
      <c r="AB551" s="65" t="n"/>
      <c r="AC551" s="65" t="n"/>
      <c r="AD551" s="65" t="n"/>
      <c r="AE551" s="65" t="n"/>
      <c r="AF551" s="65" t="n"/>
      <c r="AG551" s="65" t="n"/>
      <c r="AH551" s="65" t="n"/>
      <c r="AI551" s="65" t="n"/>
      <c r="AJ551" s="65" t="n"/>
      <c r="AK551" s="65" t="n"/>
      <c r="AL551" s="65" t="n"/>
      <c r="AM551" s="65" t="n"/>
      <c r="AN551" s="65" t="n"/>
      <c r="AO551" s="65" t="n"/>
      <c r="AP551" s="65" t="n"/>
    </row>
    <row r="552">
      <c r="F552" s="68" t="n"/>
      <c r="G552" s="68">
        <f>IF(B552="","",F552-I552 )</f>
        <v/>
      </c>
      <c r="H552" s="5">
        <f>IF(G552="","",G552/F552)</f>
        <v/>
      </c>
      <c r="J552" s="65" t="n"/>
      <c r="K552" s="65" t="n"/>
      <c r="L552" s="65" t="n"/>
      <c r="M552" s="65" t="n"/>
      <c r="N552" s="65" t="n"/>
      <c r="O552" s="65" t="n"/>
      <c r="P552" s="65" t="n"/>
      <c r="Q552" s="65" t="n"/>
      <c r="R552" s="65" t="n"/>
      <c r="S552" s="65" t="n"/>
      <c r="T552" s="65" t="n"/>
      <c r="U552" s="65" t="n"/>
      <c r="V552" s="77" t="n"/>
      <c r="W552" s="65" t="n"/>
      <c r="X552" s="65" t="n"/>
      <c r="Y552" s="65" t="n"/>
      <c r="Z552" s="65" t="n"/>
      <c r="AA552" s="65" t="n"/>
      <c r="AB552" s="65" t="n"/>
      <c r="AC552" s="65" t="n"/>
      <c r="AD552" s="65" t="n"/>
      <c r="AE552" s="65" t="n"/>
      <c r="AF552" s="65" t="n"/>
      <c r="AG552" s="65" t="n"/>
      <c r="AH552" s="65" t="n"/>
      <c r="AI552" s="65" t="n"/>
      <c r="AJ552" s="65" t="n"/>
      <c r="AK552" s="65" t="n"/>
      <c r="AL552" s="65" t="n"/>
      <c r="AM552" s="65" t="n"/>
      <c r="AN552" s="65" t="n"/>
      <c r="AO552" s="65" t="n"/>
      <c r="AP552" s="65" t="n"/>
    </row>
    <row r="553">
      <c r="F553" s="68" t="n"/>
      <c r="G553" s="68">
        <f>IF(B553="","",F553-I553 )</f>
        <v/>
      </c>
      <c r="H553" s="5">
        <f>IF(G553="","",G553/F553)</f>
        <v/>
      </c>
      <c r="J553" s="65" t="n"/>
      <c r="K553" s="65" t="n"/>
      <c r="L553" s="65" t="n"/>
      <c r="M553" s="65" t="n"/>
      <c r="N553" s="65" t="n"/>
      <c r="O553" s="65" t="n"/>
      <c r="P553" s="65" t="n"/>
      <c r="Q553" s="65" t="n"/>
      <c r="R553" s="65" t="n"/>
      <c r="S553" s="65" t="n"/>
      <c r="T553" s="65" t="n"/>
      <c r="U553" s="65" t="n"/>
      <c r="V553" s="77" t="n"/>
      <c r="W553" s="65" t="n"/>
      <c r="X553" s="65" t="n"/>
      <c r="Y553" s="65" t="n"/>
      <c r="Z553" s="65" t="n"/>
      <c r="AA553" s="65" t="n"/>
      <c r="AB553" s="65" t="n"/>
      <c r="AC553" s="65" t="n"/>
      <c r="AD553" s="65" t="n"/>
      <c r="AE553" s="65" t="n"/>
      <c r="AF553" s="65" t="n"/>
      <c r="AG553" s="65" t="n"/>
      <c r="AH553" s="65" t="n"/>
      <c r="AI553" s="65" t="n"/>
      <c r="AJ553" s="65" t="n"/>
      <c r="AK553" s="65" t="n"/>
      <c r="AL553" s="65" t="n"/>
      <c r="AM553" s="65" t="n"/>
      <c r="AN553" s="65" t="n"/>
      <c r="AO553" s="65" t="n"/>
      <c r="AP553" s="65" t="n"/>
    </row>
    <row r="554">
      <c r="F554" s="68" t="n"/>
      <c r="G554" s="68">
        <f>IF(B554="","",F554-I554 )</f>
        <v/>
      </c>
      <c r="H554" s="5">
        <f>IF(G554="","",G554/F554)</f>
        <v/>
      </c>
      <c r="J554" s="65" t="n"/>
      <c r="K554" s="65" t="n"/>
      <c r="L554" s="65" t="n"/>
      <c r="M554" s="65" t="n"/>
      <c r="N554" s="65" t="n"/>
      <c r="O554" s="65" t="n"/>
      <c r="P554" s="65" t="n"/>
      <c r="Q554" s="65" t="n"/>
      <c r="R554" s="65" t="n"/>
      <c r="S554" s="65" t="n"/>
      <c r="T554" s="65" t="n"/>
      <c r="U554" s="65" t="n"/>
      <c r="V554" s="77" t="n"/>
      <c r="W554" s="65" t="n"/>
      <c r="X554" s="65" t="n"/>
      <c r="Y554" s="65" t="n"/>
      <c r="Z554" s="65" t="n"/>
      <c r="AA554" s="65" t="n"/>
      <c r="AB554" s="65" t="n"/>
      <c r="AC554" s="65" t="n"/>
      <c r="AD554" s="65" t="n"/>
      <c r="AE554" s="65" t="n"/>
      <c r="AF554" s="65" t="n"/>
      <c r="AG554" s="65" t="n"/>
      <c r="AH554" s="65" t="n"/>
      <c r="AI554" s="65" t="n"/>
      <c r="AJ554" s="65" t="n"/>
      <c r="AK554" s="65" t="n"/>
      <c r="AL554" s="65" t="n"/>
      <c r="AM554" s="65" t="n"/>
      <c r="AN554" s="65" t="n"/>
      <c r="AO554" s="65" t="n"/>
      <c r="AP554" s="65" t="n"/>
    </row>
    <row r="555">
      <c r="F555" s="68" t="n"/>
      <c r="G555" s="68">
        <f>IF(B555="","",F555-I555 )</f>
        <v/>
      </c>
      <c r="H555" s="5">
        <f>IF(G555="","",G555/F555)</f>
        <v/>
      </c>
      <c r="J555" s="65" t="n"/>
      <c r="K555" s="65" t="n"/>
      <c r="L555" s="65" t="n"/>
      <c r="M555" s="65" t="n"/>
      <c r="N555" s="65" t="n"/>
      <c r="O555" s="65" t="n"/>
      <c r="P555" s="65" t="n"/>
      <c r="Q555" s="65" t="n"/>
      <c r="R555" s="65" t="n"/>
      <c r="S555" s="65" t="n"/>
      <c r="T555" s="65" t="n"/>
      <c r="U555" s="65" t="n"/>
      <c r="V555" s="77" t="n"/>
      <c r="W555" s="65" t="n"/>
      <c r="X555" s="65" t="n"/>
      <c r="Y555" s="65" t="n"/>
      <c r="Z555" s="65" t="n"/>
      <c r="AA555" s="65" t="n"/>
      <c r="AB555" s="65" t="n"/>
      <c r="AC555" s="65" t="n"/>
      <c r="AD555" s="65" t="n"/>
      <c r="AE555" s="65" t="n"/>
      <c r="AF555" s="65" t="n"/>
      <c r="AG555" s="65" t="n"/>
      <c r="AH555" s="65" t="n"/>
      <c r="AI555" s="65" t="n"/>
      <c r="AJ555" s="65" t="n"/>
      <c r="AK555" s="65" t="n"/>
      <c r="AL555" s="65" t="n"/>
      <c r="AM555" s="65" t="n"/>
      <c r="AN555" s="65" t="n"/>
      <c r="AO555" s="65" t="n"/>
      <c r="AP555" s="65" t="n"/>
    </row>
    <row r="556">
      <c r="F556" s="68" t="n"/>
      <c r="G556" s="68">
        <f>IF(B556="","",F556-I556 )</f>
        <v/>
      </c>
      <c r="H556" s="5">
        <f>IF(G556="","",G556/F556)</f>
        <v/>
      </c>
      <c r="J556" s="65" t="n"/>
      <c r="K556" s="65" t="n"/>
      <c r="L556" s="65" t="n"/>
      <c r="M556" s="65" t="n"/>
      <c r="N556" s="65" t="n"/>
      <c r="O556" s="65" t="n"/>
      <c r="P556" s="65" t="n"/>
      <c r="Q556" s="65" t="n"/>
      <c r="R556" s="65" t="n"/>
      <c r="S556" s="65" t="n"/>
      <c r="T556" s="65" t="n"/>
      <c r="U556" s="65" t="n"/>
      <c r="V556" s="77" t="n"/>
      <c r="W556" s="65" t="n"/>
      <c r="X556" s="65" t="n"/>
      <c r="Y556" s="65" t="n"/>
      <c r="Z556" s="65" t="n"/>
      <c r="AA556" s="65" t="n"/>
      <c r="AB556" s="65" t="n"/>
      <c r="AC556" s="65" t="n"/>
      <c r="AD556" s="65" t="n"/>
      <c r="AE556" s="65" t="n"/>
      <c r="AF556" s="65" t="n"/>
      <c r="AG556" s="65" t="n"/>
      <c r="AH556" s="65" t="n"/>
      <c r="AI556" s="65" t="n"/>
      <c r="AJ556" s="65" t="n"/>
      <c r="AK556" s="65" t="n"/>
      <c r="AL556" s="65" t="n"/>
      <c r="AM556" s="65" t="n"/>
      <c r="AN556" s="65" t="n"/>
      <c r="AO556" s="65" t="n"/>
      <c r="AP556" s="65" t="n"/>
    </row>
    <row r="557">
      <c r="F557" s="68" t="n"/>
      <c r="G557" s="68">
        <f>IF(B557="","",F557-I557 )</f>
        <v/>
      </c>
      <c r="H557" s="5">
        <f>IF(G557="","",G557/F557)</f>
        <v/>
      </c>
      <c r="J557" s="65" t="n"/>
      <c r="K557" s="65" t="n"/>
      <c r="L557" s="65" t="n"/>
      <c r="M557" s="65" t="n"/>
      <c r="N557" s="65" t="n"/>
      <c r="O557" s="65" t="n"/>
      <c r="P557" s="65" t="n"/>
      <c r="Q557" s="65" t="n"/>
      <c r="R557" s="65" t="n"/>
      <c r="S557" s="65" t="n"/>
      <c r="T557" s="65" t="n"/>
      <c r="U557" s="65" t="n"/>
      <c r="V557" s="77" t="n"/>
      <c r="W557" s="65" t="n"/>
      <c r="X557" s="65" t="n"/>
      <c r="Y557" s="65" t="n"/>
      <c r="Z557" s="65" t="n"/>
      <c r="AA557" s="65" t="n"/>
      <c r="AB557" s="65" t="n"/>
      <c r="AC557" s="65" t="n"/>
      <c r="AD557" s="65" t="n"/>
      <c r="AE557" s="65" t="n"/>
      <c r="AF557" s="65" t="n"/>
      <c r="AG557" s="65" t="n"/>
      <c r="AH557" s="65" t="n"/>
      <c r="AI557" s="65" t="n"/>
      <c r="AJ557" s="65" t="n"/>
      <c r="AK557" s="65" t="n"/>
      <c r="AL557" s="65" t="n"/>
      <c r="AM557" s="65" t="n"/>
      <c r="AN557" s="65" t="n"/>
      <c r="AO557" s="65" t="n"/>
      <c r="AP557" s="65" t="n"/>
    </row>
    <row r="558">
      <c r="F558" s="68" t="n"/>
      <c r="G558" s="68">
        <f>IF(B558="","",F558-I558 )</f>
        <v/>
      </c>
      <c r="H558" s="5">
        <f>IF(G558="","",G558/F558)</f>
        <v/>
      </c>
      <c r="J558" s="65" t="n"/>
      <c r="K558" s="65" t="n"/>
      <c r="L558" s="65" t="n"/>
      <c r="M558" s="65" t="n"/>
      <c r="N558" s="65" t="n"/>
      <c r="O558" s="65" t="n"/>
      <c r="P558" s="65" t="n"/>
      <c r="Q558" s="65" t="n"/>
      <c r="R558" s="65" t="n"/>
      <c r="S558" s="65" t="n"/>
      <c r="T558" s="65" t="n"/>
      <c r="U558" s="65" t="n"/>
      <c r="V558" s="77" t="n"/>
      <c r="W558" s="65" t="n"/>
      <c r="X558" s="65" t="n"/>
      <c r="Y558" s="65" t="n"/>
      <c r="Z558" s="65" t="n"/>
      <c r="AA558" s="65" t="n"/>
      <c r="AB558" s="65" t="n"/>
      <c r="AC558" s="65" t="n"/>
      <c r="AD558" s="65" t="n"/>
      <c r="AE558" s="65" t="n"/>
      <c r="AF558" s="65" t="n"/>
      <c r="AG558" s="65" t="n"/>
      <c r="AH558" s="65" t="n"/>
      <c r="AI558" s="65" t="n"/>
      <c r="AJ558" s="65" t="n"/>
      <c r="AK558" s="65" t="n"/>
      <c r="AL558" s="65" t="n"/>
      <c r="AM558" s="65" t="n"/>
      <c r="AN558" s="65" t="n"/>
      <c r="AO558" s="65" t="n"/>
      <c r="AP558" s="65" t="n"/>
    </row>
    <row r="559">
      <c r="F559" s="68" t="n"/>
      <c r="G559" s="68">
        <f>IF(B559="","",F559-I559 )</f>
        <v/>
      </c>
      <c r="H559" s="5">
        <f>IF(G559="","",G559/F559)</f>
        <v/>
      </c>
      <c r="J559" s="65" t="n"/>
      <c r="K559" s="65" t="n"/>
      <c r="L559" s="65" t="n"/>
      <c r="M559" s="65" t="n"/>
      <c r="N559" s="65" t="n"/>
      <c r="O559" s="65" t="n"/>
      <c r="P559" s="65" t="n"/>
      <c r="Q559" s="65" t="n"/>
      <c r="R559" s="65" t="n"/>
      <c r="S559" s="65" t="n"/>
      <c r="T559" s="65" t="n"/>
      <c r="U559" s="65" t="n"/>
      <c r="V559" s="77" t="n"/>
      <c r="W559" s="65" t="n"/>
      <c r="X559" s="65" t="n"/>
      <c r="Y559" s="65" t="n"/>
      <c r="Z559" s="65" t="n"/>
      <c r="AA559" s="65" t="n"/>
      <c r="AB559" s="65" t="n"/>
      <c r="AC559" s="65" t="n"/>
      <c r="AD559" s="65" t="n"/>
      <c r="AE559" s="65" t="n"/>
      <c r="AF559" s="65" t="n"/>
      <c r="AG559" s="65" t="n"/>
      <c r="AH559" s="65" t="n"/>
      <c r="AI559" s="65" t="n"/>
      <c r="AJ559" s="65" t="n"/>
      <c r="AK559" s="65" t="n"/>
      <c r="AL559" s="65" t="n"/>
      <c r="AM559" s="65" t="n"/>
      <c r="AN559" s="65" t="n"/>
      <c r="AO559" s="65" t="n"/>
      <c r="AP559" s="65" t="n"/>
    </row>
    <row r="560">
      <c r="F560" s="68" t="n"/>
      <c r="G560" s="68">
        <f>IF(B560="","",F560-I560 )</f>
        <v/>
      </c>
      <c r="H560" s="5">
        <f>IF(G560="","",G560/F560)</f>
        <v/>
      </c>
      <c r="J560" s="65" t="n"/>
      <c r="K560" s="65" t="n"/>
      <c r="L560" s="65" t="n"/>
      <c r="M560" s="65" t="n"/>
      <c r="N560" s="65" t="n"/>
      <c r="O560" s="65" t="n"/>
      <c r="P560" s="65" t="n"/>
      <c r="Q560" s="65" t="n"/>
      <c r="R560" s="65" t="n"/>
      <c r="S560" s="65" t="n"/>
      <c r="T560" s="65" t="n"/>
      <c r="U560" s="65" t="n"/>
      <c r="V560" s="77" t="n"/>
      <c r="W560" s="65" t="n"/>
      <c r="X560" s="65" t="n"/>
      <c r="Y560" s="65" t="n"/>
      <c r="Z560" s="65" t="n"/>
      <c r="AA560" s="65" t="n"/>
      <c r="AB560" s="65" t="n"/>
      <c r="AC560" s="65" t="n"/>
      <c r="AD560" s="65" t="n"/>
      <c r="AE560" s="65" t="n"/>
      <c r="AF560" s="65" t="n"/>
      <c r="AG560" s="65" t="n"/>
      <c r="AH560" s="65" t="n"/>
      <c r="AI560" s="65" t="n"/>
      <c r="AJ560" s="65" t="n"/>
      <c r="AK560" s="65" t="n"/>
      <c r="AL560" s="65" t="n"/>
      <c r="AM560" s="65" t="n"/>
      <c r="AN560" s="65" t="n"/>
      <c r="AO560" s="65" t="n"/>
      <c r="AP560" s="65" t="n"/>
    </row>
    <row r="561">
      <c r="F561" s="68" t="n"/>
      <c r="G561" s="68">
        <f>IF(B561="","",F561-I561 )</f>
        <v/>
      </c>
      <c r="H561" s="5">
        <f>IF(G561="","",G561/F561)</f>
        <v/>
      </c>
      <c r="J561" s="65" t="n"/>
      <c r="K561" s="65" t="n"/>
      <c r="L561" s="65" t="n"/>
      <c r="M561" s="65" t="n"/>
      <c r="N561" s="65" t="n"/>
      <c r="O561" s="65" t="n"/>
      <c r="P561" s="65" t="n"/>
      <c r="Q561" s="65" t="n"/>
      <c r="R561" s="65" t="n"/>
      <c r="S561" s="65" t="n"/>
      <c r="T561" s="65" t="n"/>
      <c r="U561" s="65" t="n"/>
      <c r="V561" s="77" t="n"/>
      <c r="W561" s="65" t="n"/>
      <c r="X561" s="65" t="n"/>
      <c r="Y561" s="65" t="n"/>
      <c r="Z561" s="65" t="n"/>
      <c r="AA561" s="65" t="n"/>
      <c r="AB561" s="65" t="n"/>
      <c r="AC561" s="65" t="n"/>
      <c r="AD561" s="65" t="n"/>
      <c r="AE561" s="65" t="n"/>
      <c r="AF561" s="65" t="n"/>
      <c r="AG561" s="65" t="n"/>
      <c r="AH561" s="65" t="n"/>
      <c r="AI561" s="65" t="n"/>
      <c r="AJ561" s="65" t="n"/>
      <c r="AK561" s="65" t="n"/>
      <c r="AL561" s="65" t="n"/>
      <c r="AM561" s="65" t="n"/>
      <c r="AN561" s="65" t="n"/>
      <c r="AO561" s="65" t="n"/>
      <c r="AP561" s="65" t="n"/>
    </row>
    <row r="562">
      <c r="F562" s="68" t="n"/>
      <c r="G562" s="68">
        <f>IF(B562="","",F562-I562 )</f>
        <v/>
      </c>
      <c r="H562" s="5">
        <f>IF(G562="","",G562/F562)</f>
        <v/>
      </c>
      <c r="J562" s="65" t="n"/>
      <c r="K562" s="65" t="n"/>
      <c r="L562" s="65" t="n"/>
      <c r="M562" s="65" t="n"/>
      <c r="N562" s="65" t="n"/>
      <c r="O562" s="65" t="n"/>
      <c r="P562" s="65" t="n"/>
      <c r="Q562" s="65" t="n"/>
      <c r="R562" s="65" t="n"/>
      <c r="S562" s="65" t="n"/>
      <c r="T562" s="65" t="n"/>
      <c r="U562" s="65" t="n"/>
      <c r="V562" s="77" t="n"/>
      <c r="W562" s="65" t="n"/>
      <c r="X562" s="65" t="n"/>
      <c r="Y562" s="65" t="n"/>
      <c r="Z562" s="65" t="n"/>
      <c r="AA562" s="65" t="n"/>
      <c r="AB562" s="65" t="n"/>
      <c r="AC562" s="65" t="n"/>
      <c r="AD562" s="65" t="n"/>
      <c r="AE562" s="65" t="n"/>
      <c r="AF562" s="65" t="n"/>
      <c r="AG562" s="65" t="n"/>
      <c r="AH562" s="65" t="n"/>
      <c r="AI562" s="65" t="n"/>
      <c r="AJ562" s="65" t="n"/>
      <c r="AK562" s="65" t="n"/>
      <c r="AL562" s="65" t="n"/>
      <c r="AM562" s="65" t="n"/>
      <c r="AN562" s="65" t="n"/>
      <c r="AO562" s="65" t="n"/>
      <c r="AP562" s="65" t="n"/>
    </row>
    <row r="563">
      <c r="F563" s="68" t="n"/>
      <c r="G563" s="68">
        <f>IF(B563="","",F563-I563 )</f>
        <v/>
      </c>
      <c r="H563" s="5">
        <f>IF(G563="","",G563/F563)</f>
        <v/>
      </c>
      <c r="J563" s="65" t="n"/>
      <c r="K563" s="65" t="n"/>
      <c r="L563" s="65" t="n"/>
      <c r="M563" s="65" t="n"/>
      <c r="N563" s="65" t="n"/>
      <c r="O563" s="65" t="n"/>
      <c r="P563" s="65" t="n"/>
      <c r="Q563" s="65" t="n"/>
      <c r="R563" s="65" t="n"/>
      <c r="S563" s="65" t="n"/>
      <c r="T563" s="65" t="n"/>
      <c r="U563" s="65" t="n"/>
      <c r="V563" s="77" t="n"/>
      <c r="W563" s="65" t="n"/>
      <c r="X563" s="65" t="n"/>
      <c r="Y563" s="65" t="n"/>
      <c r="Z563" s="65" t="n"/>
      <c r="AA563" s="65" t="n"/>
      <c r="AB563" s="65" t="n"/>
      <c r="AC563" s="65" t="n"/>
      <c r="AD563" s="65" t="n"/>
      <c r="AE563" s="65" t="n"/>
      <c r="AF563" s="65" t="n"/>
      <c r="AG563" s="65" t="n"/>
      <c r="AH563" s="65" t="n"/>
      <c r="AI563" s="65" t="n"/>
      <c r="AJ563" s="65" t="n"/>
      <c r="AK563" s="65" t="n"/>
      <c r="AL563" s="65" t="n"/>
      <c r="AM563" s="65" t="n"/>
      <c r="AN563" s="65" t="n"/>
      <c r="AO563" s="65" t="n"/>
      <c r="AP563" s="65" t="n"/>
    </row>
    <row r="564">
      <c r="F564" s="68" t="n"/>
      <c r="G564" s="68">
        <f>IF(B564="","",F564-I564 )</f>
        <v/>
      </c>
      <c r="H564" s="5">
        <f>IF(G564="","",G564/F564)</f>
        <v/>
      </c>
      <c r="J564" s="65" t="n"/>
      <c r="K564" s="65" t="n"/>
      <c r="L564" s="65" t="n"/>
      <c r="M564" s="65" t="n"/>
      <c r="N564" s="65" t="n"/>
      <c r="O564" s="65" t="n"/>
      <c r="P564" s="65" t="n"/>
      <c r="Q564" s="65" t="n"/>
      <c r="R564" s="65" t="n"/>
      <c r="S564" s="65" t="n"/>
      <c r="T564" s="65" t="n"/>
      <c r="U564" s="65" t="n"/>
      <c r="V564" s="77" t="n"/>
      <c r="W564" s="65" t="n"/>
      <c r="X564" s="65" t="n"/>
      <c r="Y564" s="65" t="n"/>
      <c r="Z564" s="65" t="n"/>
      <c r="AA564" s="65" t="n"/>
      <c r="AB564" s="65" t="n"/>
      <c r="AC564" s="65" t="n"/>
      <c r="AD564" s="65" t="n"/>
      <c r="AE564" s="65" t="n"/>
      <c r="AF564" s="65" t="n"/>
      <c r="AG564" s="65" t="n"/>
      <c r="AH564" s="65" t="n"/>
      <c r="AI564" s="65" t="n"/>
      <c r="AJ564" s="65" t="n"/>
      <c r="AK564" s="65" t="n"/>
      <c r="AL564" s="65" t="n"/>
      <c r="AM564" s="65" t="n"/>
      <c r="AN564" s="65" t="n"/>
      <c r="AO564" s="65" t="n"/>
      <c r="AP564" s="65" t="n"/>
    </row>
    <row r="565">
      <c r="F565" s="68" t="n"/>
      <c r="G565" s="68">
        <f>IF(B565="","",F565-I565 )</f>
        <v/>
      </c>
      <c r="H565" s="5">
        <f>IF(G565="","",G565/F565)</f>
        <v/>
      </c>
      <c r="J565" s="65" t="n"/>
      <c r="K565" s="65" t="n"/>
      <c r="L565" s="65" t="n"/>
      <c r="M565" s="65" t="n"/>
      <c r="N565" s="65" t="n"/>
      <c r="O565" s="65" t="n"/>
      <c r="P565" s="65" t="n"/>
      <c r="Q565" s="65" t="n"/>
      <c r="R565" s="65" t="n"/>
      <c r="S565" s="65" t="n"/>
      <c r="T565" s="65" t="n"/>
      <c r="U565" s="65" t="n"/>
      <c r="V565" s="77" t="n"/>
      <c r="W565" s="65" t="n"/>
      <c r="X565" s="65" t="n"/>
      <c r="Y565" s="65" t="n"/>
      <c r="Z565" s="65" t="n"/>
      <c r="AA565" s="65" t="n"/>
      <c r="AB565" s="65" t="n"/>
      <c r="AC565" s="65" t="n"/>
      <c r="AD565" s="65" t="n"/>
      <c r="AE565" s="65" t="n"/>
      <c r="AF565" s="65" t="n"/>
      <c r="AG565" s="65" t="n"/>
      <c r="AH565" s="65" t="n"/>
      <c r="AI565" s="65" t="n"/>
      <c r="AJ565" s="65" t="n"/>
      <c r="AK565" s="65" t="n"/>
      <c r="AL565" s="65" t="n"/>
      <c r="AM565" s="65" t="n"/>
      <c r="AN565" s="65" t="n"/>
      <c r="AO565" s="65" t="n"/>
      <c r="AP565" s="65" t="n"/>
    </row>
    <row r="566">
      <c r="F566" s="68" t="n"/>
      <c r="G566" s="68">
        <f>IF(B566="","",F566-I566 )</f>
        <v/>
      </c>
      <c r="H566" s="5">
        <f>IF(G566="","",G566/F566)</f>
        <v/>
      </c>
      <c r="J566" s="65" t="n"/>
      <c r="K566" s="65" t="n"/>
      <c r="L566" s="65" t="n"/>
      <c r="M566" s="65" t="n"/>
      <c r="N566" s="65" t="n"/>
      <c r="O566" s="65" t="n"/>
      <c r="P566" s="65" t="n"/>
      <c r="Q566" s="65" t="n"/>
      <c r="R566" s="65" t="n"/>
      <c r="S566" s="65" t="n"/>
      <c r="T566" s="65" t="n"/>
      <c r="U566" s="65" t="n"/>
      <c r="V566" s="77" t="n"/>
      <c r="W566" s="65" t="n"/>
      <c r="X566" s="65" t="n"/>
      <c r="Y566" s="65" t="n"/>
      <c r="Z566" s="65" t="n"/>
      <c r="AA566" s="65" t="n"/>
      <c r="AB566" s="65" t="n"/>
      <c r="AC566" s="65" t="n"/>
      <c r="AD566" s="65" t="n"/>
      <c r="AE566" s="65" t="n"/>
      <c r="AF566" s="65" t="n"/>
      <c r="AG566" s="65" t="n"/>
      <c r="AH566" s="65" t="n"/>
      <c r="AI566" s="65" t="n"/>
      <c r="AJ566" s="65" t="n"/>
      <c r="AK566" s="65" t="n"/>
      <c r="AL566" s="65" t="n"/>
      <c r="AM566" s="65" t="n"/>
      <c r="AN566" s="65" t="n"/>
      <c r="AO566" s="65" t="n"/>
      <c r="AP566" s="65" t="n"/>
    </row>
    <row r="567">
      <c r="F567" s="68" t="n"/>
      <c r="G567" s="68">
        <f>IF(B567="","",F567-I567 )</f>
        <v/>
      </c>
      <c r="H567" s="5">
        <f>IF(G567="","",G567/F567)</f>
        <v/>
      </c>
      <c r="J567" s="65" t="n"/>
      <c r="K567" s="65" t="n"/>
      <c r="L567" s="65" t="n"/>
      <c r="M567" s="65" t="n"/>
      <c r="N567" s="65" t="n"/>
      <c r="O567" s="65" t="n"/>
      <c r="P567" s="65" t="n"/>
      <c r="Q567" s="65" t="n"/>
      <c r="R567" s="65" t="n"/>
      <c r="S567" s="65" t="n"/>
      <c r="T567" s="65" t="n"/>
      <c r="U567" s="65" t="n"/>
      <c r="V567" s="77" t="n"/>
      <c r="W567" s="65" t="n"/>
      <c r="X567" s="65" t="n"/>
      <c r="Y567" s="65" t="n"/>
      <c r="Z567" s="65" t="n"/>
      <c r="AA567" s="65" t="n"/>
      <c r="AB567" s="65" t="n"/>
      <c r="AC567" s="65" t="n"/>
      <c r="AD567" s="65" t="n"/>
      <c r="AE567" s="65" t="n"/>
      <c r="AF567" s="65" t="n"/>
      <c r="AG567" s="65" t="n"/>
      <c r="AH567" s="65" t="n"/>
      <c r="AI567" s="65" t="n"/>
      <c r="AJ567" s="65" t="n"/>
      <c r="AK567" s="65" t="n"/>
      <c r="AL567" s="65" t="n"/>
      <c r="AM567" s="65" t="n"/>
      <c r="AN567" s="65" t="n"/>
      <c r="AO567" s="65" t="n"/>
      <c r="AP567" s="65" t="n"/>
    </row>
    <row r="568">
      <c r="F568" s="68" t="n"/>
      <c r="G568" s="68">
        <f>IF(B568="","",F568-I568 )</f>
        <v/>
      </c>
      <c r="H568" s="5">
        <f>IF(G568="","",G568/F568)</f>
        <v/>
      </c>
      <c r="J568" s="65" t="n"/>
      <c r="K568" s="65" t="n"/>
      <c r="L568" s="65" t="n"/>
      <c r="M568" s="65" t="n"/>
      <c r="N568" s="65" t="n"/>
      <c r="O568" s="65" t="n"/>
      <c r="P568" s="65" t="n"/>
      <c r="Q568" s="65" t="n"/>
      <c r="R568" s="65" t="n"/>
      <c r="S568" s="65" t="n"/>
      <c r="T568" s="65" t="n"/>
      <c r="U568" s="65" t="n"/>
      <c r="V568" s="77" t="n"/>
      <c r="W568" s="65" t="n"/>
      <c r="X568" s="65" t="n"/>
      <c r="Y568" s="65" t="n"/>
      <c r="Z568" s="65" t="n"/>
      <c r="AA568" s="65" t="n"/>
      <c r="AB568" s="65" t="n"/>
      <c r="AC568" s="65" t="n"/>
      <c r="AD568" s="65" t="n"/>
      <c r="AE568" s="65" t="n"/>
      <c r="AF568" s="65" t="n"/>
      <c r="AG568" s="65" t="n"/>
      <c r="AH568" s="65" t="n"/>
      <c r="AI568" s="65" t="n"/>
      <c r="AJ568" s="65" t="n"/>
      <c r="AK568" s="65" t="n"/>
      <c r="AL568" s="65" t="n"/>
      <c r="AM568" s="65" t="n"/>
      <c r="AN568" s="65" t="n"/>
      <c r="AO568" s="65" t="n"/>
      <c r="AP568" s="65" t="n"/>
    </row>
    <row r="569">
      <c r="F569" s="68" t="n"/>
      <c r="G569" s="68">
        <f>IF(B569="","",F569-I569 )</f>
        <v/>
      </c>
      <c r="H569" s="5">
        <f>IF(G569="","",G569/F569)</f>
        <v/>
      </c>
      <c r="J569" s="65" t="n"/>
      <c r="K569" s="65" t="n"/>
      <c r="L569" s="65" t="n"/>
      <c r="M569" s="65" t="n"/>
      <c r="N569" s="65" t="n"/>
      <c r="O569" s="65" t="n"/>
      <c r="P569" s="65" t="n"/>
      <c r="Q569" s="65" t="n"/>
      <c r="R569" s="65" t="n"/>
      <c r="S569" s="65" t="n"/>
      <c r="T569" s="65" t="n"/>
      <c r="U569" s="65" t="n"/>
      <c r="V569" s="77" t="n"/>
      <c r="W569" s="65" t="n"/>
      <c r="X569" s="65" t="n"/>
      <c r="Y569" s="65" t="n"/>
      <c r="Z569" s="65" t="n"/>
      <c r="AA569" s="65" t="n"/>
      <c r="AB569" s="65" t="n"/>
      <c r="AC569" s="65" t="n"/>
      <c r="AD569" s="65" t="n"/>
      <c r="AE569" s="65" t="n"/>
      <c r="AF569" s="65" t="n"/>
      <c r="AG569" s="65" t="n"/>
      <c r="AH569" s="65" t="n"/>
      <c r="AI569" s="65" t="n"/>
      <c r="AJ569" s="65" t="n"/>
      <c r="AK569" s="65" t="n"/>
      <c r="AL569" s="65" t="n"/>
      <c r="AM569" s="65" t="n"/>
      <c r="AN569" s="65" t="n"/>
      <c r="AO569" s="65" t="n"/>
      <c r="AP569" s="65" t="n"/>
    </row>
    <row r="570">
      <c r="F570" s="68" t="n"/>
      <c r="G570" s="68">
        <f>IF(B570="","",F570-I570 )</f>
        <v/>
      </c>
      <c r="H570" s="5">
        <f>IF(G570="","",G570/F570)</f>
        <v/>
      </c>
      <c r="J570" s="65" t="n"/>
      <c r="K570" s="65" t="n"/>
      <c r="L570" s="65" t="n"/>
      <c r="M570" s="65" t="n"/>
      <c r="N570" s="65" t="n"/>
      <c r="O570" s="65" t="n"/>
      <c r="P570" s="65" t="n"/>
      <c r="Q570" s="65" t="n"/>
      <c r="R570" s="65" t="n"/>
      <c r="S570" s="65" t="n"/>
      <c r="T570" s="65" t="n"/>
      <c r="U570" s="65" t="n"/>
      <c r="V570" s="77" t="n"/>
      <c r="W570" s="65" t="n"/>
      <c r="X570" s="65" t="n"/>
      <c r="Y570" s="65" t="n"/>
      <c r="Z570" s="65" t="n"/>
      <c r="AA570" s="65" t="n"/>
      <c r="AB570" s="65" t="n"/>
      <c r="AC570" s="65" t="n"/>
      <c r="AD570" s="65" t="n"/>
      <c r="AE570" s="65" t="n"/>
      <c r="AF570" s="65" t="n"/>
      <c r="AG570" s="65" t="n"/>
      <c r="AH570" s="65" t="n"/>
      <c r="AI570" s="65" t="n"/>
      <c r="AJ570" s="65" t="n"/>
      <c r="AK570" s="65" t="n"/>
      <c r="AL570" s="65" t="n"/>
      <c r="AM570" s="65" t="n"/>
      <c r="AN570" s="65" t="n"/>
      <c r="AO570" s="65" t="n"/>
      <c r="AP570" s="65" t="n"/>
    </row>
    <row r="571">
      <c r="F571" s="68" t="n"/>
      <c r="G571" s="68">
        <f>IF(B571="","",F571-I571 )</f>
        <v/>
      </c>
      <c r="H571" s="5">
        <f>IF(G571="","",G571/F571)</f>
        <v/>
      </c>
      <c r="J571" s="65" t="n"/>
      <c r="K571" s="65" t="n"/>
      <c r="L571" s="65" t="n"/>
      <c r="M571" s="65" t="n"/>
      <c r="N571" s="65" t="n"/>
      <c r="O571" s="65" t="n"/>
      <c r="P571" s="65" t="n"/>
      <c r="Q571" s="65" t="n"/>
      <c r="R571" s="65" t="n"/>
      <c r="S571" s="65" t="n"/>
      <c r="T571" s="65" t="n"/>
      <c r="U571" s="65" t="n"/>
      <c r="V571" s="77" t="n"/>
      <c r="W571" s="65" t="n"/>
      <c r="X571" s="65" t="n"/>
      <c r="Y571" s="65" t="n"/>
      <c r="Z571" s="65" t="n"/>
      <c r="AA571" s="65" t="n"/>
      <c r="AB571" s="65" t="n"/>
      <c r="AC571" s="65" t="n"/>
      <c r="AD571" s="65" t="n"/>
      <c r="AE571" s="65" t="n"/>
      <c r="AF571" s="65" t="n"/>
      <c r="AG571" s="65" t="n"/>
      <c r="AH571" s="65" t="n"/>
      <c r="AI571" s="65" t="n"/>
      <c r="AJ571" s="65" t="n"/>
      <c r="AK571" s="65" t="n"/>
      <c r="AL571" s="65" t="n"/>
      <c r="AM571" s="65" t="n"/>
      <c r="AN571" s="65" t="n"/>
      <c r="AO571" s="65" t="n"/>
      <c r="AP571" s="65" t="n"/>
    </row>
    <row r="572">
      <c r="F572" s="68" t="n"/>
      <c r="G572" s="68">
        <f>IF(B572="","",F572-I572 )</f>
        <v/>
      </c>
      <c r="H572" s="5">
        <f>IF(G572="","",G572/F572)</f>
        <v/>
      </c>
      <c r="J572" s="65" t="n"/>
      <c r="K572" s="65" t="n"/>
      <c r="L572" s="65" t="n"/>
      <c r="M572" s="65" t="n"/>
      <c r="N572" s="65" t="n"/>
      <c r="O572" s="65" t="n"/>
      <c r="P572" s="65" t="n"/>
      <c r="Q572" s="65" t="n"/>
      <c r="R572" s="65" t="n"/>
      <c r="S572" s="65" t="n"/>
      <c r="T572" s="65" t="n"/>
      <c r="U572" s="65" t="n"/>
      <c r="V572" s="77" t="n"/>
      <c r="W572" s="65" t="n"/>
      <c r="X572" s="65" t="n"/>
      <c r="Y572" s="65" t="n"/>
      <c r="Z572" s="65" t="n"/>
      <c r="AA572" s="65" t="n"/>
      <c r="AB572" s="65" t="n"/>
      <c r="AC572" s="65" t="n"/>
      <c r="AD572" s="65" t="n"/>
      <c r="AE572" s="65" t="n"/>
      <c r="AF572" s="65" t="n"/>
      <c r="AG572" s="65" t="n"/>
      <c r="AH572" s="65" t="n"/>
      <c r="AI572" s="65" t="n"/>
      <c r="AJ572" s="65" t="n"/>
      <c r="AK572" s="65" t="n"/>
      <c r="AL572" s="65" t="n"/>
      <c r="AM572" s="65" t="n"/>
      <c r="AN572" s="65" t="n"/>
      <c r="AO572" s="65" t="n"/>
      <c r="AP572" s="65" t="n"/>
    </row>
    <row r="573">
      <c r="F573" s="68" t="n"/>
      <c r="G573" s="68">
        <f>IF(B573="","",F573-I573 )</f>
        <v/>
      </c>
      <c r="H573" s="5">
        <f>IF(G573="","",G573/F573)</f>
        <v/>
      </c>
      <c r="J573" s="65" t="n"/>
      <c r="K573" s="65" t="n"/>
      <c r="L573" s="65" t="n"/>
      <c r="M573" s="65" t="n"/>
      <c r="N573" s="65" t="n"/>
      <c r="O573" s="65" t="n"/>
      <c r="P573" s="65" t="n"/>
      <c r="Q573" s="65" t="n"/>
      <c r="R573" s="65" t="n"/>
      <c r="S573" s="65" t="n"/>
      <c r="T573" s="65" t="n"/>
      <c r="U573" s="65" t="n"/>
      <c r="V573" s="77" t="n"/>
      <c r="W573" s="65" t="n"/>
      <c r="X573" s="65" t="n"/>
      <c r="Y573" s="65" t="n"/>
      <c r="Z573" s="65" t="n"/>
      <c r="AA573" s="65" t="n"/>
      <c r="AB573" s="65" t="n"/>
      <c r="AC573" s="65" t="n"/>
      <c r="AD573" s="65" t="n"/>
      <c r="AE573" s="65" t="n"/>
      <c r="AF573" s="65" t="n"/>
      <c r="AG573" s="65" t="n"/>
      <c r="AH573" s="65" t="n"/>
      <c r="AI573" s="65" t="n"/>
      <c r="AJ573" s="65" t="n"/>
      <c r="AK573" s="65" t="n"/>
      <c r="AL573" s="65" t="n"/>
      <c r="AM573" s="65" t="n"/>
      <c r="AN573" s="65" t="n"/>
      <c r="AO573" s="65" t="n"/>
      <c r="AP573" s="65" t="n"/>
    </row>
    <row r="574">
      <c r="F574" s="68" t="n"/>
      <c r="G574" s="68">
        <f>IF(B574="","",F574-I574 )</f>
        <v/>
      </c>
      <c r="H574" s="5">
        <f>IF(G574="","",G574/F574)</f>
        <v/>
      </c>
      <c r="J574" s="65" t="n"/>
      <c r="K574" s="65" t="n"/>
      <c r="L574" s="65" t="n"/>
      <c r="M574" s="65" t="n"/>
      <c r="N574" s="65" t="n"/>
      <c r="O574" s="65" t="n"/>
      <c r="P574" s="65" t="n"/>
      <c r="Q574" s="65" t="n"/>
      <c r="R574" s="65" t="n"/>
      <c r="S574" s="65" t="n"/>
      <c r="T574" s="65" t="n"/>
      <c r="U574" s="65" t="n"/>
      <c r="V574" s="77" t="n"/>
      <c r="W574" s="65" t="n"/>
      <c r="X574" s="65" t="n"/>
      <c r="Y574" s="65" t="n"/>
      <c r="Z574" s="65" t="n"/>
      <c r="AA574" s="65" t="n"/>
      <c r="AB574" s="65" t="n"/>
      <c r="AC574" s="65" t="n"/>
      <c r="AD574" s="65" t="n"/>
      <c r="AE574" s="65" t="n"/>
      <c r="AF574" s="65" t="n"/>
      <c r="AG574" s="65" t="n"/>
      <c r="AH574" s="65" t="n"/>
      <c r="AI574" s="65" t="n"/>
      <c r="AJ574" s="65" t="n"/>
      <c r="AK574" s="65" t="n"/>
      <c r="AL574" s="65" t="n"/>
      <c r="AM574" s="65" t="n"/>
      <c r="AN574" s="65" t="n"/>
      <c r="AO574" s="65" t="n"/>
      <c r="AP574" s="65" t="n"/>
    </row>
    <row r="575">
      <c r="F575" s="68" t="n"/>
      <c r="G575" s="68">
        <f>IF(B575="","",F575-I575 )</f>
        <v/>
      </c>
      <c r="H575" s="5">
        <f>IF(G575="","",G575/F575)</f>
        <v/>
      </c>
      <c r="J575" s="65" t="n"/>
      <c r="K575" s="65" t="n"/>
      <c r="L575" s="65" t="n"/>
      <c r="M575" s="65" t="n"/>
      <c r="N575" s="65" t="n"/>
      <c r="O575" s="65" t="n"/>
      <c r="P575" s="65" t="n"/>
      <c r="Q575" s="65" t="n"/>
      <c r="R575" s="65" t="n"/>
      <c r="S575" s="65" t="n"/>
      <c r="T575" s="65" t="n"/>
      <c r="U575" s="65" t="n"/>
      <c r="V575" s="77" t="n"/>
      <c r="W575" s="65" t="n"/>
      <c r="X575" s="65" t="n"/>
      <c r="Y575" s="65" t="n"/>
      <c r="Z575" s="65" t="n"/>
      <c r="AA575" s="65" t="n"/>
      <c r="AB575" s="65" t="n"/>
      <c r="AC575" s="65" t="n"/>
      <c r="AD575" s="65" t="n"/>
      <c r="AE575" s="65" t="n"/>
      <c r="AF575" s="65" t="n"/>
      <c r="AG575" s="65" t="n"/>
      <c r="AH575" s="65" t="n"/>
      <c r="AI575" s="65" t="n"/>
      <c r="AJ575" s="65" t="n"/>
      <c r="AK575" s="65" t="n"/>
      <c r="AL575" s="65" t="n"/>
      <c r="AM575" s="65" t="n"/>
      <c r="AN575" s="65" t="n"/>
      <c r="AO575" s="65" t="n"/>
      <c r="AP575" s="65" t="n"/>
    </row>
    <row r="576">
      <c r="F576" s="68" t="n"/>
      <c r="G576" s="68">
        <f>IF(B576="","",F576-I576 )</f>
        <v/>
      </c>
      <c r="H576" s="5">
        <f>IF(G576="","",G576/F576)</f>
        <v/>
      </c>
      <c r="J576" s="65" t="n"/>
      <c r="K576" s="65" t="n"/>
      <c r="L576" s="65" t="n"/>
      <c r="M576" s="65" t="n"/>
      <c r="N576" s="65" t="n"/>
      <c r="O576" s="65" t="n"/>
      <c r="P576" s="65" t="n"/>
      <c r="Q576" s="65" t="n"/>
      <c r="R576" s="65" t="n"/>
      <c r="S576" s="65" t="n"/>
      <c r="T576" s="65" t="n"/>
      <c r="U576" s="65" t="n"/>
      <c r="V576" s="77" t="n"/>
      <c r="W576" s="65" t="n"/>
      <c r="X576" s="65" t="n"/>
      <c r="Y576" s="65" t="n"/>
      <c r="Z576" s="65" t="n"/>
      <c r="AA576" s="65" t="n"/>
      <c r="AB576" s="65" t="n"/>
      <c r="AC576" s="65" t="n"/>
      <c r="AD576" s="65" t="n"/>
      <c r="AE576" s="65" t="n"/>
      <c r="AF576" s="65" t="n"/>
      <c r="AG576" s="65" t="n"/>
      <c r="AH576" s="65" t="n"/>
      <c r="AI576" s="65" t="n"/>
      <c r="AJ576" s="65" t="n"/>
      <c r="AK576" s="65" t="n"/>
      <c r="AL576" s="65" t="n"/>
      <c r="AM576" s="65" t="n"/>
      <c r="AN576" s="65" t="n"/>
      <c r="AO576" s="65" t="n"/>
      <c r="AP576" s="65" t="n"/>
    </row>
    <row r="577">
      <c r="F577" s="68" t="n"/>
      <c r="G577" s="68">
        <f>IF(B577="","",F577-I577 )</f>
        <v/>
      </c>
      <c r="H577" s="5">
        <f>IF(G577="","",G577/F577)</f>
        <v/>
      </c>
      <c r="J577" s="65" t="n"/>
      <c r="K577" s="65" t="n"/>
      <c r="L577" s="65" t="n"/>
      <c r="M577" s="65" t="n"/>
      <c r="N577" s="65" t="n"/>
      <c r="O577" s="65" t="n"/>
      <c r="P577" s="65" t="n"/>
      <c r="Q577" s="65" t="n"/>
      <c r="R577" s="65" t="n"/>
      <c r="S577" s="65" t="n"/>
      <c r="T577" s="65" t="n"/>
      <c r="U577" s="65" t="n"/>
      <c r="V577" s="77" t="n"/>
      <c r="W577" s="65" t="n"/>
      <c r="X577" s="65" t="n"/>
      <c r="Y577" s="65" t="n"/>
      <c r="Z577" s="65" t="n"/>
      <c r="AA577" s="65" t="n"/>
      <c r="AB577" s="65" t="n"/>
      <c r="AC577" s="65" t="n"/>
      <c r="AD577" s="65" t="n"/>
      <c r="AE577" s="65" t="n"/>
      <c r="AF577" s="65" t="n"/>
      <c r="AG577" s="65" t="n"/>
      <c r="AH577" s="65" t="n"/>
      <c r="AI577" s="65" t="n"/>
      <c r="AJ577" s="65" t="n"/>
      <c r="AK577" s="65" t="n"/>
      <c r="AL577" s="65" t="n"/>
      <c r="AM577" s="65" t="n"/>
      <c r="AN577" s="65" t="n"/>
      <c r="AO577" s="65" t="n"/>
      <c r="AP577" s="65" t="n"/>
    </row>
    <row r="578">
      <c r="F578" s="68" t="n"/>
      <c r="G578" s="68">
        <f>IF(B578="","",F578-I578 )</f>
        <v/>
      </c>
      <c r="H578" s="5">
        <f>IF(G578="","",G578/F578)</f>
        <v/>
      </c>
      <c r="J578" s="65" t="n"/>
      <c r="K578" s="65" t="n"/>
      <c r="L578" s="65" t="n"/>
      <c r="M578" s="65" t="n"/>
      <c r="N578" s="65" t="n"/>
      <c r="O578" s="65" t="n"/>
      <c r="P578" s="65" t="n"/>
      <c r="Q578" s="65" t="n"/>
      <c r="R578" s="65" t="n"/>
      <c r="S578" s="65" t="n"/>
      <c r="T578" s="65" t="n"/>
      <c r="U578" s="65" t="n"/>
      <c r="V578" s="77" t="n"/>
      <c r="W578" s="65" t="n"/>
      <c r="X578" s="65" t="n"/>
      <c r="Y578" s="65" t="n"/>
      <c r="Z578" s="65" t="n"/>
      <c r="AA578" s="65" t="n"/>
      <c r="AB578" s="65" t="n"/>
      <c r="AC578" s="65" t="n"/>
      <c r="AD578" s="65" t="n"/>
      <c r="AE578" s="65" t="n"/>
      <c r="AF578" s="65" t="n"/>
      <c r="AG578" s="65" t="n"/>
      <c r="AH578" s="65" t="n"/>
      <c r="AI578" s="65" t="n"/>
      <c r="AJ578" s="65" t="n"/>
      <c r="AK578" s="65" t="n"/>
      <c r="AL578" s="65" t="n"/>
      <c r="AM578" s="65" t="n"/>
      <c r="AN578" s="65" t="n"/>
      <c r="AO578" s="65" t="n"/>
      <c r="AP578" s="65" t="n"/>
    </row>
    <row r="579">
      <c r="F579" s="68" t="n"/>
      <c r="G579" s="68">
        <f>IF(B579="","",F579-I579 )</f>
        <v/>
      </c>
      <c r="H579" s="5">
        <f>IF(G579="","",G579/F579)</f>
        <v/>
      </c>
      <c r="J579" s="65" t="n"/>
      <c r="K579" s="65" t="n"/>
      <c r="L579" s="65" t="n"/>
      <c r="M579" s="65" t="n"/>
      <c r="N579" s="65" t="n"/>
      <c r="O579" s="65" t="n"/>
      <c r="P579" s="65" t="n"/>
      <c r="Q579" s="65" t="n"/>
      <c r="R579" s="65" t="n"/>
      <c r="S579" s="65" t="n"/>
      <c r="T579" s="65" t="n"/>
      <c r="U579" s="65" t="n"/>
      <c r="V579" s="77" t="n"/>
      <c r="W579" s="65" t="n"/>
      <c r="X579" s="65" t="n"/>
      <c r="Y579" s="65" t="n"/>
      <c r="Z579" s="65" t="n"/>
      <c r="AA579" s="65" t="n"/>
      <c r="AB579" s="65" t="n"/>
      <c r="AC579" s="65" t="n"/>
      <c r="AD579" s="65" t="n"/>
      <c r="AE579" s="65" t="n"/>
      <c r="AF579" s="65" t="n"/>
      <c r="AG579" s="65" t="n"/>
      <c r="AH579" s="65" t="n"/>
      <c r="AI579" s="65" t="n"/>
      <c r="AJ579" s="65" t="n"/>
      <c r="AK579" s="65" t="n"/>
      <c r="AL579" s="65" t="n"/>
      <c r="AM579" s="65" t="n"/>
      <c r="AN579" s="65" t="n"/>
      <c r="AO579" s="65" t="n"/>
      <c r="AP579" s="65" t="n"/>
    </row>
    <row r="580">
      <c r="F580" s="68" t="n"/>
      <c r="G580" s="68">
        <f>IF(B580="","",F580-I580 )</f>
        <v/>
      </c>
      <c r="H580" s="5">
        <f>IF(G580="","",G580/F580)</f>
        <v/>
      </c>
      <c r="J580" s="65" t="n"/>
      <c r="K580" s="65" t="n"/>
      <c r="L580" s="65" t="n"/>
      <c r="M580" s="65" t="n"/>
      <c r="N580" s="65" t="n"/>
      <c r="O580" s="65" t="n"/>
      <c r="P580" s="65" t="n"/>
      <c r="Q580" s="65" t="n"/>
      <c r="R580" s="65" t="n"/>
      <c r="S580" s="65" t="n"/>
      <c r="T580" s="65" t="n"/>
      <c r="U580" s="65" t="n"/>
      <c r="V580" s="77" t="n"/>
      <c r="W580" s="65" t="n"/>
      <c r="X580" s="65" t="n"/>
      <c r="Y580" s="65" t="n"/>
      <c r="Z580" s="65" t="n"/>
      <c r="AA580" s="65" t="n"/>
      <c r="AB580" s="65" t="n"/>
      <c r="AC580" s="65" t="n"/>
      <c r="AD580" s="65" t="n"/>
      <c r="AE580" s="65" t="n"/>
      <c r="AF580" s="65" t="n"/>
      <c r="AG580" s="65" t="n"/>
      <c r="AH580" s="65" t="n"/>
      <c r="AI580" s="65" t="n"/>
      <c r="AJ580" s="65" t="n"/>
      <c r="AK580" s="65" t="n"/>
      <c r="AL580" s="65" t="n"/>
      <c r="AM580" s="65" t="n"/>
      <c r="AN580" s="65" t="n"/>
      <c r="AO580" s="65" t="n"/>
      <c r="AP580" s="65" t="n"/>
    </row>
    <row r="581">
      <c r="F581" s="68" t="n"/>
      <c r="G581" s="68">
        <f>IF(B581="","",F581-I581 )</f>
        <v/>
      </c>
      <c r="H581" s="5">
        <f>IF(G581="","",G581/F581)</f>
        <v/>
      </c>
      <c r="J581" s="65" t="n"/>
      <c r="K581" s="65" t="n"/>
      <c r="L581" s="65" t="n"/>
      <c r="M581" s="65" t="n"/>
      <c r="N581" s="65" t="n"/>
      <c r="O581" s="65" t="n"/>
      <c r="P581" s="65" t="n"/>
      <c r="Q581" s="65" t="n"/>
      <c r="R581" s="65" t="n"/>
      <c r="S581" s="65" t="n"/>
      <c r="T581" s="65" t="n"/>
      <c r="U581" s="65" t="n"/>
      <c r="V581" s="77" t="n"/>
      <c r="W581" s="65" t="n"/>
      <c r="X581" s="65" t="n"/>
      <c r="Y581" s="65" t="n"/>
      <c r="Z581" s="65" t="n"/>
      <c r="AA581" s="65" t="n"/>
      <c r="AB581" s="65" t="n"/>
      <c r="AC581" s="65" t="n"/>
      <c r="AD581" s="65" t="n"/>
      <c r="AE581" s="65" t="n"/>
      <c r="AF581" s="65" t="n"/>
      <c r="AG581" s="65" t="n"/>
      <c r="AH581" s="65" t="n"/>
      <c r="AI581" s="65" t="n"/>
      <c r="AJ581" s="65" t="n"/>
      <c r="AK581" s="65" t="n"/>
      <c r="AL581" s="65" t="n"/>
      <c r="AM581" s="65" t="n"/>
      <c r="AN581" s="65" t="n"/>
      <c r="AO581" s="65" t="n"/>
      <c r="AP581" s="65" t="n"/>
    </row>
    <row r="582">
      <c r="F582" s="68" t="n"/>
      <c r="G582" s="68">
        <f>IF(B582="","",F582-I582 )</f>
        <v/>
      </c>
      <c r="H582" s="5">
        <f>IF(G582="","",G582/F582)</f>
        <v/>
      </c>
      <c r="J582" s="65" t="n"/>
      <c r="K582" s="65" t="n"/>
      <c r="L582" s="65" t="n"/>
      <c r="M582" s="65" t="n"/>
      <c r="N582" s="65" t="n"/>
      <c r="O582" s="65" t="n"/>
      <c r="P582" s="65" t="n"/>
      <c r="Q582" s="65" t="n"/>
      <c r="R582" s="65" t="n"/>
      <c r="S582" s="65" t="n"/>
      <c r="T582" s="65" t="n"/>
      <c r="U582" s="65" t="n"/>
      <c r="V582" s="77" t="n"/>
      <c r="W582" s="65" t="n"/>
      <c r="X582" s="65" t="n"/>
      <c r="Y582" s="65" t="n"/>
      <c r="Z582" s="65" t="n"/>
      <c r="AA582" s="65" t="n"/>
      <c r="AB582" s="65" t="n"/>
      <c r="AC582" s="65" t="n"/>
      <c r="AD582" s="65" t="n"/>
      <c r="AE582" s="65" t="n"/>
      <c r="AF582" s="65" t="n"/>
      <c r="AG582" s="65" t="n"/>
      <c r="AH582" s="65" t="n"/>
      <c r="AI582" s="65" t="n"/>
      <c r="AJ582" s="65" t="n"/>
      <c r="AK582" s="65" t="n"/>
      <c r="AL582" s="65" t="n"/>
      <c r="AM582" s="65" t="n"/>
      <c r="AN582" s="65" t="n"/>
      <c r="AO582" s="65" t="n"/>
      <c r="AP582" s="65" t="n"/>
    </row>
    <row r="583">
      <c r="F583" s="68" t="n"/>
      <c r="G583" s="68">
        <f>IF(B583="","",F583-I583 )</f>
        <v/>
      </c>
      <c r="H583" s="5">
        <f>IF(G583="","",G583/F583)</f>
        <v/>
      </c>
      <c r="J583" s="65" t="n"/>
      <c r="K583" s="65" t="n"/>
      <c r="L583" s="65" t="n"/>
      <c r="M583" s="65" t="n"/>
      <c r="N583" s="65" t="n"/>
      <c r="O583" s="65" t="n"/>
      <c r="P583" s="65" t="n"/>
      <c r="Q583" s="65" t="n"/>
      <c r="R583" s="65" t="n"/>
      <c r="S583" s="65" t="n"/>
      <c r="T583" s="65" t="n"/>
      <c r="U583" s="65" t="n"/>
      <c r="V583" s="77" t="n"/>
      <c r="W583" s="65" t="n"/>
      <c r="X583" s="65" t="n"/>
      <c r="Y583" s="65" t="n"/>
      <c r="Z583" s="65" t="n"/>
      <c r="AA583" s="65" t="n"/>
      <c r="AB583" s="65" t="n"/>
      <c r="AC583" s="65" t="n"/>
      <c r="AD583" s="65" t="n"/>
      <c r="AE583" s="65" t="n"/>
      <c r="AF583" s="65" t="n"/>
      <c r="AG583" s="65" t="n"/>
      <c r="AH583" s="65" t="n"/>
      <c r="AI583" s="65" t="n"/>
      <c r="AJ583" s="65" t="n"/>
      <c r="AK583" s="65" t="n"/>
      <c r="AL583" s="65" t="n"/>
      <c r="AM583" s="65" t="n"/>
      <c r="AN583" s="65" t="n"/>
      <c r="AO583" s="65" t="n"/>
      <c r="AP583" s="65" t="n"/>
    </row>
    <row r="584">
      <c r="F584" s="68" t="n"/>
      <c r="G584" s="68">
        <f>IF(B584="","",F584-I584 )</f>
        <v/>
      </c>
      <c r="H584" s="5">
        <f>IF(G584="","",G584/F584)</f>
        <v/>
      </c>
      <c r="J584" s="65" t="n"/>
      <c r="K584" s="65" t="n"/>
      <c r="L584" s="65" t="n"/>
      <c r="M584" s="65" t="n"/>
      <c r="N584" s="65" t="n"/>
      <c r="O584" s="65" t="n"/>
      <c r="P584" s="65" t="n"/>
      <c r="Q584" s="65" t="n"/>
      <c r="R584" s="65" t="n"/>
      <c r="S584" s="65" t="n"/>
      <c r="T584" s="65" t="n"/>
      <c r="U584" s="65" t="n"/>
      <c r="V584" s="77" t="n"/>
      <c r="W584" s="65" t="n"/>
      <c r="X584" s="65" t="n"/>
      <c r="Y584" s="65" t="n"/>
      <c r="Z584" s="65" t="n"/>
      <c r="AA584" s="65" t="n"/>
      <c r="AB584" s="65" t="n"/>
      <c r="AC584" s="65" t="n"/>
      <c r="AD584" s="65" t="n"/>
      <c r="AE584" s="65" t="n"/>
      <c r="AF584" s="65" t="n"/>
      <c r="AG584" s="65" t="n"/>
      <c r="AH584" s="65" t="n"/>
      <c r="AI584" s="65" t="n"/>
      <c r="AJ584" s="65" t="n"/>
      <c r="AK584" s="65" t="n"/>
      <c r="AL584" s="65" t="n"/>
      <c r="AM584" s="65" t="n"/>
      <c r="AN584" s="65" t="n"/>
      <c r="AO584" s="65" t="n"/>
      <c r="AP584" s="65" t="n"/>
    </row>
    <row r="585">
      <c r="F585" s="68" t="n"/>
      <c r="G585" s="68">
        <f>IF(B585="","",F585-I585 )</f>
        <v/>
      </c>
      <c r="H585" s="5">
        <f>IF(G585="","",G585/F585)</f>
        <v/>
      </c>
      <c r="J585" s="65" t="n"/>
      <c r="K585" s="65" t="n"/>
      <c r="L585" s="65" t="n"/>
      <c r="M585" s="65" t="n"/>
      <c r="N585" s="65" t="n"/>
      <c r="O585" s="65" t="n"/>
      <c r="P585" s="65" t="n"/>
      <c r="Q585" s="65" t="n"/>
      <c r="R585" s="65" t="n"/>
      <c r="S585" s="65" t="n"/>
      <c r="T585" s="65" t="n"/>
      <c r="U585" s="65" t="n"/>
      <c r="V585" s="77" t="n"/>
      <c r="W585" s="65" t="n"/>
      <c r="X585" s="65" t="n"/>
      <c r="Y585" s="65" t="n"/>
      <c r="Z585" s="65" t="n"/>
      <c r="AA585" s="65" t="n"/>
      <c r="AB585" s="65" t="n"/>
      <c r="AC585" s="65" t="n"/>
      <c r="AD585" s="65" t="n"/>
      <c r="AE585" s="65" t="n"/>
      <c r="AF585" s="65" t="n"/>
      <c r="AG585" s="65" t="n"/>
      <c r="AH585" s="65" t="n"/>
      <c r="AI585" s="65" t="n"/>
      <c r="AJ585" s="65" t="n"/>
      <c r="AK585" s="65" t="n"/>
      <c r="AL585" s="65" t="n"/>
      <c r="AM585" s="65" t="n"/>
      <c r="AN585" s="65" t="n"/>
      <c r="AO585" s="65" t="n"/>
      <c r="AP585" s="65" t="n"/>
    </row>
    <row r="586">
      <c r="F586" s="68" t="n"/>
      <c r="G586" s="68">
        <f>IF(B586="","",F586-I586 )</f>
        <v/>
      </c>
      <c r="H586" s="5">
        <f>IF(G586="","",G586/F586)</f>
        <v/>
      </c>
      <c r="J586" s="65" t="n"/>
      <c r="K586" s="65" t="n"/>
      <c r="L586" s="65" t="n"/>
      <c r="M586" s="65" t="n"/>
      <c r="N586" s="65" t="n"/>
      <c r="O586" s="65" t="n"/>
      <c r="P586" s="65" t="n"/>
      <c r="Q586" s="65" t="n"/>
      <c r="R586" s="65" t="n"/>
      <c r="S586" s="65" t="n"/>
      <c r="T586" s="65" t="n"/>
      <c r="U586" s="65" t="n"/>
      <c r="V586" s="77" t="n"/>
      <c r="W586" s="65" t="n"/>
      <c r="X586" s="65" t="n"/>
      <c r="Y586" s="65" t="n"/>
      <c r="Z586" s="65" t="n"/>
      <c r="AA586" s="65" t="n"/>
      <c r="AB586" s="65" t="n"/>
      <c r="AC586" s="65" t="n"/>
      <c r="AD586" s="65" t="n"/>
      <c r="AE586" s="65" t="n"/>
      <c r="AF586" s="65" t="n"/>
      <c r="AG586" s="65" t="n"/>
      <c r="AH586" s="65" t="n"/>
      <c r="AI586" s="65" t="n"/>
      <c r="AJ586" s="65" t="n"/>
      <c r="AK586" s="65" t="n"/>
      <c r="AL586" s="65" t="n"/>
      <c r="AM586" s="65" t="n"/>
      <c r="AN586" s="65" t="n"/>
      <c r="AO586" s="65" t="n"/>
      <c r="AP586" s="65" t="n"/>
    </row>
    <row r="587">
      <c r="F587" s="68" t="n"/>
      <c r="G587" s="68">
        <f>IF(B587="","",F587-I587 )</f>
        <v/>
      </c>
      <c r="H587" s="5">
        <f>IF(G587="","",G587/F587)</f>
        <v/>
      </c>
      <c r="J587" s="65" t="n"/>
      <c r="K587" s="65" t="n"/>
      <c r="L587" s="65" t="n"/>
      <c r="M587" s="65" t="n"/>
      <c r="N587" s="65" t="n"/>
      <c r="O587" s="65" t="n"/>
      <c r="P587" s="65" t="n"/>
      <c r="Q587" s="65" t="n"/>
      <c r="R587" s="65" t="n"/>
      <c r="S587" s="65" t="n"/>
      <c r="T587" s="65" t="n"/>
      <c r="U587" s="65" t="n"/>
      <c r="V587" s="77" t="n"/>
      <c r="W587" s="65" t="n"/>
      <c r="X587" s="65" t="n"/>
      <c r="Y587" s="65" t="n"/>
      <c r="Z587" s="65" t="n"/>
      <c r="AA587" s="65" t="n"/>
      <c r="AB587" s="65" t="n"/>
      <c r="AC587" s="65" t="n"/>
      <c r="AD587" s="65" t="n"/>
      <c r="AE587" s="65" t="n"/>
      <c r="AF587" s="65" t="n"/>
      <c r="AG587" s="65" t="n"/>
      <c r="AH587" s="65" t="n"/>
      <c r="AI587" s="65" t="n"/>
      <c r="AJ587" s="65" t="n"/>
      <c r="AK587" s="65" t="n"/>
      <c r="AL587" s="65" t="n"/>
      <c r="AM587" s="65" t="n"/>
      <c r="AN587" s="65" t="n"/>
      <c r="AO587" s="65" t="n"/>
      <c r="AP587" s="65" t="n"/>
    </row>
    <row r="588">
      <c r="F588" s="68" t="n"/>
      <c r="G588" s="68">
        <f>IF(B588="","",F588-I588 )</f>
        <v/>
      </c>
      <c r="H588" s="5">
        <f>IF(G588="","",G588/F588)</f>
        <v/>
      </c>
      <c r="J588" s="65" t="n"/>
      <c r="K588" s="65" t="n"/>
      <c r="L588" s="65" t="n"/>
      <c r="M588" s="65" t="n"/>
      <c r="N588" s="65" t="n"/>
      <c r="O588" s="65" t="n"/>
      <c r="P588" s="65" t="n"/>
      <c r="Q588" s="65" t="n"/>
      <c r="R588" s="65" t="n"/>
      <c r="S588" s="65" t="n"/>
      <c r="T588" s="65" t="n"/>
      <c r="U588" s="65" t="n"/>
      <c r="V588" s="77" t="n"/>
      <c r="W588" s="65" t="n"/>
      <c r="X588" s="65" t="n"/>
      <c r="Y588" s="65" t="n"/>
      <c r="Z588" s="65" t="n"/>
      <c r="AA588" s="65" t="n"/>
      <c r="AB588" s="65" t="n"/>
      <c r="AC588" s="65" t="n"/>
      <c r="AD588" s="65" t="n"/>
      <c r="AE588" s="65" t="n"/>
      <c r="AF588" s="65" t="n"/>
      <c r="AG588" s="65" t="n"/>
      <c r="AH588" s="65" t="n"/>
      <c r="AI588" s="65" t="n"/>
      <c r="AJ588" s="65" t="n"/>
      <c r="AK588" s="65" t="n"/>
      <c r="AL588" s="65" t="n"/>
      <c r="AM588" s="65" t="n"/>
      <c r="AN588" s="65" t="n"/>
      <c r="AO588" s="65" t="n"/>
      <c r="AP588" s="65" t="n"/>
    </row>
    <row r="589">
      <c r="F589" s="68" t="n"/>
      <c r="G589" s="68">
        <f>IF(B589="","",F589-I589 )</f>
        <v/>
      </c>
      <c r="H589" s="5">
        <f>IF(G589="","",G589/F589)</f>
        <v/>
      </c>
      <c r="J589" s="65" t="n"/>
      <c r="K589" s="65" t="n"/>
      <c r="L589" s="65" t="n"/>
      <c r="M589" s="65" t="n"/>
      <c r="N589" s="65" t="n"/>
      <c r="O589" s="65" t="n"/>
      <c r="P589" s="65" t="n"/>
      <c r="Q589" s="65" t="n"/>
      <c r="R589" s="65" t="n"/>
      <c r="S589" s="65" t="n"/>
      <c r="T589" s="65" t="n"/>
      <c r="U589" s="65" t="n"/>
      <c r="V589" s="77" t="n"/>
      <c r="W589" s="65" t="n"/>
      <c r="X589" s="65" t="n"/>
      <c r="Y589" s="65" t="n"/>
      <c r="Z589" s="65" t="n"/>
      <c r="AA589" s="65" t="n"/>
      <c r="AB589" s="65" t="n"/>
      <c r="AC589" s="65" t="n"/>
      <c r="AD589" s="65" t="n"/>
      <c r="AE589" s="65" t="n"/>
      <c r="AF589" s="65" t="n"/>
      <c r="AG589" s="65" t="n"/>
      <c r="AH589" s="65" t="n"/>
      <c r="AI589" s="65" t="n"/>
      <c r="AJ589" s="65" t="n"/>
      <c r="AK589" s="65" t="n"/>
      <c r="AL589" s="65" t="n"/>
      <c r="AM589" s="65" t="n"/>
      <c r="AN589" s="65" t="n"/>
      <c r="AO589" s="65" t="n"/>
      <c r="AP589" s="65" t="n"/>
    </row>
    <row r="590">
      <c r="F590" s="68" t="n"/>
      <c r="G590" s="68">
        <f>IF(B590="","",F590-I590 )</f>
        <v/>
      </c>
      <c r="H590" s="5">
        <f>IF(G590="","",G590/F590)</f>
        <v/>
      </c>
      <c r="J590" s="65" t="n"/>
      <c r="K590" s="65" t="n"/>
      <c r="L590" s="65" t="n"/>
      <c r="M590" s="65" t="n"/>
      <c r="N590" s="65" t="n"/>
      <c r="O590" s="65" t="n"/>
      <c r="P590" s="65" t="n"/>
      <c r="Q590" s="65" t="n"/>
      <c r="R590" s="65" t="n"/>
      <c r="S590" s="65" t="n"/>
      <c r="T590" s="65" t="n"/>
      <c r="U590" s="65" t="n"/>
      <c r="V590" s="77" t="n"/>
      <c r="W590" s="65" t="n"/>
      <c r="X590" s="65" t="n"/>
      <c r="Y590" s="65" t="n"/>
      <c r="Z590" s="65" t="n"/>
      <c r="AA590" s="65" t="n"/>
      <c r="AB590" s="65" t="n"/>
      <c r="AC590" s="65" t="n"/>
      <c r="AD590" s="65" t="n"/>
      <c r="AE590" s="65" t="n"/>
      <c r="AF590" s="65" t="n"/>
      <c r="AG590" s="65" t="n"/>
      <c r="AH590" s="65" t="n"/>
      <c r="AI590" s="65" t="n"/>
      <c r="AJ590" s="65" t="n"/>
      <c r="AK590" s="65" t="n"/>
      <c r="AL590" s="65" t="n"/>
      <c r="AM590" s="65" t="n"/>
      <c r="AN590" s="65" t="n"/>
      <c r="AO590" s="65" t="n"/>
      <c r="AP590" s="65" t="n"/>
    </row>
    <row r="591">
      <c r="F591" s="68" t="n"/>
      <c r="G591" s="68">
        <f>IF(B591="","",F591-I591 )</f>
        <v/>
      </c>
      <c r="H591" s="5">
        <f>IF(G591="","",G591/F591)</f>
        <v/>
      </c>
      <c r="J591" s="65" t="n"/>
      <c r="K591" s="65" t="n"/>
      <c r="L591" s="65" t="n"/>
      <c r="M591" s="65" t="n"/>
      <c r="N591" s="65" t="n"/>
      <c r="O591" s="65" t="n"/>
      <c r="P591" s="65" t="n"/>
      <c r="Q591" s="65" t="n"/>
      <c r="R591" s="65" t="n"/>
      <c r="S591" s="65" t="n"/>
      <c r="T591" s="65" t="n"/>
      <c r="U591" s="65" t="n"/>
      <c r="V591" s="77" t="n"/>
      <c r="W591" s="65" t="n"/>
      <c r="X591" s="65" t="n"/>
      <c r="Y591" s="65" t="n"/>
      <c r="Z591" s="65" t="n"/>
      <c r="AA591" s="65" t="n"/>
      <c r="AB591" s="65" t="n"/>
      <c r="AC591" s="65" t="n"/>
      <c r="AD591" s="65" t="n"/>
      <c r="AE591" s="65" t="n"/>
      <c r="AF591" s="65" t="n"/>
      <c r="AG591" s="65" t="n"/>
      <c r="AH591" s="65" t="n"/>
      <c r="AI591" s="65" t="n"/>
      <c r="AJ591" s="65" t="n"/>
      <c r="AK591" s="65" t="n"/>
      <c r="AL591" s="65" t="n"/>
      <c r="AM591" s="65" t="n"/>
      <c r="AN591" s="65" t="n"/>
      <c r="AO591" s="65" t="n"/>
      <c r="AP591" s="65" t="n"/>
    </row>
    <row r="592">
      <c r="F592" s="68" t="n"/>
      <c r="G592" s="68">
        <f>IF(B592="","",F592-I592 )</f>
        <v/>
      </c>
      <c r="H592" s="5">
        <f>IF(G592="","",G592/F592)</f>
        <v/>
      </c>
      <c r="J592" s="65" t="n"/>
      <c r="K592" s="65" t="n"/>
      <c r="L592" s="65" t="n"/>
      <c r="M592" s="65" t="n"/>
      <c r="N592" s="65" t="n"/>
      <c r="O592" s="65" t="n"/>
      <c r="P592" s="65" t="n"/>
      <c r="Q592" s="65" t="n"/>
      <c r="R592" s="65" t="n"/>
      <c r="S592" s="65" t="n"/>
      <c r="T592" s="65" t="n"/>
      <c r="U592" s="65" t="n"/>
      <c r="V592" s="77" t="n"/>
      <c r="W592" s="65" t="n"/>
      <c r="X592" s="65" t="n"/>
      <c r="Y592" s="65" t="n"/>
      <c r="Z592" s="65" t="n"/>
      <c r="AA592" s="65" t="n"/>
      <c r="AB592" s="65" t="n"/>
      <c r="AC592" s="65" t="n"/>
      <c r="AD592" s="65" t="n"/>
      <c r="AE592" s="65" t="n"/>
      <c r="AF592" s="65" t="n"/>
      <c r="AG592" s="65" t="n"/>
      <c r="AH592" s="65" t="n"/>
      <c r="AI592" s="65" t="n"/>
      <c r="AJ592" s="65" t="n"/>
      <c r="AK592" s="65" t="n"/>
      <c r="AL592" s="65" t="n"/>
      <c r="AM592" s="65" t="n"/>
      <c r="AN592" s="65" t="n"/>
      <c r="AO592" s="65" t="n"/>
      <c r="AP592" s="65" t="n"/>
    </row>
    <row r="593">
      <c r="F593" s="68" t="n"/>
      <c r="G593" s="68">
        <f>IF(B593="","",F593-I593 )</f>
        <v/>
      </c>
      <c r="H593" s="5">
        <f>IF(G593="","",G593/F593)</f>
        <v/>
      </c>
      <c r="J593" s="65" t="n"/>
      <c r="K593" s="65" t="n"/>
      <c r="L593" s="65" t="n"/>
      <c r="M593" s="65" t="n"/>
      <c r="N593" s="65" t="n"/>
      <c r="O593" s="65" t="n"/>
      <c r="P593" s="65" t="n"/>
      <c r="Q593" s="65" t="n"/>
      <c r="R593" s="65" t="n"/>
      <c r="S593" s="65" t="n"/>
      <c r="T593" s="65" t="n"/>
      <c r="U593" s="65" t="n"/>
      <c r="V593" s="77" t="n"/>
      <c r="W593" s="65" t="n"/>
      <c r="X593" s="65" t="n"/>
      <c r="Y593" s="65" t="n"/>
      <c r="Z593" s="65" t="n"/>
      <c r="AA593" s="65" t="n"/>
      <c r="AB593" s="65" t="n"/>
      <c r="AC593" s="65" t="n"/>
      <c r="AD593" s="65" t="n"/>
      <c r="AE593" s="65" t="n"/>
      <c r="AF593" s="65" t="n"/>
      <c r="AG593" s="65" t="n"/>
      <c r="AH593" s="65" t="n"/>
      <c r="AI593" s="65" t="n"/>
      <c r="AJ593" s="65" t="n"/>
      <c r="AK593" s="65" t="n"/>
      <c r="AL593" s="65" t="n"/>
      <c r="AM593" s="65" t="n"/>
      <c r="AN593" s="65" t="n"/>
      <c r="AO593" s="65" t="n"/>
      <c r="AP593" s="65" t="n"/>
    </row>
    <row r="594">
      <c r="F594" s="68" t="n"/>
      <c r="G594" s="68">
        <f>IF(B594="","",F594-I594 )</f>
        <v/>
      </c>
      <c r="H594" s="5">
        <f>IF(G594="","",G594/F594)</f>
        <v/>
      </c>
      <c r="J594" s="65" t="n"/>
      <c r="K594" s="65" t="n"/>
      <c r="L594" s="65" t="n"/>
      <c r="M594" s="65" t="n"/>
      <c r="N594" s="65" t="n"/>
      <c r="O594" s="65" t="n"/>
      <c r="P594" s="65" t="n"/>
      <c r="Q594" s="65" t="n"/>
      <c r="R594" s="65" t="n"/>
      <c r="S594" s="65" t="n"/>
      <c r="T594" s="65" t="n"/>
      <c r="U594" s="65" t="n"/>
      <c r="V594" s="77" t="n"/>
      <c r="W594" s="65" t="n"/>
      <c r="X594" s="65" t="n"/>
      <c r="Y594" s="65" t="n"/>
      <c r="Z594" s="65" t="n"/>
      <c r="AA594" s="65" t="n"/>
      <c r="AB594" s="65" t="n"/>
      <c r="AC594" s="65" t="n"/>
      <c r="AD594" s="65" t="n"/>
      <c r="AE594" s="65" t="n"/>
      <c r="AF594" s="65" t="n"/>
      <c r="AG594" s="65" t="n"/>
      <c r="AH594" s="65" t="n"/>
      <c r="AI594" s="65" t="n"/>
      <c r="AJ594" s="65" t="n"/>
      <c r="AK594" s="65" t="n"/>
      <c r="AL594" s="65" t="n"/>
      <c r="AM594" s="65" t="n"/>
      <c r="AN594" s="65" t="n"/>
      <c r="AO594" s="65" t="n"/>
      <c r="AP594" s="65" t="n"/>
    </row>
    <row r="595">
      <c r="F595" s="68" t="n"/>
      <c r="G595" s="68">
        <f>IF(B595="","",F595-I595 )</f>
        <v/>
      </c>
      <c r="H595" s="5">
        <f>IF(G595="","",G595/F595)</f>
        <v/>
      </c>
      <c r="J595" s="65" t="n"/>
      <c r="K595" s="65" t="n"/>
      <c r="L595" s="65" t="n"/>
      <c r="M595" s="65" t="n"/>
      <c r="N595" s="65" t="n"/>
      <c r="O595" s="65" t="n"/>
      <c r="P595" s="65" t="n"/>
      <c r="Q595" s="65" t="n"/>
      <c r="R595" s="65" t="n"/>
      <c r="S595" s="65" t="n"/>
      <c r="T595" s="65" t="n"/>
      <c r="U595" s="65" t="n"/>
      <c r="V595" s="77" t="n"/>
      <c r="W595" s="65" t="n"/>
      <c r="X595" s="65" t="n"/>
      <c r="Y595" s="65" t="n"/>
      <c r="Z595" s="65" t="n"/>
      <c r="AA595" s="65" t="n"/>
      <c r="AB595" s="65" t="n"/>
      <c r="AC595" s="65" t="n"/>
      <c r="AD595" s="65" t="n"/>
      <c r="AE595" s="65" t="n"/>
      <c r="AF595" s="65" t="n"/>
      <c r="AG595" s="65" t="n"/>
      <c r="AH595" s="65" t="n"/>
      <c r="AI595" s="65" t="n"/>
      <c r="AJ595" s="65" t="n"/>
      <c r="AK595" s="65" t="n"/>
      <c r="AL595" s="65" t="n"/>
      <c r="AM595" s="65" t="n"/>
      <c r="AN595" s="65" t="n"/>
      <c r="AO595" s="65" t="n"/>
      <c r="AP595" s="65" t="n"/>
    </row>
    <row r="596">
      <c r="F596" s="68" t="n"/>
      <c r="G596" s="68">
        <f>IF(B596="","",F596-I596 )</f>
        <v/>
      </c>
      <c r="H596" s="5">
        <f>IF(G596="","",G596/F596)</f>
        <v/>
      </c>
      <c r="J596" s="65" t="n"/>
      <c r="K596" s="65" t="n"/>
      <c r="L596" s="65" t="n"/>
      <c r="M596" s="65" t="n"/>
      <c r="N596" s="65" t="n"/>
      <c r="O596" s="65" t="n"/>
      <c r="P596" s="65" t="n"/>
      <c r="Q596" s="65" t="n"/>
      <c r="R596" s="65" t="n"/>
      <c r="S596" s="65" t="n"/>
      <c r="T596" s="65" t="n"/>
      <c r="U596" s="65" t="n"/>
      <c r="V596" s="77" t="n"/>
      <c r="W596" s="65" t="n"/>
      <c r="X596" s="65" t="n"/>
      <c r="Y596" s="65" t="n"/>
      <c r="Z596" s="65" t="n"/>
      <c r="AA596" s="65" t="n"/>
      <c r="AB596" s="65" t="n"/>
      <c r="AC596" s="65" t="n"/>
      <c r="AD596" s="65" t="n"/>
      <c r="AE596" s="65" t="n"/>
      <c r="AF596" s="65" t="n"/>
      <c r="AG596" s="65" t="n"/>
      <c r="AH596" s="65" t="n"/>
      <c r="AI596" s="65" t="n"/>
      <c r="AJ596" s="65" t="n"/>
      <c r="AK596" s="65" t="n"/>
      <c r="AL596" s="65" t="n"/>
      <c r="AM596" s="65" t="n"/>
      <c r="AN596" s="65" t="n"/>
      <c r="AO596" s="65" t="n"/>
      <c r="AP596" s="65" t="n"/>
    </row>
    <row r="597">
      <c r="F597" s="68" t="n"/>
      <c r="G597" s="68">
        <f>IF(B597="","",F597-I597 )</f>
        <v/>
      </c>
      <c r="H597" s="5">
        <f>IF(G597="","",G597/F597)</f>
        <v/>
      </c>
      <c r="J597" s="65" t="n"/>
      <c r="K597" s="65" t="n"/>
      <c r="L597" s="65" t="n"/>
      <c r="M597" s="65" t="n"/>
      <c r="N597" s="65" t="n"/>
      <c r="O597" s="65" t="n"/>
      <c r="P597" s="65" t="n"/>
      <c r="Q597" s="65" t="n"/>
      <c r="R597" s="65" t="n"/>
      <c r="S597" s="65" t="n"/>
      <c r="T597" s="65" t="n"/>
      <c r="U597" s="65" t="n"/>
      <c r="V597" s="77" t="n"/>
      <c r="W597" s="65" t="n"/>
      <c r="X597" s="65" t="n"/>
      <c r="Y597" s="65" t="n"/>
      <c r="Z597" s="65" t="n"/>
      <c r="AA597" s="65" t="n"/>
      <c r="AB597" s="65" t="n"/>
      <c r="AC597" s="65" t="n"/>
      <c r="AD597" s="65" t="n"/>
      <c r="AE597" s="65" t="n"/>
      <c r="AF597" s="65" t="n"/>
      <c r="AG597" s="65" t="n"/>
      <c r="AH597" s="65" t="n"/>
      <c r="AI597" s="65" t="n"/>
      <c r="AJ597" s="65" t="n"/>
      <c r="AK597" s="65" t="n"/>
      <c r="AL597" s="65" t="n"/>
      <c r="AM597" s="65" t="n"/>
      <c r="AN597" s="65" t="n"/>
      <c r="AO597" s="65" t="n"/>
      <c r="AP597" s="65" t="n"/>
    </row>
    <row r="598">
      <c r="F598" s="68" t="n"/>
      <c r="G598" s="68">
        <f>IF(B598="","",F598-I598 )</f>
        <v/>
      </c>
      <c r="H598" s="5">
        <f>IF(G598="","",G598/F598)</f>
        <v/>
      </c>
      <c r="J598" s="65" t="n"/>
      <c r="K598" s="65" t="n"/>
      <c r="L598" s="65" t="n"/>
      <c r="M598" s="65" t="n"/>
      <c r="N598" s="65" t="n"/>
      <c r="O598" s="65" t="n"/>
      <c r="P598" s="65" t="n"/>
      <c r="Q598" s="65" t="n"/>
      <c r="R598" s="65" t="n"/>
      <c r="S598" s="65" t="n"/>
      <c r="T598" s="65" t="n"/>
      <c r="U598" s="65" t="n"/>
      <c r="V598" s="77" t="n"/>
      <c r="W598" s="65" t="n"/>
      <c r="X598" s="65" t="n"/>
      <c r="Y598" s="65" t="n"/>
      <c r="Z598" s="65" t="n"/>
      <c r="AA598" s="65" t="n"/>
      <c r="AB598" s="65" t="n"/>
      <c r="AC598" s="65" t="n"/>
      <c r="AD598" s="65" t="n"/>
      <c r="AE598" s="65" t="n"/>
      <c r="AF598" s="65" t="n"/>
      <c r="AG598" s="65" t="n"/>
      <c r="AH598" s="65" t="n"/>
      <c r="AI598" s="65" t="n"/>
      <c r="AJ598" s="65" t="n"/>
      <c r="AK598" s="65" t="n"/>
      <c r="AL598" s="65" t="n"/>
      <c r="AM598" s="65" t="n"/>
      <c r="AN598" s="65" t="n"/>
      <c r="AO598" s="65" t="n"/>
      <c r="AP598" s="65" t="n"/>
    </row>
    <row r="599">
      <c r="F599" s="68" t="n"/>
      <c r="G599" s="68">
        <f>IF(B599="","",F599-I599 )</f>
        <v/>
      </c>
      <c r="H599" s="5">
        <f>IF(G599="","",G599/F599)</f>
        <v/>
      </c>
      <c r="J599" s="65" t="n"/>
      <c r="K599" s="65" t="n"/>
      <c r="L599" s="65" t="n"/>
      <c r="M599" s="65" t="n"/>
      <c r="N599" s="65" t="n"/>
      <c r="O599" s="65" t="n"/>
      <c r="P599" s="65" t="n"/>
      <c r="Q599" s="65" t="n"/>
      <c r="R599" s="65" t="n"/>
      <c r="S599" s="65" t="n"/>
      <c r="T599" s="65" t="n"/>
      <c r="U599" s="65" t="n"/>
      <c r="V599" s="77" t="n"/>
      <c r="W599" s="65" t="n"/>
      <c r="X599" s="65" t="n"/>
      <c r="Y599" s="65" t="n"/>
      <c r="Z599" s="65" t="n"/>
      <c r="AA599" s="65" t="n"/>
      <c r="AB599" s="65" t="n"/>
      <c r="AC599" s="65" t="n"/>
      <c r="AD599" s="65" t="n"/>
      <c r="AE599" s="65" t="n"/>
      <c r="AF599" s="65" t="n"/>
      <c r="AG599" s="65" t="n"/>
      <c r="AH599" s="65" t="n"/>
      <c r="AI599" s="65" t="n"/>
      <c r="AJ599" s="65" t="n"/>
      <c r="AK599" s="65" t="n"/>
      <c r="AL599" s="65" t="n"/>
      <c r="AM599" s="65" t="n"/>
      <c r="AN599" s="65" t="n"/>
      <c r="AO599" s="65" t="n"/>
      <c r="AP599" s="65" t="n"/>
    </row>
    <row r="600">
      <c r="F600" s="68" t="n"/>
      <c r="G600" s="68">
        <f>IF(B600="","",F600-I600 )</f>
        <v/>
      </c>
      <c r="H600" s="5">
        <f>IF(G600="","",G600/F600)</f>
        <v/>
      </c>
      <c r="J600" s="65" t="n"/>
      <c r="K600" s="65" t="n"/>
      <c r="L600" s="65" t="n"/>
      <c r="M600" s="65" t="n"/>
      <c r="N600" s="65" t="n"/>
      <c r="O600" s="65" t="n"/>
      <c r="P600" s="65" t="n"/>
      <c r="Q600" s="65" t="n"/>
      <c r="R600" s="65" t="n"/>
      <c r="S600" s="65" t="n"/>
      <c r="T600" s="65" t="n"/>
      <c r="U600" s="65" t="n"/>
      <c r="V600" s="77" t="n"/>
      <c r="W600" s="65" t="n"/>
      <c r="X600" s="65" t="n"/>
      <c r="Y600" s="65" t="n"/>
      <c r="Z600" s="65" t="n"/>
      <c r="AA600" s="65" t="n"/>
      <c r="AB600" s="65" t="n"/>
      <c r="AC600" s="65" t="n"/>
      <c r="AD600" s="65" t="n"/>
      <c r="AE600" s="65" t="n"/>
      <c r="AF600" s="65" t="n"/>
      <c r="AG600" s="65" t="n"/>
      <c r="AH600" s="65" t="n"/>
      <c r="AI600" s="65" t="n"/>
      <c r="AJ600" s="65" t="n"/>
      <c r="AK600" s="65" t="n"/>
      <c r="AL600" s="65" t="n"/>
      <c r="AM600" s="65" t="n"/>
      <c r="AN600" s="65" t="n"/>
      <c r="AO600" s="65" t="n"/>
      <c r="AP600" s="65" t="n"/>
    </row>
    <row r="601">
      <c r="F601" s="68" t="n"/>
      <c r="G601" s="68">
        <f>IF(B601="","",F601-I601 )</f>
        <v/>
      </c>
      <c r="H601" s="5">
        <f>IF(G601="","",G601/F601)</f>
        <v/>
      </c>
      <c r="J601" s="65" t="n"/>
      <c r="K601" s="65" t="n"/>
      <c r="L601" s="65" t="n"/>
      <c r="M601" s="65" t="n"/>
      <c r="N601" s="65" t="n"/>
      <c r="O601" s="65" t="n"/>
      <c r="P601" s="65" t="n"/>
      <c r="Q601" s="65" t="n"/>
      <c r="R601" s="65" t="n"/>
      <c r="S601" s="65" t="n"/>
      <c r="T601" s="65" t="n"/>
      <c r="U601" s="65" t="n"/>
      <c r="V601" s="77" t="n"/>
      <c r="W601" s="65" t="n"/>
      <c r="X601" s="65" t="n"/>
      <c r="Y601" s="65" t="n"/>
      <c r="Z601" s="65" t="n"/>
      <c r="AA601" s="65" t="n"/>
      <c r="AB601" s="65" t="n"/>
      <c r="AC601" s="65" t="n"/>
      <c r="AD601" s="65" t="n"/>
      <c r="AE601" s="65" t="n"/>
      <c r="AF601" s="65" t="n"/>
      <c r="AG601" s="65" t="n"/>
      <c r="AH601" s="65" t="n"/>
      <c r="AI601" s="65" t="n"/>
      <c r="AJ601" s="65" t="n"/>
      <c r="AK601" s="65" t="n"/>
      <c r="AL601" s="65" t="n"/>
      <c r="AM601" s="65" t="n"/>
      <c r="AN601" s="65" t="n"/>
      <c r="AO601" s="65" t="n"/>
      <c r="AP601" s="65" t="n"/>
    </row>
    <row r="602">
      <c r="F602" s="68" t="n"/>
      <c r="G602" s="68">
        <f>IF(B602="","",F602-I602 )</f>
        <v/>
      </c>
      <c r="H602" s="5">
        <f>IF(G602="","",G602/F602)</f>
        <v/>
      </c>
      <c r="J602" s="65" t="n"/>
      <c r="K602" s="65" t="n"/>
      <c r="L602" s="65" t="n"/>
      <c r="M602" s="65" t="n"/>
      <c r="N602" s="65" t="n"/>
      <c r="O602" s="65" t="n"/>
      <c r="P602" s="65" t="n"/>
      <c r="Q602" s="65" t="n"/>
      <c r="R602" s="65" t="n"/>
      <c r="S602" s="65" t="n"/>
      <c r="T602" s="65" t="n"/>
      <c r="U602" s="65" t="n"/>
      <c r="V602" s="77" t="n"/>
      <c r="W602" s="65" t="n"/>
      <c r="X602" s="65" t="n"/>
      <c r="Y602" s="65" t="n"/>
      <c r="Z602" s="65" t="n"/>
      <c r="AA602" s="65" t="n"/>
      <c r="AB602" s="65" t="n"/>
      <c r="AC602" s="65" t="n"/>
      <c r="AD602" s="65" t="n"/>
      <c r="AE602" s="65" t="n"/>
      <c r="AF602" s="65" t="n"/>
      <c r="AG602" s="65" t="n"/>
      <c r="AH602" s="65" t="n"/>
      <c r="AI602" s="65" t="n"/>
      <c r="AJ602" s="65" t="n"/>
      <c r="AK602" s="65" t="n"/>
      <c r="AL602" s="65" t="n"/>
      <c r="AM602" s="65" t="n"/>
      <c r="AN602" s="65" t="n"/>
      <c r="AO602" s="65" t="n"/>
      <c r="AP602" s="65" t="n"/>
    </row>
    <row r="603">
      <c r="F603" s="68" t="n"/>
      <c r="G603" s="68">
        <f>IF(B603="","",F603-I603 )</f>
        <v/>
      </c>
      <c r="H603" s="5">
        <f>IF(G603="","",G603/F603)</f>
        <v/>
      </c>
      <c r="J603" s="65" t="n"/>
      <c r="K603" s="65" t="n"/>
      <c r="L603" s="65" t="n"/>
      <c r="M603" s="65" t="n"/>
      <c r="N603" s="65" t="n"/>
      <c r="O603" s="65" t="n"/>
      <c r="P603" s="65" t="n"/>
      <c r="Q603" s="65" t="n"/>
      <c r="R603" s="65" t="n"/>
      <c r="S603" s="65" t="n"/>
      <c r="T603" s="65" t="n"/>
      <c r="U603" s="65" t="n"/>
      <c r="V603" s="77" t="n"/>
      <c r="W603" s="65" t="n"/>
      <c r="X603" s="65" t="n"/>
      <c r="Y603" s="65" t="n"/>
      <c r="Z603" s="65" t="n"/>
      <c r="AA603" s="65" t="n"/>
      <c r="AB603" s="65" t="n"/>
      <c r="AC603" s="65" t="n"/>
      <c r="AD603" s="65" t="n"/>
      <c r="AE603" s="65" t="n"/>
      <c r="AF603" s="65" t="n"/>
      <c r="AG603" s="65" t="n"/>
      <c r="AH603" s="65" t="n"/>
      <c r="AI603" s="65" t="n"/>
      <c r="AJ603" s="65" t="n"/>
      <c r="AK603" s="65" t="n"/>
      <c r="AL603" s="65" t="n"/>
      <c r="AM603" s="65" t="n"/>
      <c r="AN603" s="65" t="n"/>
      <c r="AO603" s="65" t="n"/>
      <c r="AP603" s="65" t="n"/>
    </row>
    <row r="604">
      <c r="F604" s="68" t="n"/>
      <c r="G604" s="68">
        <f>IF(B604="","",F604-I604 )</f>
        <v/>
      </c>
      <c r="H604" s="5">
        <f>IF(G604="","",G604/F604)</f>
        <v/>
      </c>
      <c r="J604" s="65" t="n"/>
      <c r="K604" s="65" t="n"/>
      <c r="L604" s="65" t="n"/>
      <c r="M604" s="65" t="n"/>
      <c r="N604" s="65" t="n"/>
      <c r="O604" s="65" t="n"/>
      <c r="P604" s="65" t="n"/>
      <c r="Q604" s="65" t="n"/>
      <c r="R604" s="65" t="n"/>
      <c r="S604" s="65" t="n"/>
      <c r="T604" s="65" t="n"/>
      <c r="U604" s="65" t="n"/>
      <c r="V604" s="77" t="n"/>
      <c r="W604" s="65" t="n"/>
      <c r="X604" s="65" t="n"/>
      <c r="Y604" s="65" t="n"/>
      <c r="Z604" s="65" t="n"/>
      <c r="AA604" s="65" t="n"/>
      <c r="AB604" s="65" t="n"/>
      <c r="AC604" s="65" t="n"/>
      <c r="AD604" s="65" t="n"/>
      <c r="AE604" s="65" t="n"/>
      <c r="AF604" s="65" t="n"/>
      <c r="AG604" s="65" t="n"/>
      <c r="AH604" s="65" t="n"/>
      <c r="AI604" s="65" t="n"/>
      <c r="AJ604" s="65" t="n"/>
      <c r="AK604" s="65" t="n"/>
      <c r="AL604" s="65" t="n"/>
      <c r="AM604" s="65" t="n"/>
      <c r="AN604" s="65" t="n"/>
      <c r="AO604" s="65" t="n"/>
      <c r="AP604" s="65" t="n"/>
    </row>
    <row r="605">
      <c r="F605" s="68" t="n"/>
      <c r="G605" s="68">
        <f>IF(B605="","",F605-I605 )</f>
        <v/>
      </c>
      <c r="H605" s="5">
        <f>IF(G605="","",G605/F605)</f>
        <v/>
      </c>
      <c r="J605" s="65" t="n"/>
      <c r="K605" s="65" t="n"/>
      <c r="L605" s="65" t="n"/>
      <c r="M605" s="65" t="n"/>
      <c r="N605" s="65" t="n"/>
      <c r="O605" s="65" t="n"/>
      <c r="P605" s="65" t="n"/>
      <c r="Q605" s="65" t="n"/>
      <c r="R605" s="65" t="n"/>
      <c r="S605" s="65" t="n"/>
      <c r="T605" s="65" t="n"/>
      <c r="U605" s="65" t="n"/>
      <c r="V605" s="77" t="n"/>
      <c r="W605" s="65" t="n"/>
      <c r="X605" s="65" t="n"/>
      <c r="Y605" s="65" t="n"/>
      <c r="Z605" s="65" t="n"/>
      <c r="AA605" s="65" t="n"/>
      <c r="AB605" s="65" t="n"/>
      <c r="AC605" s="65" t="n"/>
      <c r="AD605" s="65" t="n"/>
      <c r="AE605" s="65" t="n"/>
      <c r="AF605" s="65" t="n"/>
      <c r="AG605" s="65" t="n"/>
      <c r="AH605" s="65" t="n"/>
      <c r="AI605" s="65" t="n"/>
      <c r="AJ605" s="65" t="n"/>
      <c r="AK605" s="65" t="n"/>
      <c r="AL605" s="65" t="n"/>
      <c r="AM605" s="65" t="n"/>
      <c r="AN605" s="65" t="n"/>
      <c r="AO605" s="65" t="n"/>
      <c r="AP605" s="65" t="n"/>
    </row>
    <row r="606">
      <c r="F606" s="68" t="n"/>
      <c r="G606" s="68">
        <f>IF(B606="","",F606-I606 )</f>
        <v/>
      </c>
      <c r="H606" s="5">
        <f>IF(G606="","",G606/F606)</f>
        <v/>
      </c>
      <c r="J606" s="65" t="n"/>
      <c r="K606" s="65" t="n"/>
      <c r="L606" s="65" t="n"/>
      <c r="M606" s="65" t="n"/>
      <c r="N606" s="65" t="n"/>
      <c r="O606" s="65" t="n"/>
      <c r="P606" s="65" t="n"/>
      <c r="Q606" s="65" t="n"/>
      <c r="R606" s="65" t="n"/>
      <c r="S606" s="65" t="n"/>
      <c r="T606" s="65" t="n"/>
      <c r="U606" s="65" t="n"/>
      <c r="V606" s="77" t="n"/>
      <c r="W606" s="65" t="n"/>
      <c r="X606" s="65" t="n"/>
      <c r="Y606" s="65" t="n"/>
      <c r="Z606" s="65" t="n"/>
      <c r="AA606" s="65" t="n"/>
      <c r="AB606" s="65" t="n"/>
      <c r="AC606" s="65" t="n"/>
      <c r="AD606" s="65" t="n"/>
      <c r="AE606" s="65" t="n"/>
      <c r="AF606" s="65" t="n"/>
      <c r="AG606" s="65" t="n"/>
      <c r="AH606" s="65" t="n"/>
      <c r="AI606" s="65" t="n"/>
      <c r="AJ606" s="65" t="n"/>
      <c r="AK606" s="65" t="n"/>
      <c r="AL606" s="65" t="n"/>
      <c r="AM606" s="65" t="n"/>
      <c r="AN606" s="65" t="n"/>
      <c r="AO606" s="65" t="n"/>
      <c r="AP606" s="65" t="n"/>
    </row>
    <row r="607">
      <c r="F607" s="68" t="n"/>
      <c r="G607" s="68">
        <f>IF(B607="","",F607-I607 )</f>
        <v/>
      </c>
      <c r="H607" s="5">
        <f>IF(G607="","",G607/F607)</f>
        <v/>
      </c>
      <c r="J607" s="65" t="n"/>
      <c r="K607" s="65" t="n"/>
      <c r="L607" s="65" t="n"/>
      <c r="M607" s="65" t="n"/>
      <c r="N607" s="65" t="n"/>
      <c r="O607" s="65" t="n"/>
      <c r="P607" s="65" t="n"/>
      <c r="Q607" s="65" t="n"/>
      <c r="R607" s="65" t="n"/>
      <c r="S607" s="65" t="n"/>
      <c r="T607" s="65" t="n"/>
      <c r="U607" s="65" t="n"/>
      <c r="V607" s="77" t="n"/>
      <c r="W607" s="65" t="n"/>
      <c r="X607" s="65" t="n"/>
      <c r="Y607" s="65" t="n"/>
      <c r="Z607" s="65" t="n"/>
      <c r="AA607" s="65" t="n"/>
      <c r="AB607" s="65" t="n"/>
      <c r="AC607" s="65" t="n"/>
      <c r="AD607" s="65" t="n"/>
      <c r="AE607" s="65" t="n"/>
      <c r="AF607" s="65" t="n"/>
      <c r="AG607" s="65" t="n"/>
      <c r="AH607" s="65" t="n"/>
      <c r="AI607" s="65" t="n"/>
      <c r="AJ607" s="65" t="n"/>
      <c r="AK607" s="65" t="n"/>
      <c r="AL607" s="65" t="n"/>
      <c r="AM607" s="65" t="n"/>
      <c r="AN607" s="65" t="n"/>
      <c r="AO607" s="65" t="n"/>
      <c r="AP607" s="65" t="n"/>
    </row>
    <row r="608">
      <c r="F608" s="68" t="n"/>
      <c r="G608" s="68">
        <f>IF(B608="","",F608-I608 )</f>
        <v/>
      </c>
      <c r="H608" s="5">
        <f>IF(G608="","",G608/F608)</f>
        <v/>
      </c>
      <c r="J608" s="65" t="n"/>
      <c r="K608" s="65" t="n"/>
      <c r="L608" s="65" t="n"/>
      <c r="M608" s="65" t="n"/>
      <c r="N608" s="65" t="n"/>
      <c r="O608" s="65" t="n"/>
      <c r="P608" s="65" t="n"/>
      <c r="Q608" s="65" t="n"/>
      <c r="R608" s="65" t="n"/>
      <c r="S608" s="65" t="n"/>
      <c r="T608" s="65" t="n"/>
      <c r="U608" s="65" t="n"/>
      <c r="V608" s="77" t="n"/>
      <c r="W608" s="65" t="n"/>
      <c r="X608" s="65" t="n"/>
      <c r="Y608" s="65" t="n"/>
      <c r="Z608" s="65" t="n"/>
      <c r="AA608" s="65" t="n"/>
      <c r="AB608" s="65" t="n"/>
      <c r="AC608" s="65" t="n"/>
      <c r="AD608" s="65" t="n"/>
      <c r="AE608" s="65" t="n"/>
      <c r="AF608" s="65" t="n"/>
      <c r="AG608" s="65" t="n"/>
      <c r="AH608" s="65" t="n"/>
      <c r="AI608" s="65" t="n"/>
      <c r="AJ608" s="65" t="n"/>
      <c r="AK608" s="65" t="n"/>
      <c r="AL608" s="65" t="n"/>
      <c r="AM608" s="65" t="n"/>
      <c r="AN608" s="65" t="n"/>
      <c r="AO608" s="65" t="n"/>
      <c r="AP608" s="65" t="n"/>
    </row>
    <row r="609">
      <c r="F609" s="68" t="n"/>
      <c r="G609" s="68">
        <f>IF(B609="","",F609-I609 )</f>
        <v/>
      </c>
      <c r="H609" s="5">
        <f>IF(G609="","",G609/F609)</f>
        <v/>
      </c>
      <c r="J609" s="65" t="n"/>
      <c r="K609" s="65" t="n"/>
      <c r="L609" s="65" t="n"/>
      <c r="M609" s="65" t="n"/>
      <c r="N609" s="65" t="n"/>
      <c r="O609" s="65" t="n"/>
      <c r="P609" s="65" t="n"/>
      <c r="Q609" s="65" t="n"/>
      <c r="R609" s="65" t="n"/>
      <c r="S609" s="65" t="n"/>
      <c r="T609" s="65" t="n"/>
      <c r="U609" s="65" t="n"/>
      <c r="V609" s="77" t="n"/>
      <c r="W609" s="65" t="n"/>
      <c r="X609" s="65" t="n"/>
      <c r="Y609" s="65" t="n"/>
      <c r="Z609" s="65" t="n"/>
      <c r="AA609" s="65" t="n"/>
      <c r="AB609" s="65" t="n"/>
      <c r="AC609" s="65" t="n"/>
      <c r="AD609" s="65" t="n"/>
      <c r="AE609" s="65" t="n"/>
      <c r="AF609" s="65" t="n"/>
      <c r="AG609" s="65" t="n"/>
      <c r="AH609" s="65" t="n"/>
      <c r="AI609" s="65" t="n"/>
      <c r="AJ609" s="65" t="n"/>
      <c r="AK609" s="65" t="n"/>
      <c r="AL609" s="65" t="n"/>
      <c r="AM609" s="65" t="n"/>
      <c r="AN609" s="65" t="n"/>
      <c r="AO609" s="65" t="n"/>
      <c r="AP609" s="65" t="n"/>
    </row>
    <row r="610">
      <c r="F610" s="68" t="n"/>
      <c r="G610" s="68">
        <f>IF(B610="","",F610-I610 )</f>
        <v/>
      </c>
      <c r="H610" s="5">
        <f>IF(G610="","",G610/F610)</f>
        <v/>
      </c>
      <c r="J610" s="65" t="n"/>
      <c r="K610" s="65" t="n"/>
      <c r="L610" s="65" t="n"/>
      <c r="M610" s="65" t="n"/>
      <c r="N610" s="65" t="n"/>
      <c r="O610" s="65" t="n"/>
      <c r="P610" s="65" t="n"/>
      <c r="Q610" s="65" t="n"/>
      <c r="R610" s="65" t="n"/>
      <c r="S610" s="65" t="n"/>
      <c r="T610" s="65" t="n"/>
      <c r="U610" s="65" t="n"/>
      <c r="V610" s="77" t="n"/>
      <c r="W610" s="65" t="n"/>
      <c r="X610" s="65" t="n"/>
      <c r="Y610" s="65" t="n"/>
      <c r="Z610" s="65" t="n"/>
      <c r="AA610" s="65" t="n"/>
      <c r="AB610" s="65" t="n"/>
      <c r="AC610" s="65" t="n"/>
      <c r="AD610" s="65" t="n"/>
      <c r="AE610" s="65" t="n"/>
      <c r="AF610" s="65" t="n"/>
      <c r="AG610" s="65" t="n"/>
      <c r="AH610" s="65" t="n"/>
      <c r="AI610" s="65" t="n"/>
      <c r="AJ610" s="65" t="n"/>
      <c r="AK610" s="65" t="n"/>
      <c r="AL610" s="65" t="n"/>
      <c r="AM610" s="65" t="n"/>
      <c r="AN610" s="65" t="n"/>
      <c r="AO610" s="65" t="n"/>
      <c r="AP610" s="65" t="n"/>
    </row>
    <row r="611">
      <c r="F611" s="68" t="n"/>
      <c r="G611" s="68">
        <f>IF(B611="","",F611-I611 )</f>
        <v/>
      </c>
      <c r="H611" s="5">
        <f>IF(G611="","",G611/F611)</f>
        <v/>
      </c>
      <c r="J611" s="65" t="n"/>
      <c r="K611" s="65" t="n"/>
      <c r="L611" s="65" t="n"/>
      <c r="M611" s="65" t="n"/>
      <c r="N611" s="65" t="n"/>
      <c r="O611" s="65" t="n"/>
      <c r="P611" s="65" t="n"/>
      <c r="Q611" s="65" t="n"/>
      <c r="R611" s="65" t="n"/>
      <c r="S611" s="65" t="n"/>
      <c r="T611" s="65" t="n"/>
      <c r="U611" s="65" t="n"/>
      <c r="V611" s="77" t="n"/>
      <c r="W611" s="65" t="n"/>
      <c r="X611" s="65" t="n"/>
      <c r="Y611" s="65" t="n"/>
      <c r="Z611" s="65" t="n"/>
      <c r="AA611" s="65" t="n"/>
      <c r="AB611" s="65" t="n"/>
      <c r="AC611" s="65" t="n"/>
      <c r="AD611" s="65" t="n"/>
      <c r="AE611" s="65" t="n"/>
      <c r="AF611" s="65" t="n"/>
      <c r="AG611" s="65" t="n"/>
      <c r="AH611" s="65" t="n"/>
      <c r="AI611" s="65" t="n"/>
      <c r="AJ611" s="65" t="n"/>
      <c r="AK611" s="65" t="n"/>
      <c r="AL611" s="65" t="n"/>
      <c r="AM611" s="65" t="n"/>
      <c r="AN611" s="65" t="n"/>
      <c r="AO611" s="65" t="n"/>
      <c r="AP611" s="65" t="n"/>
    </row>
    <row r="612">
      <c r="F612" s="68" t="n"/>
      <c r="G612" s="68">
        <f>IF(B612="","",F612-I612 )</f>
        <v/>
      </c>
      <c r="H612" s="5">
        <f>IF(G612="","",G612/F612)</f>
        <v/>
      </c>
      <c r="J612" s="65" t="n"/>
      <c r="K612" s="65" t="n"/>
      <c r="L612" s="65" t="n"/>
      <c r="M612" s="65" t="n"/>
      <c r="N612" s="65" t="n"/>
      <c r="O612" s="65" t="n"/>
      <c r="P612" s="65" t="n"/>
      <c r="Q612" s="65" t="n"/>
      <c r="R612" s="65" t="n"/>
      <c r="S612" s="65" t="n"/>
      <c r="T612" s="65" t="n"/>
      <c r="U612" s="65" t="n"/>
      <c r="V612" s="77" t="n"/>
      <c r="W612" s="65" t="n"/>
      <c r="X612" s="65" t="n"/>
      <c r="Y612" s="65" t="n"/>
      <c r="Z612" s="65" t="n"/>
      <c r="AA612" s="65" t="n"/>
      <c r="AB612" s="65" t="n"/>
      <c r="AC612" s="65" t="n"/>
      <c r="AD612" s="65" t="n"/>
      <c r="AE612" s="65" t="n"/>
      <c r="AF612" s="65" t="n"/>
      <c r="AG612" s="65" t="n"/>
      <c r="AH612" s="65" t="n"/>
      <c r="AI612" s="65" t="n"/>
      <c r="AJ612" s="65" t="n"/>
      <c r="AK612" s="65" t="n"/>
      <c r="AL612" s="65" t="n"/>
      <c r="AM612" s="65" t="n"/>
      <c r="AN612" s="65" t="n"/>
      <c r="AO612" s="65" t="n"/>
      <c r="AP612" s="65" t="n"/>
    </row>
    <row r="613">
      <c r="F613" s="68" t="n"/>
      <c r="G613" s="68">
        <f>IF(B613="","",F613-I613 )</f>
        <v/>
      </c>
      <c r="H613" s="5">
        <f>IF(G613="","",G613/F613)</f>
        <v/>
      </c>
      <c r="J613" s="65" t="n"/>
      <c r="K613" s="65" t="n"/>
      <c r="L613" s="65" t="n"/>
      <c r="M613" s="65" t="n"/>
      <c r="N613" s="65" t="n"/>
      <c r="O613" s="65" t="n"/>
      <c r="P613" s="65" t="n"/>
      <c r="Q613" s="65" t="n"/>
      <c r="R613" s="65" t="n"/>
      <c r="S613" s="65" t="n"/>
      <c r="T613" s="65" t="n"/>
      <c r="U613" s="65" t="n"/>
      <c r="V613" s="77" t="n"/>
      <c r="W613" s="65" t="n"/>
      <c r="X613" s="65" t="n"/>
      <c r="Y613" s="65" t="n"/>
      <c r="Z613" s="65" t="n"/>
      <c r="AA613" s="65" t="n"/>
      <c r="AB613" s="65" t="n"/>
      <c r="AC613" s="65" t="n"/>
      <c r="AD613" s="65" t="n"/>
      <c r="AE613" s="65" t="n"/>
      <c r="AF613" s="65" t="n"/>
      <c r="AG613" s="65" t="n"/>
      <c r="AH613" s="65" t="n"/>
      <c r="AI613" s="65" t="n"/>
      <c r="AJ613" s="65" t="n"/>
      <c r="AK613" s="65" t="n"/>
      <c r="AL613" s="65" t="n"/>
      <c r="AM613" s="65" t="n"/>
      <c r="AN613" s="65" t="n"/>
      <c r="AO613" s="65" t="n"/>
      <c r="AP613" s="65" t="n"/>
    </row>
    <row r="614">
      <c r="F614" s="68" t="n"/>
      <c r="G614" s="68">
        <f>IF(B614="","",F614-I614 )</f>
        <v/>
      </c>
      <c r="H614" s="5">
        <f>IF(G614="","",G614/F614)</f>
        <v/>
      </c>
      <c r="J614" s="65" t="n"/>
      <c r="K614" s="65" t="n"/>
      <c r="L614" s="65" t="n"/>
      <c r="M614" s="65" t="n"/>
      <c r="N614" s="65" t="n"/>
      <c r="O614" s="65" t="n"/>
      <c r="P614" s="65" t="n"/>
      <c r="Q614" s="65" t="n"/>
      <c r="R614" s="65" t="n"/>
      <c r="S614" s="65" t="n"/>
      <c r="T614" s="65" t="n"/>
      <c r="U614" s="65" t="n"/>
      <c r="V614" s="77" t="n"/>
      <c r="W614" s="65" t="n"/>
      <c r="X614" s="65" t="n"/>
      <c r="Y614" s="65" t="n"/>
      <c r="Z614" s="65" t="n"/>
      <c r="AA614" s="65" t="n"/>
      <c r="AB614" s="65" t="n"/>
      <c r="AC614" s="65" t="n"/>
      <c r="AD614" s="65" t="n"/>
      <c r="AE614" s="65" t="n"/>
      <c r="AF614" s="65" t="n"/>
      <c r="AG614" s="65" t="n"/>
      <c r="AH614" s="65" t="n"/>
      <c r="AI614" s="65" t="n"/>
      <c r="AJ614" s="65" t="n"/>
      <c r="AK614" s="65" t="n"/>
      <c r="AL614" s="65" t="n"/>
      <c r="AM614" s="65" t="n"/>
      <c r="AN614" s="65" t="n"/>
      <c r="AO614" s="65" t="n"/>
      <c r="AP614" s="65" t="n"/>
    </row>
    <row r="615">
      <c r="F615" s="68" t="n"/>
      <c r="G615" s="68">
        <f>IF(B615="","",F615-I615 )</f>
        <v/>
      </c>
      <c r="H615" s="5">
        <f>IF(G615="","",G615/F615)</f>
        <v/>
      </c>
      <c r="J615" s="65" t="n"/>
      <c r="K615" s="65" t="n"/>
      <c r="L615" s="65" t="n"/>
      <c r="M615" s="65" t="n"/>
      <c r="N615" s="65" t="n"/>
      <c r="O615" s="65" t="n"/>
      <c r="P615" s="65" t="n"/>
      <c r="Q615" s="65" t="n"/>
      <c r="R615" s="65" t="n"/>
      <c r="S615" s="65" t="n"/>
      <c r="T615" s="65" t="n"/>
      <c r="U615" s="65" t="n"/>
      <c r="V615" s="77" t="n"/>
      <c r="W615" s="65" t="n"/>
      <c r="X615" s="65" t="n"/>
      <c r="Y615" s="65" t="n"/>
      <c r="Z615" s="65" t="n"/>
      <c r="AA615" s="65" t="n"/>
      <c r="AB615" s="65" t="n"/>
      <c r="AC615" s="65" t="n"/>
      <c r="AD615" s="65" t="n"/>
      <c r="AE615" s="65" t="n"/>
      <c r="AF615" s="65" t="n"/>
      <c r="AG615" s="65" t="n"/>
      <c r="AH615" s="65" t="n"/>
      <c r="AI615" s="65" t="n"/>
      <c r="AJ615" s="65" t="n"/>
      <c r="AK615" s="65" t="n"/>
      <c r="AL615" s="65" t="n"/>
      <c r="AM615" s="65" t="n"/>
      <c r="AN615" s="65" t="n"/>
      <c r="AO615" s="65" t="n"/>
      <c r="AP615" s="65" t="n"/>
    </row>
    <row r="616">
      <c r="F616" s="68" t="n"/>
      <c r="G616" s="68">
        <f>IF(B616="","",F616-I616 )</f>
        <v/>
      </c>
      <c r="H616" s="5">
        <f>IF(G616="","",G616/F616)</f>
        <v/>
      </c>
      <c r="J616" s="65" t="n"/>
      <c r="K616" s="65" t="n"/>
      <c r="L616" s="65" t="n"/>
      <c r="M616" s="65" t="n"/>
      <c r="N616" s="65" t="n"/>
      <c r="O616" s="65" t="n"/>
      <c r="P616" s="65" t="n"/>
      <c r="Q616" s="65" t="n"/>
      <c r="R616" s="65" t="n"/>
      <c r="S616" s="65" t="n"/>
      <c r="T616" s="65" t="n"/>
      <c r="U616" s="65" t="n"/>
      <c r="V616" s="77" t="n"/>
      <c r="W616" s="65" t="n"/>
      <c r="X616" s="65" t="n"/>
      <c r="Y616" s="65" t="n"/>
      <c r="Z616" s="65" t="n"/>
      <c r="AA616" s="65" t="n"/>
      <c r="AB616" s="65" t="n"/>
      <c r="AC616" s="65" t="n"/>
      <c r="AD616" s="65" t="n"/>
      <c r="AE616" s="65" t="n"/>
      <c r="AF616" s="65" t="n"/>
      <c r="AG616" s="65" t="n"/>
      <c r="AH616" s="65" t="n"/>
      <c r="AI616" s="65" t="n"/>
      <c r="AJ616" s="65" t="n"/>
      <c r="AK616" s="65" t="n"/>
      <c r="AL616" s="65" t="n"/>
      <c r="AM616" s="65" t="n"/>
      <c r="AN616" s="65" t="n"/>
      <c r="AO616" s="65" t="n"/>
      <c r="AP616" s="65" t="n"/>
    </row>
    <row r="617">
      <c r="F617" s="68" t="n"/>
      <c r="G617" s="68">
        <f>IF(B617="","",F617-I617 )</f>
        <v/>
      </c>
      <c r="H617" s="5">
        <f>IF(G617="","",G617/F617)</f>
        <v/>
      </c>
      <c r="J617" s="65" t="n"/>
      <c r="K617" s="65" t="n"/>
      <c r="L617" s="65" t="n"/>
      <c r="M617" s="65" t="n"/>
      <c r="N617" s="65" t="n"/>
      <c r="O617" s="65" t="n"/>
      <c r="P617" s="65" t="n"/>
      <c r="Q617" s="65" t="n"/>
      <c r="R617" s="65" t="n"/>
      <c r="S617" s="65" t="n"/>
      <c r="T617" s="65" t="n"/>
      <c r="U617" s="65" t="n"/>
      <c r="V617" s="77" t="n"/>
      <c r="W617" s="65" t="n"/>
      <c r="X617" s="65" t="n"/>
      <c r="Y617" s="65" t="n"/>
      <c r="Z617" s="65" t="n"/>
      <c r="AA617" s="65" t="n"/>
      <c r="AB617" s="65" t="n"/>
      <c r="AC617" s="65" t="n"/>
      <c r="AD617" s="65" t="n"/>
      <c r="AE617" s="65" t="n"/>
      <c r="AF617" s="65" t="n"/>
      <c r="AG617" s="65" t="n"/>
      <c r="AH617" s="65" t="n"/>
      <c r="AI617" s="65" t="n"/>
      <c r="AJ617" s="65" t="n"/>
      <c r="AK617" s="65" t="n"/>
      <c r="AL617" s="65" t="n"/>
      <c r="AM617" s="65" t="n"/>
      <c r="AN617" s="65" t="n"/>
      <c r="AO617" s="65" t="n"/>
      <c r="AP617" s="65" t="n"/>
    </row>
    <row r="618">
      <c r="F618" s="68" t="n"/>
      <c r="G618" s="68">
        <f>IF(B618="","",F618-I618 )</f>
        <v/>
      </c>
      <c r="H618" s="5">
        <f>IF(G618="","",G618/F618)</f>
        <v/>
      </c>
      <c r="J618" s="65" t="n"/>
      <c r="K618" s="65" t="n"/>
      <c r="L618" s="65" t="n"/>
      <c r="M618" s="65" t="n"/>
      <c r="N618" s="65" t="n"/>
      <c r="O618" s="65" t="n"/>
      <c r="P618" s="65" t="n"/>
      <c r="Q618" s="65" t="n"/>
      <c r="R618" s="65" t="n"/>
      <c r="S618" s="65" t="n"/>
      <c r="T618" s="65" t="n"/>
      <c r="U618" s="65" t="n"/>
      <c r="V618" s="77" t="n"/>
      <c r="W618" s="65" t="n"/>
      <c r="X618" s="65" t="n"/>
      <c r="Y618" s="65" t="n"/>
      <c r="Z618" s="65" t="n"/>
      <c r="AA618" s="65" t="n"/>
      <c r="AB618" s="65" t="n"/>
      <c r="AC618" s="65" t="n"/>
      <c r="AD618" s="65" t="n"/>
      <c r="AE618" s="65" t="n"/>
      <c r="AF618" s="65" t="n"/>
      <c r="AG618" s="65" t="n"/>
      <c r="AH618" s="65" t="n"/>
      <c r="AI618" s="65" t="n"/>
      <c r="AJ618" s="65" t="n"/>
      <c r="AK618" s="65" t="n"/>
      <c r="AL618" s="65" t="n"/>
      <c r="AM618" s="65" t="n"/>
      <c r="AN618" s="65" t="n"/>
      <c r="AO618" s="65" t="n"/>
      <c r="AP618" s="65" t="n"/>
    </row>
    <row r="619">
      <c r="F619" s="68" t="n"/>
      <c r="G619" s="68">
        <f>IF(B619="","",F619-I619 )</f>
        <v/>
      </c>
      <c r="H619" s="5">
        <f>IF(G619="","",G619/F619)</f>
        <v/>
      </c>
      <c r="J619" s="65" t="n"/>
      <c r="K619" s="65" t="n"/>
      <c r="L619" s="65" t="n"/>
      <c r="M619" s="65" t="n"/>
      <c r="N619" s="65" t="n"/>
      <c r="O619" s="65" t="n"/>
      <c r="P619" s="65" t="n"/>
      <c r="Q619" s="65" t="n"/>
      <c r="R619" s="65" t="n"/>
      <c r="S619" s="65" t="n"/>
      <c r="T619" s="65" t="n"/>
      <c r="U619" s="65" t="n"/>
      <c r="V619" s="77" t="n"/>
      <c r="W619" s="65" t="n"/>
      <c r="X619" s="65" t="n"/>
      <c r="Y619" s="65" t="n"/>
      <c r="Z619" s="65" t="n"/>
      <c r="AA619" s="65" t="n"/>
      <c r="AB619" s="65" t="n"/>
      <c r="AC619" s="65" t="n"/>
      <c r="AD619" s="65" t="n"/>
      <c r="AE619" s="65" t="n"/>
      <c r="AF619" s="65" t="n"/>
      <c r="AG619" s="65" t="n"/>
      <c r="AH619" s="65" t="n"/>
      <c r="AI619" s="65" t="n"/>
      <c r="AJ619" s="65" t="n"/>
      <c r="AK619" s="65" t="n"/>
      <c r="AL619" s="65" t="n"/>
      <c r="AM619" s="65" t="n"/>
      <c r="AN619" s="65" t="n"/>
      <c r="AO619" s="65" t="n"/>
      <c r="AP619" s="65" t="n"/>
    </row>
    <row r="620">
      <c r="F620" s="68" t="n"/>
      <c r="G620" s="68">
        <f>IF(B620="","",F620-I620 )</f>
        <v/>
      </c>
      <c r="H620" s="5">
        <f>IF(G620="","",G620/F620)</f>
        <v/>
      </c>
      <c r="J620" s="65" t="n"/>
      <c r="K620" s="65" t="n"/>
      <c r="L620" s="65" t="n"/>
      <c r="M620" s="65" t="n"/>
      <c r="N620" s="65" t="n"/>
      <c r="O620" s="65" t="n"/>
      <c r="P620" s="65" t="n"/>
      <c r="Q620" s="65" t="n"/>
      <c r="R620" s="65" t="n"/>
      <c r="S620" s="65" t="n"/>
      <c r="T620" s="65" t="n"/>
      <c r="U620" s="65" t="n"/>
      <c r="V620" s="77" t="n"/>
      <c r="W620" s="65" t="n"/>
      <c r="X620" s="65" t="n"/>
      <c r="Y620" s="65" t="n"/>
      <c r="Z620" s="65" t="n"/>
      <c r="AA620" s="65" t="n"/>
      <c r="AB620" s="65" t="n"/>
      <c r="AC620" s="65" t="n"/>
      <c r="AD620" s="65" t="n"/>
      <c r="AE620" s="65" t="n"/>
      <c r="AF620" s="65" t="n"/>
      <c r="AG620" s="65" t="n"/>
      <c r="AH620" s="65" t="n"/>
      <c r="AI620" s="65" t="n"/>
      <c r="AJ620" s="65" t="n"/>
      <c r="AK620" s="65" t="n"/>
      <c r="AL620" s="65" t="n"/>
      <c r="AM620" s="65" t="n"/>
      <c r="AN620" s="65" t="n"/>
      <c r="AO620" s="65" t="n"/>
      <c r="AP620" s="65" t="n"/>
    </row>
    <row r="621">
      <c r="F621" s="68" t="n"/>
      <c r="G621" s="68">
        <f>IF(B621="","",F621-I621 )</f>
        <v/>
      </c>
      <c r="H621" s="5">
        <f>IF(G621="","",G621/F621)</f>
        <v/>
      </c>
      <c r="J621" s="65" t="n"/>
      <c r="K621" s="65" t="n"/>
      <c r="L621" s="65" t="n"/>
      <c r="M621" s="65" t="n"/>
      <c r="N621" s="65" t="n"/>
      <c r="O621" s="65" t="n"/>
      <c r="P621" s="65" t="n"/>
      <c r="Q621" s="65" t="n"/>
      <c r="R621" s="65" t="n"/>
      <c r="S621" s="65" t="n"/>
      <c r="T621" s="65" t="n"/>
      <c r="U621" s="65" t="n"/>
      <c r="V621" s="77" t="n"/>
      <c r="W621" s="65" t="n"/>
      <c r="X621" s="65" t="n"/>
      <c r="Y621" s="65" t="n"/>
      <c r="Z621" s="65" t="n"/>
      <c r="AA621" s="65" t="n"/>
      <c r="AB621" s="65" t="n"/>
      <c r="AC621" s="65" t="n"/>
      <c r="AD621" s="65" t="n"/>
      <c r="AE621" s="65" t="n"/>
      <c r="AF621" s="65" t="n"/>
      <c r="AG621" s="65" t="n"/>
      <c r="AH621" s="65" t="n"/>
      <c r="AI621" s="65" t="n"/>
      <c r="AJ621" s="65" t="n"/>
      <c r="AK621" s="65" t="n"/>
      <c r="AL621" s="65" t="n"/>
      <c r="AM621" s="65" t="n"/>
      <c r="AN621" s="65" t="n"/>
      <c r="AO621" s="65" t="n"/>
      <c r="AP621" s="65" t="n"/>
    </row>
    <row r="622">
      <c r="F622" s="68" t="n"/>
      <c r="G622" s="68">
        <f>IF(B622="","",F622-I622 )</f>
        <v/>
      </c>
      <c r="H622" s="5">
        <f>IF(G622="","",G622/F622)</f>
        <v/>
      </c>
      <c r="J622" s="65" t="n"/>
      <c r="K622" s="65" t="n"/>
      <c r="L622" s="65" t="n"/>
      <c r="M622" s="65" t="n"/>
      <c r="N622" s="65" t="n"/>
      <c r="O622" s="65" t="n"/>
      <c r="P622" s="65" t="n"/>
      <c r="Q622" s="65" t="n"/>
      <c r="R622" s="65" t="n"/>
      <c r="S622" s="65" t="n"/>
      <c r="T622" s="65" t="n"/>
      <c r="U622" s="65" t="n"/>
      <c r="V622" s="77" t="n"/>
      <c r="W622" s="65" t="n"/>
      <c r="X622" s="65" t="n"/>
      <c r="Y622" s="65" t="n"/>
      <c r="Z622" s="65" t="n"/>
      <c r="AA622" s="65" t="n"/>
      <c r="AB622" s="65" t="n"/>
      <c r="AC622" s="65" t="n"/>
      <c r="AD622" s="65" t="n"/>
      <c r="AE622" s="65" t="n"/>
      <c r="AF622" s="65" t="n"/>
      <c r="AG622" s="65" t="n"/>
      <c r="AH622" s="65" t="n"/>
      <c r="AI622" s="65" t="n"/>
      <c r="AJ622" s="65" t="n"/>
      <c r="AK622" s="65" t="n"/>
      <c r="AL622" s="65" t="n"/>
      <c r="AM622" s="65" t="n"/>
      <c r="AN622" s="65" t="n"/>
      <c r="AO622" s="65" t="n"/>
      <c r="AP622" s="65" t="n"/>
    </row>
    <row r="623">
      <c r="F623" s="68" t="n"/>
      <c r="G623" s="68">
        <f>IF(B623="","",F623-I623 )</f>
        <v/>
      </c>
      <c r="H623" s="5">
        <f>IF(G623="","",G623/F623)</f>
        <v/>
      </c>
      <c r="J623" s="65" t="n"/>
      <c r="K623" s="65" t="n"/>
      <c r="L623" s="65" t="n"/>
      <c r="M623" s="65" t="n"/>
      <c r="N623" s="65" t="n"/>
      <c r="O623" s="65" t="n"/>
      <c r="P623" s="65" t="n"/>
      <c r="Q623" s="65" t="n"/>
      <c r="R623" s="65" t="n"/>
      <c r="S623" s="65" t="n"/>
      <c r="T623" s="65" t="n"/>
      <c r="U623" s="65" t="n"/>
      <c r="V623" s="77" t="n"/>
      <c r="W623" s="65" t="n"/>
      <c r="X623" s="65" t="n"/>
      <c r="Y623" s="65" t="n"/>
      <c r="Z623" s="65" t="n"/>
      <c r="AA623" s="65" t="n"/>
      <c r="AB623" s="65" t="n"/>
      <c r="AC623" s="65" t="n"/>
      <c r="AD623" s="65" t="n"/>
      <c r="AE623" s="65" t="n"/>
      <c r="AF623" s="65" t="n"/>
      <c r="AG623" s="65" t="n"/>
      <c r="AH623" s="65" t="n"/>
      <c r="AI623" s="65" t="n"/>
      <c r="AJ623" s="65" t="n"/>
      <c r="AK623" s="65" t="n"/>
      <c r="AL623" s="65" t="n"/>
      <c r="AM623" s="65" t="n"/>
      <c r="AN623" s="65" t="n"/>
      <c r="AO623" s="65" t="n"/>
      <c r="AP623" s="65" t="n"/>
    </row>
    <row r="624">
      <c r="F624" s="68" t="n"/>
      <c r="G624" s="68">
        <f>IF(B624="","",F624-I624 )</f>
        <v/>
      </c>
      <c r="H624" s="5">
        <f>IF(G624="","",G624/F624)</f>
        <v/>
      </c>
      <c r="J624" s="65" t="n"/>
      <c r="K624" s="65" t="n"/>
      <c r="L624" s="65" t="n"/>
      <c r="M624" s="65" t="n"/>
      <c r="N624" s="65" t="n"/>
      <c r="O624" s="65" t="n"/>
      <c r="P624" s="65" t="n"/>
      <c r="Q624" s="65" t="n"/>
      <c r="R624" s="65" t="n"/>
      <c r="S624" s="65" t="n"/>
      <c r="T624" s="65" t="n"/>
      <c r="U624" s="65" t="n"/>
      <c r="V624" s="77" t="n"/>
      <c r="W624" s="65" t="n"/>
      <c r="X624" s="65" t="n"/>
      <c r="Y624" s="65" t="n"/>
      <c r="Z624" s="65" t="n"/>
      <c r="AA624" s="65" t="n"/>
      <c r="AB624" s="65" t="n"/>
      <c r="AC624" s="65" t="n"/>
      <c r="AD624" s="65" t="n"/>
      <c r="AE624" s="65" t="n"/>
      <c r="AF624" s="65" t="n"/>
      <c r="AG624" s="65" t="n"/>
      <c r="AH624" s="65" t="n"/>
      <c r="AI624" s="65" t="n"/>
      <c r="AJ624" s="65" t="n"/>
      <c r="AK624" s="65" t="n"/>
      <c r="AL624" s="65" t="n"/>
      <c r="AM624" s="65" t="n"/>
      <c r="AN624" s="65" t="n"/>
      <c r="AO624" s="65" t="n"/>
      <c r="AP624" s="65" t="n"/>
    </row>
    <row r="625">
      <c r="F625" s="68" t="n"/>
      <c r="G625" s="68">
        <f>IF(B625="","",F625-I625 )</f>
        <v/>
      </c>
      <c r="H625" s="5">
        <f>IF(G625="","",G625/F625)</f>
        <v/>
      </c>
      <c r="J625" s="65" t="n"/>
      <c r="K625" s="65" t="n"/>
      <c r="L625" s="65" t="n"/>
      <c r="M625" s="65" t="n"/>
      <c r="N625" s="65" t="n"/>
      <c r="O625" s="65" t="n"/>
      <c r="P625" s="65" t="n"/>
      <c r="Q625" s="65" t="n"/>
      <c r="R625" s="65" t="n"/>
      <c r="S625" s="65" t="n"/>
      <c r="T625" s="65" t="n"/>
      <c r="U625" s="65" t="n"/>
      <c r="V625" s="77" t="n"/>
      <c r="W625" s="65" t="n"/>
      <c r="X625" s="65" t="n"/>
      <c r="Y625" s="65" t="n"/>
      <c r="Z625" s="65" t="n"/>
      <c r="AA625" s="65" t="n"/>
      <c r="AB625" s="65" t="n"/>
      <c r="AC625" s="65" t="n"/>
      <c r="AD625" s="65" t="n"/>
      <c r="AE625" s="65" t="n"/>
      <c r="AF625" s="65" t="n"/>
      <c r="AG625" s="65" t="n"/>
      <c r="AH625" s="65" t="n"/>
      <c r="AI625" s="65" t="n"/>
      <c r="AJ625" s="65" t="n"/>
      <c r="AK625" s="65" t="n"/>
      <c r="AL625" s="65" t="n"/>
      <c r="AM625" s="65" t="n"/>
      <c r="AN625" s="65" t="n"/>
      <c r="AO625" s="65" t="n"/>
      <c r="AP625" s="65" t="n"/>
    </row>
    <row r="626">
      <c r="F626" s="68" t="n"/>
      <c r="G626" s="68">
        <f>IF(B626="","",F626-I626 )</f>
        <v/>
      </c>
      <c r="H626" s="5">
        <f>IF(G626="","",G626/F626)</f>
        <v/>
      </c>
      <c r="J626" s="65" t="n"/>
      <c r="K626" s="65" t="n"/>
      <c r="L626" s="65" t="n"/>
      <c r="M626" s="65" t="n"/>
      <c r="N626" s="65" t="n"/>
      <c r="O626" s="65" t="n"/>
      <c r="P626" s="65" t="n"/>
      <c r="Q626" s="65" t="n"/>
      <c r="R626" s="65" t="n"/>
      <c r="S626" s="65" t="n"/>
      <c r="T626" s="65" t="n"/>
      <c r="U626" s="65" t="n"/>
      <c r="V626" s="77" t="n"/>
      <c r="W626" s="65" t="n"/>
      <c r="X626" s="65" t="n"/>
      <c r="Y626" s="65" t="n"/>
      <c r="Z626" s="65" t="n"/>
      <c r="AA626" s="65" t="n"/>
      <c r="AB626" s="65" t="n"/>
      <c r="AC626" s="65" t="n"/>
      <c r="AD626" s="65" t="n"/>
      <c r="AE626" s="65" t="n"/>
      <c r="AF626" s="65" t="n"/>
      <c r="AG626" s="65" t="n"/>
      <c r="AH626" s="65" t="n"/>
      <c r="AI626" s="65" t="n"/>
      <c r="AJ626" s="65" t="n"/>
      <c r="AK626" s="65" t="n"/>
      <c r="AL626" s="65" t="n"/>
      <c r="AM626" s="65" t="n"/>
      <c r="AN626" s="65" t="n"/>
      <c r="AO626" s="65" t="n"/>
      <c r="AP626" s="65" t="n"/>
    </row>
    <row r="627">
      <c r="F627" s="68" t="n"/>
      <c r="G627" s="68">
        <f>IF(B627="","",F627-I627 )</f>
        <v/>
      </c>
      <c r="H627" s="5">
        <f>IF(G627="","",G627/F627)</f>
        <v/>
      </c>
      <c r="J627" s="65" t="n"/>
      <c r="K627" s="65" t="n"/>
      <c r="L627" s="65" t="n"/>
      <c r="M627" s="65" t="n"/>
      <c r="N627" s="65" t="n"/>
      <c r="O627" s="65" t="n"/>
      <c r="P627" s="65" t="n"/>
      <c r="Q627" s="65" t="n"/>
      <c r="R627" s="65" t="n"/>
      <c r="S627" s="65" t="n"/>
      <c r="T627" s="65" t="n"/>
      <c r="U627" s="65" t="n"/>
      <c r="V627" s="77" t="n"/>
      <c r="W627" s="65" t="n"/>
      <c r="X627" s="65" t="n"/>
      <c r="Y627" s="65" t="n"/>
      <c r="Z627" s="65" t="n"/>
      <c r="AA627" s="65" t="n"/>
      <c r="AB627" s="65" t="n"/>
      <c r="AC627" s="65" t="n"/>
      <c r="AD627" s="65" t="n"/>
      <c r="AE627" s="65" t="n"/>
      <c r="AF627" s="65" t="n"/>
      <c r="AG627" s="65" t="n"/>
      <c r="AH627" s="65" t="n"/>
      <c r="AI627" s="65" t="n"/>
      <c r="AJ627" s="65" t="n"/>
      <c r="AK627" s="65" t="n"/>
      <c r="AL627" s="65" t="n"/>
      <c r="AM627" s="65" t="n"/>
      <c r="AN627" s="65" t="n"/>
      <c r="AO627" s="65" t="n"/>
      <c r="AP627" s="65" t="n"/>
    </row>
    <row r="628">
      <c r="F628" s="68" t="n"/>
      <c r="G628" s="68">
        <f>IF(B628="","",F628-I628 )</f>
        <v/>
      </c>
      <c r="H628" s="5">
        <f>IF(G628="","",G628/F628)</f>
        <v/>
      </c>
      <c r="J628" s="65" t="n"/>
      <c r="K628" s="65" t="n"/>
      <c r="L628" s="65" t="n"/>
      <c r="M628" s="65" t="n"/>
      <c r="N628" s="65" t="n"/>
      <c r="O628" s="65" t="n"/>
      <c r="P628" s="65" t="n"/>
      <c r="Q628" s="65" t="n"/>
      <c r="R628" s="65" t="n"/>
      <c r="S628" s="65" t="n"/>
      <c r="T628" s="65" t="n"/>
      <c r="U628" s="65" t="n"/>
      <c r="V628" s="77" t="n"/>
      <c r="W628" s="65" t="n"/>
      <c r="X628" s="65" t="n"/>
      <c r="Y628" s="65" t="n"/>
      <c r="Z628" s="65" t="n"/>
      <c r="AA628" s="65" t="n"/>
      <c r="AB628" s="65" t="n"/>
      <c r="AC628" s="65" t="n"/>
      <c r="AD628" s="65" t="n"/>
      <c r="AE628" s="65" t="n"/>
      <c r="AF628" s="65" t="n"/>
      <c r="AG628" s="65" t="n"/>
      <c r="AH628" s="65" t="n"/>
      <c r="AI628" s="65" t="n"/>
      <c r="AJ628" s="65" t="n"/>
      <c r="AK628" s="65" t="n"/>
      <c r="AL628" s="65" t="n"/>
      <c r="AM628" s="65" t="n"/>
      <c r="AN628" s="65" t="n"/>
      <c r="AO628" s="65" t="n"/>
      <c r="AP628" s="65" t="n"/>
    </row>
    <row r="629">
      <c r="F629" s="68" t="n"/>
      <c r="G629" s="68">
        <f>IF(B629="","",F629-I629 )</f>
        <v/>
      </c>
      <c r="H629" s="5">
        <f>IF(G629="","",G629/F629)</f>
        <v/>
      </c>
      <c r="J629" s="65" t="n"/>
      <c r="K629" s="65" t="n"/>
      <c r="L629" s="65" t="n"/>
      <c r="M629" s="65" t="n"/>
      <c r="N629" s="65" t="n"/>
      <c r="O629" s="65" t="n"/>
      <c r="P629" s="65" t="n"/>
      <c r="Q629" s="65" t="n"/>
      <c r="R629" s="65" t="n"/>
      <c r="S629" s="65" t="n"/>
      <c r="T629" s="65" t="n"/>
      <c r="U629" s="65" t="n"/>
      <c r="V629" s="77" t="n"/>
      <c r="W629" s="65" t="n"/>
      <c r="X629" s="65" t="n"/>
      <c r="Y629" s="65" t="n"/>
      <c r="Z629" s="65" t="n"/>
      <c r="AA629" s="65" t="n"/>
      <c r="AB629" s="65" t="n"/>
      <c r="AC629" s="65" t="n"/>
      <c r="AD629" s="65" t="n"/>
      <c r="AE629" s="65" t="n"/>
      <c r="AF629" s="65" t="n"/>
      <c r="AG629" s="65" t="n"/>
      <c r="AH629" s="65" t="n"/>
      <c r="AI629" s="65" t="n"/>
      <c r="AJ629" s="65" t="n"/>
      <c r="AK629" s="65" t="n"/>
      <c r="AL629" s="65" t="n"/>
      <c r="AM629" s="65" t="n"/>
      <c r="AN629" s="65" t="n"/>
      <c r="AO629" s="65" t="n"/>
      <c r="AP629" s="65" t="n"/>
    </row>
    <row r="630">
      <c r="F630" s="68" t="n"/>
      <c r="G630" s="68">
        <f>IF(B630="","",F630-I630 )</f>
        <v/>
      </c>
      <c r="H630" s="5">
        <f>IF(G630="","",G630/F630)</f>
        <v/>
      </c>
      <c r="J630" s="65" t="n"/>
      <c r="K630" s="65" t="n"/>
      <c r="L630" s="65" t="n"/>
      <c r="M630" s="65" t="n"/>
      <c r="N630" s="65" t="n"/>
      <c r="O630" s="65" t="n"/>
      <c r="P630" s="65" t="n"/>
      <c r="Q630" s="65" t="n"/>
      <c r="R630" s="65" t="n"/>
      <c r="S630" s="65" t="n"/>
      <c r="T630" s="65" t="n"/>
      <c r="U630" s="65" t="n"/>
      <c r="V630" s="77" t="n"/>
      <c r="W630" s="65" t="n"/>
      <c r="X630" s="65" t="n"/>
      <c r="Y630" s="65" t="n"/>
      <c r="Z630" s="65" t="n"/>
      <c r="AA630" s="65" t="n"/>
      <c r="AB630" s="65" t="n"/>
      <c r="AC630" s="65" t="n"/>
      <c r="AD630" s="65" t="n"/>
      <c r="AE630" s="65" t="n"/>
      <c r="AF630" s="65" t="n"/>
      <c r="AG630" s="65" t="n"/>
      <c r="AH630" s="65" t="n"/>
      <c r="AI630" s="65" t="n"/>
      <c r="AJ630" s="65" t="n"/>
      <c r="AK630" s="65" t="n"/>
      <c r="AL630" s="65" t="n"/>
      <c r="AM630" s="65" t="n"/>
      <c r="AN630" s="65" t="n"/>
      <c r="AO630" s="65" t="n"/>
      <c r="AP630" s="65" t="n"/>
    </row>
    <row r="631">
      <c r="F631" s="68" t="n"/>
      <c r="G631" s="68">
        <f>IF(B631="","",F631-I631 )</f>
        <v/>
      </c>
      <c r="H631" s="5">
        <f>IF(G631="","",G631/F631)</f>
        <v/>
      </c>
      <c r="J631" s="65" t="n"/>
      <c r="K631" s="65" t="n"/>
      <c r="L631" s="65" t="n"/>
      <c r="M631" s="65" t="n"/>
      <c r="N631" s="65" t="n"/>
      <c r="O631" s="65" t="n"/>
      <c r="P631" s="65" t="n"/>
      <c r="Q631" s="65" t="n"/>
      <c r="R631" s="65" t="n"/>
      <c r="S631" s="65" t="n"/>
      <c r="T631" s="65" t="n"/>
      <c r="U631" s="65" t="n"/>
      <c r="V631" s="77" t="n"/>
      <c r="W631" s="65" t="n"/>
      <c r="X631" s="65" t="n"/>
      <c r="Y631" s="65" t="n"/>
      <c r="Z631" s="65" t="n"/>
      <c r="AA631" s="65" t="n"/>
      <c r="AB631" s="65" t="n"/>
      <c r="AC631" s="65" t="n"/>
      <c r="AD631" s="65" t="n"/>
      <c r="AE631" s="65" t="n"/>
      <c r="AF631" s="65" t="n"/>
      <c r="AG631" s="65" t="n"/>
      <c r="AH631" s="65" t="n"/>
      <c r="AI631" s="65" t="n"/>
      <c r="AJ631" s="65" t="n"/>
      <c r="AK631" s="65" t="n"/>
      <c r="AL631" s="65" t="n"/>
      <c r="AM631" s="65" t="n"/>
      <c r="AN631" s="65" t="n"/>
      <c r="AO631" s="65" t="n"/>
      <c r="AP631" s="65" t="n"/>
    </row>
    <row r="632">
      <c r="F632" s="68" t="n"/>
      <c r="G632" s="68">
        <f>IF(B632="","",F632-I632 )</f>
        <v/>
      </c>
      <c r="H632" s="5">
        <f>IF(G632="","",G632/F632)</f>
        <v/>
      </c>
      <c r="J632" s="65" t="n"/>
      <c r="K632" s="65" t="n"/>
      <c r="L632" s="65" t="n"/>
      <c r="M632" s="65" t="n"/>
      <c r="N632" s="65" t="n"/>
      <c r="O632" s="65" t="n"/>
      <c r="P632" s="65" t="n"/>
      <c r="Q632" s="65" t="n"/>
      <c r="R632" s="65" t="n"/>
      <c r="S632" s="65" t="n"/>
      <c r="T632" s="65" t="n"/>
      <c r="U632" s="65" t="n"/>
      <c r="V632" s="77" t="n"/>
      <c r="W632" s="65" t="n"/>
      <c r="X632" s="65" t="n"/>
      <c r="Y632" s="65" t="n"/>
      <c r="Z632" s="65" t="n"/>
      <c r="AA632" s="65" t="n"/>
      <c r="AB632" s="65" t="n"/>
      <c r="AC632" s="65" t="n"/>
      <c r="AD632" s="65" t="n"/>
      <c r="AE632" s="65" t="n"/>
      <c r="AF632" s="65" t="n"/>
      <c r="AG632" s="65" t="n"/>
      <c r="AH632" s="65" t="n"/>
      <c r="AI632" s="65" t="n"/>
      <c r="AJ632" s="65" t="n"/>
      <c r="AK632" s="65" t="n"/>
      <c r="AL632" s="65" t="n"/>
      <c r="AM632" s="65" t="n"/>
      <c r="AN632" s="65" t="n"/>
      <c r="AO632" s="65" t="n"/>
      <c r="AP632" s="65" t="n"/>
    </row>
    <row r="633">
      <c r="F633" s="68" t="n"/>
      <c r="G633" s="68">
        <f>IF(B633="","",F633-I633 )</f>
        <v/>
      </c>
      <c r="H633" s="5">
        <f>IF(G633="","",G633/F633)</f>
        <v/>
      </c>
      <c r="J633" s="65" t="n"/>
      <c r="K633" s="65" t="n"/>
      <c r="L633" s="65" t="n"/>
      <c r="M633" s="65" t="n"/>
      <c r="N633" s="65" t="n"/>
      <c r="O633" s="65" t="n"/>
      <c r="P633" s="65" t="n"/>
      <c r="Q633" s="65" t="n"/>
      <c r="R633" s="65" t="n"/>
      <c r="S633" s="65" t="n"/>
      <c r="T633" s="65" t="n"/>
      <c r="U633" s="65" t="n"/>
      <c r="V633" s="77" t="n"/>
      <c r="W633" s="65" t="n"/>
      <c r="X633" s="65" t="n"/>
      <c r="Y633" s="65" t="n"/>
      <c r="Z633" s="65" t="n"/>
      <c r="AA633" s="65" t="n"/>
      <c r="AB633" s="65" t="n"/>
      <c r="AC633" s="65" t="n"/>
      <c r="AD633" s="65" t="n"/>
      <c r="AE633" s="65" t="n"/>
      <c r="AF633" s="65" t="n"/>
      <c r="AG633" s="65" t="n"/>
      <c r="AH633" s="65" t="n"/>
      <c r="AI633" s="65" t="n"/>
      <c r="AJ633" s="65" t="n"/>
      <c r="AK633" s="65" t="n"/>
      <c r="AL633" s="65" t="n"/>
      <c r="AM633" s="65" t="n"/>
      <c r="AN633" s="65" t="n"/>
      <c r="AO633" s="65" t="n"/>
      <c r="AP633" s="65" t="n"/>
    </row>
    <row r="634">
      <c r="F634" s="68" t="n"/>
      <c r="G634" s="68">
        <f>IF(B634="","",F634-I634 )</f>
        <v/>
      </c>
      <c r="H634" s="5">
        <f>IF(G634="","",G634/F634)</f>
        <v/>
      </c>
      <c r="J634" s="65" t="n"/>
      <c r="K634" s="65" t="n"/>
      <c r="L634" s="65" t="n"/>
      <c r="M634" s="65" t="n"/>
      <c r="N634" s="65" t="n"/>
      <c r="O634" s="65" t="n"/>
      <c r="P634" s="65" t="n"/>
      <c r="Q634" s="65" t="n"/>
      <c r="R634" s="65" t="n"/>
      <c r="S634" s="65" t="n"/>
      <c r="T634" s="65" t="n"/>
      <c r="U634" s="65" t="n"/>
      <c r="V634" s="77" t="n"/>
      <c r="W634" s="65" t="n"/>
      <c r="X634" s="65" t="n"/>
      <c r="Y634" s="65" t="n"/>
      <c r="Z634" s="65" t="n"/>
      <c r="AA634" s="65" t="n"/>
      <c r="AB634" s="65" t="n"/>
      <c r="AC634" s="65" t="n"/>
      <c r="AD634" s="65" t="n"/>
      <c r="AE634" s="65" t="n"/>
      <c r="AF634" s="65" t="n"/>
      <c r="AG634" s="65" t="n"/>
      <c r="AH634" s="65" t="n"/>
      <c r="AI634" s="65" t="n"/>
      <c r="AJ634" s="65" t="n"/>
      <c r="AK634" s="65" t="n"/>
      <c r="AL634" s="65" t="n"/>
      <c r="AM634" s="65" t="n"/>
      <c r="AN634" s="65" t="n"/>
      <c r="AO634" s="65" t="n"/>
      <c r="AP634" s="65" t="n"/>
    </row>
    <row r="635">
      <c r="F635" s="68" t="n"/>
      <c r="G635" s="68">
        <f>IF(B635="","",F635-I635 )</f>
        <v/>
      </c>
      <c r="H635" s="5">
        <f>IF(G635="","",G635/F635)</f>
        <v/>
      </c>
      <c r="J635" s="65" t="n"/>
      <c r="K635" s="65" t="n"/>
      <c r="L635" s="65" t="n"/>
      <c r="M635" s="65" t="n"/>
      <c r="N635" s="65" t="n"/>
      <c r="O635" s="65" t="n"/>
      <c r="P635" s="65" t="n"/>
      <c r="Q635" s="65" t="n"/>
      <c r="R635" s="65" t="n"/>
      <c r="S635" s="65" t="n"/>
      <c r="T635" s="65" t="n"/>
      <c r="U635" s="65" t="n"/>
      <c r="V635" s="77" t="n"/>
      <c r="W635" s="65" t="n"/>
      <c r="X635" s="65" t="n"/>
      <c r="Y635" s="65" t="n"/>
      <c r="Z635" s="65" t="n"/>
      <c r="AA635" s="65" t="n"/>
      <c r="AB635" s="65" t="n"/>
      <c r="AC635" s="65" t="n"/>
      <c r="AD635" s="65" t="n"/>
      <c r="AE635" s="65" t="n"/>
      <c r="AF635" s="65" t="n"/>
      <c r="AG635" s="65" t="n"/>
      <c r="AH635" s="65" t="n"/>
      <c r="AI635" s="65" t="n"/>
      <c r="AJ635" s="65" t="n"/>
      <c r="AK635" s="65" t="n"/>
      <c r="AL635" s="65" t="n"/>
      <c r="AM635" s="65" t="n"/>
      <c r="AN635" s="65" t="n"/>
      <c r="AO635" s="65" t="n"/>
      <c r="AP635" s="65" t="n"/>
    </row>
    <row r="636">
      <c r="F636" s="68" t="n"/>
      <c r="G636" s="68">
        <f>IF(B636="","",F636-I636 )</f>
        <v/>
      </c>
      <c r="H636" s="5">
        <f>IF(G636="","",G636/F636)</f>
        <v/>
      </c>
      <c r="J636" s="65" t="n"/>
      <c r="K636" s="65" t="n"/>
      <c r="L636" s="65" t="n"/>
      <c r="M636" s="65" t="n"/>
      <c r="N636" s="65" t="n"/>
      <c r="O636" s="65" t="n"/>
      <c r="P636" s="65" t="n"/>
      <c r="Q636" s="65" t="n"/>
      <c r="R636" s="65" t="n"/>
      <c r="S636" s="65" t="n"/>
      <c r="T636" s="65" t="n"/>
      <c r="U636" s="65" t="n"/>
      <c r="V636" s="77" t="n"/>
      <c r="W636" s="65" t="n"/>
      <c r="X636" s="65" t="n"/>
      <c r="Y636" s="65" t="n"/>
      <c r="Z636" s="65" t="n"/>
      <c r="AA636" s="65" t="n"/>
      <c r="AB636" s="65" t="n"/>
      <c r="AC636" s="65" t="n"/>
      <c r="AD636" s="65" t="n"/>
      <c r="AE636" s="65" t="n"/>
      <c r="AF636" s="65" t="n"/>
      <c r="AG636" s="65" t="n"/>
      <c r="AH636" s="65" t="n"/>
      <c r="AI636" s="65" t="n"/>
      <c r="AJ636" s="65" t="n"/>
      <c r="AK636" s="65" t="n"/>
      <c r="AL636" s="65" t="n"/>
      <c r="AM636" s="65" t="n"/>
      <c r="AN636" s="65" t="n"/>
      <c r="AO636" s="65" t="n"/>
      <c r="AP636" s="65" t="n"/>
    </row>
    <row r="637">
      <c r="F637" s="68" t="n"/>
      <c r="G637" s="68">
        <f>IF(B637="","",F637-I637 )</f>
        <v/>
      </c>
      <c r="H637" s="5">
        <f>IF(G637="","",G637/F637)</f>
        <v/>
      </c>
      <c r="J637" s="65" t="n"/>
      <c r="K637" s="65" t="n"/>
      <c r="L637" s="65" t="n"/>
      <c r="M637" s="65" t="n"/>
      <c r="N637" s="65" t="n"/>
      <c r="O637" s="65" t="n"/>
      <c r="P637" s="65" t="n"/>
      <c r="Q637" s="65" t="n"/>
      <c r="R637" s="65" t="n"/>
      <c r="S637" s="65" t="n"/>
      <c r="T637" s="65" t="n"/>
      <c r="U637" s="65" t="n"/>
      <c r="V637" s="77" t="n"/>
      <c r="W637" s="65" t="n"/>
      <c r="X637" s="65" t="n"/>
      <c r="Y637" s="65" t="n"/>
      <c r="Z637" s="65" t="n"/>
      <c r="AA637" s="65" t="n"/>
      <c r="AB637" s="65" t="n"/>
      <c r="AC637" s="65" t="n"/>
      <c r="AD637" s="65" t="n"/>
      <c r="AE637" s="65" t="n"/>
      <c r="AF637" s="65" t="n"/>
      <c r="AG637" s="65" t="n"/>
      <c r="AH637" s="65" t="n"/>
      <c r="AI637" s="65" t="n"/>
      <c r="AJ637" s="65" t="n"/>
      <c r="AK637" s="65" t="n"/>
      <c r="AL637" s="65" t="n"/>
      <c r="AM637" s="65" t="n"/>
      <c r="AN637" s="65" t="n"/>
      <c r="AO637" s="65" t="n"/>
      <c r="AP637" s="65" t="n"/>
    </row>
    <row r="638">
      <c r="F638" s="68" t="n"/>
      <c r="G638" s="68">
        <f>IF(B638="","",F638-I638 )</f>
        <v/>
      </c>
      <c r="H638" s="5">
        <f>IF(G638="","",G638/F638)</f>
        <v/>
      </c>
      <c r="J638" s="65" t="n"/>
      <c r="K638" s="65" t="n"/>
      <c r="L638" s="65" t="n"/>
      <c r="M638" s="65" t="n"/>
      <c r="N638" s="65" t="n"/>
      <c r="O638" s="65" t="n"/>
      <c r="P638" s="65" t="n"/>
      <c r="Q638" s="65" t="n"/>
      <c r="R638" s="65" t="n"/>
      <c r="S638" s="65" t="n"/>
      <c r="T638" s="65" t="n"/>
      <c r="U638" s="65" t="n"/>
      <c r="V638" s="77" t="n"/>
      <c r="W638" s="65" t="n"/>
      <c r="X638" s="65" t="n"/>
      <c r="Y638" s="65" t="n"/>
      <c r="Z638" s="65" t="n"/>
      <c r="AA638" s="65" t="n"/>
      <c r="AB638" s="65" t="n"/>
      <c r="AC638" s="65" t="n"/>
      <c r="AD638" s="65" t="n"/>
      <c r="AE638" s="65" t="n"/>
      <c r="AF638" s="65" t="n"/>
      <c r="AG638" s="65" t="n"/>
      <c r="AH638" s="65" t="n"/>
      <c r="AI638" s="65" t="n"/>
      <c r="AJ638" s="65" t="n"/>
      <c r="AK638" s="65" t="n"/>
      <c r="AL638" s="65" t="n"/>
      <c r="AM638" s="65" t="n"/>
      <c r="AN638" s="65" t="n"/>
      <c r="AO638" s="65" t="n"/>
      <c r="AP638" s="65" t="n"/>
    </row>
    <row r="639">
      <c r="F639" s="68" t="n"/>
      <c r="G639" s="68">
        <f>IF(B639="","",F639-I639 )</f>
        <v/>
      </c>
      <c r="H639" s="5">
        <f>IF(G639="","",G639/F639)</f>
        <v/>
      </c>
      <c r="J639" s="65" t="n"/>
      <c r="K639" s="65" t="n"/>
      <c r="L639" s="65" t="n"/>
      <c r="M639" s="65" t="n"/>
      <c r="N639" s="65" t="n"/>
      <c r="O639" s="65" t="n"/>
      <c r="P639" s="65" t="n"/>
      <c r="Q639" s="65" t="n"/>
      <c r="R639" s="65" t="n"/>
      <c r="S639" s="65" t="n"/>
      <c r="T639" s="65" t="n"/>
      <c r="U639" s="65" t="n"/>
      <c r="V639" s="77" t="n"/>
      <c r="W639" s="65" t="n"/>
      <c r="X639" s="65" t="n"/>
      <c r="Y639" s="65" t="n"/>
      <c r="Z639" s="65" t="n"/>
      <c r="AA639" s="65" t="n"/>
      <c r="AB639" s="65" t="n"/>
      <c r="AC639" s="65" t="n"/>
      <c r="AD639" s="65" t="n"/>
      <c r="AE639" s="65" t="n"/>
      <c r="AF639" s="65" t="n"/>
      <c r="AG639" s="65" t="n"/>
      <c r="AH639" s="65" t="n"/>
      <c r="AI639" s="65" t="n"/>
      <c r="AJ639" s="65" t="n"/>
      <c r="AK639" s="65" t="n"/>
      <c r="AL639" s="65" t="n"/>
      <c r="AM639" s="65" t="n"/>
      <c r="AN639" s="65" t="n"/>
      <c r="AO639" s="65" t="n"/>
      <c r="AP639" s="65" t="n"/>
    </row>
    <row r="640">
      <c r="F640" s="68" t="n"/>
      <c r="G640" s="68">
        <f>IF(B640="","",F640-I640 )</f>
        <v/>
      </c>
      <c r="H640" s="5">
        <f>IF(G640="","",G640/F640)</f>
        <v/>
      </c>
      <c r="J640" s="65" t="n"/>
      <c r="K640" s="65" t="n"/>
      <c r="L640" s="65" t="n"/>
      <c r="M640" s="65" t="n"/>
      <c r="N640" s="65" t="n"/>
      <c r="O640" s="65" t="n"/>
      <c r="P640" s="65" t="n"/>
      <c r="Q640" s="65" t="n"/>
      <c r="R640" s="65" t="n"/>
      <c r="S640" s="65" t="n"/>
      <c r="T640" s="65" t="n"/>
      <c r="U640" s="65" t="n"/>
      <c r="V640" s="77" t="n"/>
      <c r="W640" s="65" t="n"/>
      <c r="X640" s="65" t="n"/>
      <c r="Y640" s="65" t="n"/>
      <c r="Z640" s="65" t="n"/>
      <c r="AA640" s="65" t="n"/>
      <c r="AB640" s="65" t="n"/>
      <c r="AC640" s="65" t="n"/>
      <c r="AD640" s="65" t="n"/>
      <c r="AE640" s="65" t="n"/>
      <c r="AF640" s="65" t="n"/>
      <c r="AG640" s="65" t="n"/>
      <c r="AH640" s="65" t="n"/>
      <c r="AI640" s="65" t="n"/>
      <c r="AJ640" s="65" t="n"/>
      <c r="AK640" s="65" t="n"/>
      <c r="AL640" s="65" t="n"/>
      <c r="AM640" s="65" t="n"/>
      <c r="AN640" s="65" t="n"/>
      <c r="AO640" s="65" t="n"/>
      <c r="AP640" s="65" t="n"/>
    </row>
    <row r="641">
      <c r="F641" s="68" t="n"/>
      <c r="G641" s="68">
        <f>IF(B641="","",F641-I641 )</f>
        <v/>
      </c>
      <c r="H641" s="5">
        <f>IF(G641="","",G641/F641)</f>
        <v/>
      </c>
      <c r="J641" s="65" t="n"/>
      <c r="K641" s="65" t="n"/>
      <c r="L641" s="65" t="n"/>
      <c r="M641" s="65" t="n"/>
      <c r="N641" s="65" t="n"/>
      <c r="O641" s="65" t="n"/>
      <c r="P641" s="65" t="n"/>
      <c r="Q641" s="65" t="n"/>
      <c r="R641" s="65" t="n"/>
      <c r="S641" s="65" t="n"/>
      <c r="T641" s="65" t="n"/>
      <c r="U641" s="65" t="n"/>
      <c r="V641" s="77" t="n"/>
      <c r="W641" s="65" t="n"/>
      <c r="X641" s="65" t="n"/>
      <c r="Y641" s="65" t="n"/>
      <c r="Z641" s="65" t="n"/>
      <c r="AA641" s="65" t="n"/>
      <c r="AB641" s="65" t="n"/>
      <c r="AC641" s="65" t="n"/>
      <c r="AD641" s="65" t="n"/>
      <c r="AE641" s="65" t="n"/>
      <c r="AF641" s="65" t="n"/>
      <c r="AG641" s="65" t="n"/>
      <c r="AH641" s="65" t="n"/>
      <c r="AI641" s="65" t="n"/>
      <c r="AJ641" s="65" t="n"/>
      <c r="AK641" s="65" t="n"/>
      <c r="AL641" s="65" t="n"/>
      <c r="AM641" s="65" t="n"/>
      <c r="AN641" s="65" t="n"/>
      <c r="AO641" s="65" t="n"/>
      <c r="AP641" s="65" t="n"/>
    </row>
    <row r="642">
      <c r="F642" s="68" t="n"/>
      <c r="G642" s="68">
        <f>IF(B642="","",F642-I642 )</f>
        <v/>
      </c>
      <c r="H642" s="5">
        <f>IF(G642="","",G642/F642)</f>
        <v/>
      </c>
      <c r="J642" s="65" t="n"/>
      <c r="K642" s="65" t="n"/>
      <c r="L642" s="65" t="n"/>
      <c r="M642" s="65" t="n"/>
      <c r="N642" s="65" t="n"/>
      <c r="O642" s="65" t="n"/>
      <c r="P642" s="65" t="n"/>
      <c r="Q642" s="65" t="n"/>
      <c r="R642" s="65" t="n"/>
      <c r="S642" s="65" t="n"/>
      <c r="T642" s="65" t="n"/>
      <c r="U642" s="65" t="n"/>
      <c r="V642" s="77" t="n"/>
      <c r="W642" s="65" t="n"/>
      <c r="X642" s="65" t="n"/>
      <c r="Y642" s="65" t="n"/>
      <c r="Z642" s="65" t="n"/>
      <c r="AA642" s="65" t="n"/>
      <c r="AB642" s="65" t="n"/>
      <c r="AC642" s="65" t="n"/>
      <c r="AD642" s="65" t="n"/>
      <c r="AE642" s="65" t="n"/>
      <c r="AF642" s="65" t="n"/>
      <c r="AG642" s="65" t="n"/>
      <c r="AH642" s="65" t="n"/>
      <c r="AI642" s="65" t="n"/>
      <c r="AJ642" s="65" t="n"/>
      <c r="AK642" s="65" t="n"/>
      <c r="AL642" s="65" t="n"/>
      <c r="AM642" s="65" t="n"/>
      <c r="AN642" s="65" t="n"/>
      <c r="AO642" s="65" t="n"/>
      <c r="AP642" s="65" t="n"/>
    </row>
    <row r="643">
      <c r="F643" s="68" t="n"/>
      <c r="G643" s="68">
        <f>IF(B643="","",F643-I643 )</f>
        <v/>
      </c>
      <c r="H643" s="5">
        <f>IF(G643="","",G643/F643)</f>
        <v/>
      </c>
      <c r="J643" s="65" t="n"/>
      <c r="K643" s="65" t="n"/>
      <c r="L643" s="65" t="n"/>
      <c r="M643" s="65" t="n"/>
      <c r="N643" s="65" t="n"/>
      <c r="O643" s="65" t="n"/>
      <c r="P643" s="65" t="n"/>
      <c r="Q643" s="65" t="n"/>
      <c r="R643" s="65" t="n"/>
      <c r="S643" s="65" t="n"/>
      <c r="T643" s="65" t="n"/>
      <c r="U643" s="65" t="n"/>
      <c r="V643" s="77" t="n"/>
      <c r="W643" s="65" t="n"/>
      <c r="X643" s="65" t="n"/>
      <c r="Y643" s="65" t="n"/>
      <c r="Z643" s="65" t="n"/>
      <c r="AA643" s="65" t="n"/>
      <c r="AB643" s="65" t="n"/>
      <c r="AC643" s="65" t="n"/>
      <c r="AD643" s="65" t="n"/>
      <c r="AE643" s="65" t="n"/>
      <c r="AF643" s="65" t="n"/>
      <c r="AG643" s="65" t="n"/>
      <c r="AH643" s="65" t="n"/>
      <c r="AI643" s="65" t="n"/>
      <c r="AJ643" s="65" t="n"/>
      <c r="AK643" s="65" t="n"/>
      <c r="AL643" s="65" t="n"/>
      <c r="AM643" s="65" t="n"/>
      <c r="AN643" s="65" t="n"/>
      <c r="AO643" s="65" t="n"/>
      <c r="AP643" s="65" t="n"/>
    </row>
    <row r="644">
      <c r="F644" s="68" t="n"/>
      <c r="G644" s="68">
        <f>IF(B644="","",F644-I644 )</f>
        <v/>
      </c>
      <c r="H644" s="5">
        <f>IF(G644="","",G644/F644)</f>
        <v/>
      </c>
      <c r="J644" s="65" t="n"/>
      <c r="K644" s="65" t="n"/>
      <c r="L644" s="65" t="n"/>
      <c r="M644" s="65" t="n"/>
      <c r="N644" s="65" t="n"/>
      <c r="O644" s="65" t="n"/>
      <c r="P644" s="65" t="n"/>
      <c r="Q644" s="65" t="n"/>
      <c r="R644" s="65" t="n"/>
      <c r="S644" s="65" t="n"/>
      <c r="T644" s="65" t="n"/>
      <c r="U644" s="65" t="n"/>
      <c r="V644" s="77" t="n"/>
      <c r="W644" s="65" t="n"/>
      <c r="X644" s="65" t="n"/>
      <c r="Y644" s="65" t="n"/>
      <c r="Z644" s="65" t="n"/>
      <c r="AA644" s="65" t="n"/>
      <c r="AB644" s="65" t="n"/>
      <c r="AC644" s="65" t="n"/>
      <c r="AD644" s="65" t="n"/>
      <c r="AE644" s="65" t="n"/>
      <c r="AF644" s="65" t="n"/>
      <c r="AG644" s="65" t="n"/>
      <c r="AH644" s="65" t="n"/>
      <c r="AI644" s="65" t="n"/>
      <c r="AJ644" s="65" t="n"/>
      <c r="AK644" s="65" t="n"/>
      <c r="AL644" s="65" t="n"/>
      <c r="AM644" s="65" t="n"/>
      <c r="AN644" s="65" t="n"/>
      <c r="AO644" s="65" t="n"/>
      <c r="AP644" s="65" t="n"/>
    </row>
    <row r="645">
      <c r="F645" s="68" t="n"/>
      <c r="G645" s="68">
        <f>IF(B645="","",F645-I645 )</f>
        <v/>
      </c>
      <c r="H645" s="5">
        <f>IF(G645="","",G645/F645)</f>
        <v/>
      </c>
      <c r="J645" s="65" t="n"/>
      <c r="K645" s="65" t="n"/>
      <c r="L645" s="65" t="n"/>
      <c r="M645" s="65" t="n"/>
      <c r="N645" s="65" t="n"/>
      <c r="O645" s="65" t="n"/>
      <c r="P645" s="65" t="n"/>
      <c r="Q645" s="65" t="n"/>
      <c r="R645" s="65" t="n"/>
      <c r="S645" s="65" t="n"/>
      <c r="T645" s="65" t="n"/>
      <c r="U645" s="65" t="n"/>
      <c r="V645" s="77" t="n"/>
      <c r="W645" s="65" t="n"/>
      <c r="X645" s="65" t="n"/>
      <c r="Y645" s="65" t="n"/>
      <c r="Z645" s="65" t="n"/>
      <c r="AA645" s="65" t="n"/>
      <c r="AB645" s="65" t="n"/>
      <c r="AC645" s="65" t="n"/>
      <c r="AD645" s="65" t="n"/>
      <c r="AE645" s="65" t="n"/>
      <c r="AF645" s="65" t="n"/>
      <c r="AG645" s="65" t="n"/>
      <c r="AH645" s="65" t="n"/>
      <c r="AI645" s="65" t="n"/>
      <c r="AJ645" s="65" t="n"/>
      <c r="AK645" s="65" t="n"/>
      <c r="AL645" s="65" t="n"/>
      <c r="AM645" s="65" t="n"/>
      <c r="AN645" s="65" t="n"/>
      <c r="AO645" s="65" t="n"/>
      <c r="AP645" s="65" t="n"/>
    </row>
    <row r="646">
      <c r="F646" s="68" t="n"/>
      <c r="G646" s="68">
        <f>IF(B646="","",F646-I646 )</f>
        <v/>
      </c>
      <c r="H646" s="5">
        <f>IF(G646="","",G646/F646)</f>
        <v/>
      </c>
      <c r="J646" s="65" t="n"/>
      <c r="K646" s="65" t="n"/>
      <c r="L646" s="65" t="n"/>
      <c r="M646" s="65" t="n"/>
      <c r="N646" s="65" t="n"/>
      <c r="O646" s="65" t="n"/>
      <c r="P646" s="65" t="n"/>
      <c r="Q646" s="65" t="n"/>
      <c r="R646" s="65" t="n"/>
      <c r="S646" s="65" t="n"/>
      <c r="T646" s="65" t="n"/>
      <c r="U646" s="65" t="n"/>
      <c r="V646" s="77" t="n"/>
      <c r="W646" s="65" t="n"/>
      <c r="X646" s="65" t="n"/>
      <c r="Y646" s="65" t="n"/>
      <c r="Z646" s="65" t="n"/>
      <c r="AA646" s="65" t="n"/>
      <c r="AB646" s="65" t="n"/>
      <c r="AC646" s="65" t="n"/>
      <c r="AD646" s="65" t="n"/>
      <c r="AE646" s="65" t="n"/>
      <c r="AF646" s="65" t="n"/>
      <c r="AG646" s="65" t="n"/>
      <c r="AH646" s="65" t="n"/>
      <c r="AI646" s="65" t="n"/>
      <c r="AJ646" s="65" t="n"/>
      <c r="AK646" s="65" t="n"/>
      <c r="AL646" s="65" t="n"/>
      <c r="AM646" s="65" t="n"/>
      <c r="AN646" s="65" t="n"/>
      <c r="AO646" s="65" t="n"/>
      <c r="AP646" s="65" t="n"/>
    </row>
    <row r="647">
      <c r="F647" s="68" t="n"/>
      <c r="G647" s="68">
        <f>IF(B647="","",F647-I647 )</f>
        <v/>
      </c>
      <c r="H647" s="5">
        <f>IF(G647="","",G647/F647)</f>
        <v/>
      </c>
      <c r="J647" s="65" t="n"/>
      <c r="K647" s="65" t="n"/>
      <c r="L647" s="65" t="n"/>
      <c r="M647" s="65" t="n"/>
      <c r="N647" s="65" t="n"/>
      <c r="O647" s="65" t="n"/>
      <c r="P647" s="65" t="n"/>
      <c r="Q647" s="65" t="n"/>
      <c r="R647" s="65" t="n"/>
      <c r="S647" s="65" t="n"/>
      <c r="T647" s="65" t="n"/>
      <c r="U647" s="65" t="n"/>
      <c r="V647" s="77" t="n"/>
      <c r="W647" s="65" t="n"/>
      <c r="X647" s="65" t="n"/>
      <c r="Y647" s="65" t="n"/>
      <c r="Z647" s="65" t="n"/>
      <c r="AA647" s="65" t="n"/>
      <c r="AB647" s="65" t="n"/>
      <c r="AC647" s="65" t="n"/>
      <c r="AD647" s="65" t="n"/>
      <c r="AE647" s="65" t="n"/>
      <c r="AF647" s="65" t="n"/>
      <c r="AG647" s="65" t="n"/>
      <c r="AH647" s="65" t="n"/>
      <c r="AI647" s="65" t="n"/>
      <c r="AJ647" s="65" t="n"/>
      <c r="AK647" s="65" t="n"/>
      <c r="AL647" s="65" t="n"/>
      <c r="AM647" s="65" t="n"/>
      <c r="AN647" s="65" t="n"/>
      <c r="AO647" s="65" t="n"/>
      <c r="AP647" s="65" t="n"/>
    </row>
    <row r="648">
      <c r="F648" s="68" t="n"/>
      <c r="G648" s="68">
        <f>IF(B648="","",F648-I648 )</f>
        <v/>
      </c>
      <c r="H648" s="5">
        <f>IF(G648="","",G648/F648)</f>
        <v/>
      </c>
      <c r="J648" s="65" t="n"/>
      <c r="K648" s="65" t="n"/>
      <c r="L648" s="65" t="n"/>
      <c r="M648" s="65" t="n"/>
      <c r="N648" s="65" t="n"/>
      <c r="O648" s="65" t="n"/>
      <c r="P648" s="65" t="n"/>
      <c r="Q648" s="65" t="n"/>
      <c r="R648" s="65" t="n"/>
      <c r="S648" s="65" t="n"/>
      <c r="T648" s="65" t="n"/>
      <c r="U648" s="65" t="n"/>
      <c r="V648" s="77" t="n"/>
      <c r="W648" s="65" t="n"/>
      <c r="X648" s="65" t="n"/>
      <c r="Y648" s="65" t="n"/>
      <c r="Z648" s="65" t="n"/>
      <c r="AA648" s="65" t="n"/>
      <c r="AB648" s="65" t="n"/>
      <c r="AC648" s="65" t="n"/>
      <c r="AD648" s="65" t="n"/>
      <c r="AE648" s="65" t="n"/>
      <c r="AF648" s="65" t="n"/>
      <c r="AG648" s="65" t="n"/>
      <c r="AH648" s="65" t="n"/>
      <c r="AI648" s="65" t="n"/>
      <c r="AJ648" s="65" t="n"/>
      <c r="AK648" s="65" t="n"/>
      <c r="AL648" s="65" t="n"/>
      <c r="AM648" s="65" t="n"/>
      <c r="AN648" s="65" t="n"/>
      <c r="AO648" s="65" t="n"/>
      <c r="AP648" s="65" t="n"/>
    </row>
    <row r="649">
      <c r="F649" s="68" t="n"/>
      <c r="G649" s="68">
        <f>IF(B649="","",F649-I649 )</f>
        <v/>
      </c>
      <c r="H649" s="5">
        <f>IF(G649="","",G649/F649)</f>
        <v/>
      </c>
      <c r="J649" s="65" t="n"/>
      <c r="K649" s="65" t="n"/>
      <c r="L649" s="65" t="n"/>
      <c r="M649" s="65" t="n"/>
      <c r="N649" s="65" t="n"/>
      <c r="O649" s="65" t="n"/>
      <c r="P649" s="65" t="n"/>
      <c r="Q649" s="65" t="n"/>
      <c r="R649" s="65" t="n"/>
      <c r="S649" s="65" t="n"/>
      <c r="T649" s="65" t="n"/>
      <c r="U649" s="65" t="n"/>
      <c r="V649" s="77" t="n"/>
      <c r="W649" s="65" t="n"/>
      <c r="X649" s="65" t="n"/>
      <c r="Y649" s="65" t="n"/>
      <c r="Z649" s="65" t="n"/>
      <c r="AA649" s="65" t="n"/>
      <c r="AB649" s="65" t="n"/>
      <c r="AC649" s="65" t="n"/>
      <c r="AD649" s="65" t="n"/>
      <c r="AE649" s="65" t="n"/>
      <c r="AF649" s="65" t="n"/>
      <c r="AG649" s="65" t="n"/>
      <c r="AH649" s="65" t="n"/>
      <c r="AI649" s="65" t="n"/>
      <c r="AJ649" s="65" t="n"/>
      <c r="AK649" s="65" t="n"/>
      <c r="AL649" s="65" t="n"/>
      <c r="AM649" s="65" t="n"/>
      <c r="AN649" s="65" t="n"/>
      <c r="AO649" s="65" t="n"/>
      <c r="AP649" s="65" t="n"/>
    </row>
    <row r="650">
      <c r="F650" s="68" t="n"/>
      <c r="G650" s="68">
        <f>IF(B650="","",F650-I650 )</f>
        <v/>
      </c>
      <c r="H650" s="5">
        <f>IF(G650="","",G650/F650)</f>
        <v/>
      </c>
      <c r="J650" s="65" t="n"/>
      <c r="K650" s="65" t="n"/>
      <c r="L650" s="65" t="n"/>
      <c r="M650" s="65" t="n"/>
      <c r="N650" s="65" t="n"/>
      <c r="O650" s="65" t="n"/>
      <c r="P650" s="65" t="n"/>
      <c r="Q650" s="65" t="n"/>
      <c r="R650" s="65" t="n"/>
      <c r="S650" s="65" t="n"/>
      <c r="T650" s="65" t="n"/>
      <c r="U650" s="65" t="n"/>
      <c r="V650" s="77" t="n"/>
      <c r="W650" s="65" t="n"/>
      <c r="X650" s="65" t="n"/>
      <c r="Y650" s="65" t="n"/>
      <c r="Z650" s="65" t="n"/>
      <c r="AA650" s="65" t="n"/>
      <c r="AB650" s="65" t="n"/>
      <c r="AC650" s="65" t="n"/>
      <c r="AD650" s="65" t="n"/>
      <c r="AE650" s="65" t="n"/>
      <c r="AF650" s="65" t="n"/>
      <c r="AG650" s="65" t="n"/>
      <c r="AH650" s="65" t="n"/>
      <c r="AI650" s="65" t="n"/>
      <c r="AJ650" s="65" t="n"/>
      <c r="AK650" s="65" t="n"/>
      <c r="AL650" s="65" t="n"/>
      <c r="AM650" s="65" t="n"/>
      <c r="AN650" s="65" t="n"/>
      <c r="AO650" s="65" t="n"/>
      <c r="AP650" s="65" t="n"/>
    </row>
    <row r="651">
      <c r="F651" s="68" t="n"/>
      <c r="G651" s="68">
        <f>IF(B651="","",F651-I651 )</f>
        <v/>
      </c>
      <c r="H651" s="5">
        <f>IF(G651="","",G651/F651)</f>
        <v/>
      </c>
      <c r="J651" s="65" t="n"/>
      <c r="K651" s="65" t="n"/>
      <c r="L651" s="65" t="n"/>
      <c r="M651" s="65" t="n"/>
      <c r="N651" s="65" t="n"/>
      <c r="O651" s="65" t="n"/>
      <c r="P651" s="65" t="n"/>
      <c r="Q651" s="65" t="n"/>
      <c r="R651" s="65" t="n"/>
      <c r="S651" s="65" t="n"/>
      <c r="T651" s="65" t="n"/>
      <c r="U651" s="65" t="n"/>
      <c r="V651" s="77" t="n"/>
      <c r="W651" s="65" t="n"/>
      <c r="X651" s="65" t="n"/>
      <c r="Y651" s="65" t="n"/>
      <c r="Z651" s="65" t="n"/>
      <c r="AA651" s="65" t="n"/>
      <c r="AB651" s="65" t="n"/>
      <c r="AC651" s="65" t="n"/>
      <c r="AD651" s="65" t="n"/>
      <c r="AE651" s="65" t="n"/>
      <c r="AF651" s="65" t="n"/>
      <c r="AG651" s="65" t="n"/>
      <c r="AH651" s="65" t="n"/>
      <c r="AI651" s="65" t="n"/>
      <c r="AJ651" s="65" t="n"/>
      <c r="AK651" s="65" t="n"/>
      <c r="AL651" s="65" t="n"/>
      <c r="AM651" s="65" t="n"/>
      <c r="AN651" s="65" t="n"/>
      <c r="AO651" s="65" t="n"/>
      <c r="AP651" s="65" t="n"/>
    </row>
    <row r="652">
      <c r="F652" s="68" t="n"/>
      <c r="G652" s="68">
        <f>IF(B652="","",F652-I652 )</f>
        <v/>
      </c>
      <c r="H652" s="5">
        <f>IF(G652="","",G652/F652)</f>
        <v/>
      </c>
      <c r="J652" s="65" t="n"/>
      <c r="K652" s="65" t="n"/>
      <c r="L652" s="65" t="n"/>
      <c r="M652" s="65" t="n"/>
      <c r="N652" s="65" t="n"/>
      <c r="O652" s="65" t="n"/>
      <c r="P652" s="65" t="n"/>
      <c r="Q652" s="65" t="n"/>
      <c r="R652" s="65" t="n"/>
      <c r="S652" s="65" t="n"/>
      <c r="T652" s="65" t="n"/>
      <c r="U652" s="65" t="n"/>
      <c r="V652" s="77" t="n"/>
      <c r="W652" s="65" t="n"/>
      <c r="X652" s="65" t="n"/>
      <c r="Y652" s="65" t="n"/>
      <c r="Z652" s="65" t="n"/>
      <c r="AA652" s="65" t="n"/>
      <c r="AB652" s="65" t="n"/>
      <c r="AC652" s="65" t="n"/>
      <c r="AD652" s="65" t="n"/>
      <c r="AE652" s="65" t="n"/>
      <c r="AF652" s="65" t="n"/>
      <c r="AG652" s="65" t="n"/>
      <c r="AH652" s="65" t="n"/>
      <c r="AI652" s="65" t="n"/>
      <c r="AJ652" s="65" t="n"/>
      <c r="AK652" s="65" t="n"/>
      <c r="AL652" s="65" t="n"/>
      <c r="AM652" s="65" t="n"/>
      <c r="AN652" s="65" t="n"/>
      <c r="AO652" s="65" t="n"/>
      <c r="AP652" s="65" t="n"/>
    </row>
    <row r="653">
      <c r="F653" s="68" t="n"/>
      <c r="G653" s="68">
        <f>IF(B653="","",F653-I653 )</f>
        <v/>
      </c>
      <c r="H653" s="5">
        <f>IF(G653="","",G653/F653)</f>
        <v/>
      </c>
      <c r="J653" s="65" t="n"/>
      <c r="K653" s="65" t="n"/>
      <c r="L653" s="65" t="n"/>
      <c r="M653" s="65" t="n"/>
      <c r="N653" s="65" t="n"/>
      <c r="O653" s="65" t="n"/>
      <c r="P653" s="65" t="n"/>
      <c r="Q653" s="65" t="n"/>
      <c r="R653" s="65" t="n"/>
      <c r="S653" s="65" t="n"/>
      <c r="T653" s="65" t="n"/>
      <c r="U653" s="65" t="n"/>
      <c r="V653" s="77" t="n"/>
      <c r="W653" s="65" t="n"/>
      <c r="X653" s="65" t="n"/>
      <c r="Y653" s="65" t="n"/>
      <c r="Z653" s="65" t="n"/>
      <c r="AA653" s="65" t="n"/>
      <c r="AB653" s="65" t="n"/>
      <c r="AC653" s="65" t="n"/>
      <c r="AD653" s="65" t="n"/>
      <c r="AE653" s="65" t="n"/>
      <c r="AF653" s="65" t="n"/>
      <c r="AG653" s="65" t="n"/>
      <c r="AH653" s="65" t="n"/>
      <c r="AI653" s="65" t="n"/>
      <c r="AJ653" s="65" t="n"/>
      <c r="AK653" s="65" t="n"/>
      <c r="AL653" s="65" t="n"/>
      <c r="AM653" s="65" t="n"/>
      <c r="AN653" s="65" t="n"/>
      <c r="AO653" s="65" t="n"/>
      <c r="AP653" s="65" t="n"/>
    </row>
    <row r="654">
      <c r="F654" s="68" t="n"/>
      <c r="G654" s="68">
        <f>IF(B654="","",F654-I654 )</f>
        <v/>
      </c>
      <c r="H654" s="5">
        <f>IF(G654="","",G654/F654)</f>
        <v/>
      </c>
      <c r="J654" s="65" t="n"/>
      <c r="K654" s="65" t="n"/>
      <c r="L654" s="65" t="n"/>
      <c r="M654" s="65" t="n"/>
      <c r="N654" s="65" t="n"/>
      <c r="O654" s="65" t="n"/>
      <c r="P654" s="65" t="n"/>
      <c r="Q654" s="65" t="n"/>
      <c r="R654" s="65" t="n"/>
      <c r="S654" s="65" t="n"/>
      <c r="T654" s="65" t="n"/>
      <c r="U654" s="65" t="n"/>
      <c r="V654" s="77" t="n"/>
      <c r="W654" s="65" t="n"/>
      <c r="X654" s="65" t="n"/>
      <c r="Y654" s="65" t="n"/>
      <c r="Z654" s="65" t="n"/>
      <c r="AA654" s="65" t="n"/>
      <c r="AB654" s="65" t="n"/>
      <c r="AC654" s="65" t="n"/>
      <c r="AD654" s="65" t="n"/>
      <c r="AE654" s="65" t="n"/>
      <c r="AF654" s="65" t="n"/>
      <c r="AG654" s="65" t="n"/>
      <c r="AH654" s="65" t="n"/>
      <c r="AI654" s="65" t="n"/>
      <c r="AJ654" s="65" t="n"/>
      <c r="AK654" s="65" t="n"/>
      <c r="AL654" s="65" t="n"/>
      <c r="AM654" s="65" t="n"/>
      <c r="AN654" s="65" t="n"/>
      <c r="AO654" s="65" t="n"/>
      <c r="AP654" s="65" t="n"/>
    </row>
    <row r="655">
      <c r="F655" s="68" t="n"/>
      <c r="G655" s="68">
        <f>IF(B655="","",F655-I655 )</f>
        <v/>
      </c>
      <c r="H655" s="5">
        <f>IF(G655="","",G655/F655)</f>
        <v/>
      </c>
      <c r="J655" s="65" t="n"/>
      <c r="K655" s="65" t="n"/>
      <c r="L655" s="65" t="n"/>
      <c r="M655" s="65" t="n"/>
      <c r="N655" s="65" t="n"/>
      <c r="O655" s="65" t="n"/>
      <c r="P655" s="65" t="n"/>
      <c r="Q655" s="65" t="n"/>
      <c r="R655" s="65" t="n"/>
      <c r="S655" s="65" t="n"/>
      <c r="T655" s="65" t="n"/>
      <c r="U655" s="65" t="n"/>
      <c r="V655" s="77" t="n"/>
      <c r="W655" s="65" t="n"/>
      <c r="X655" s="65" t="n"/>
      <c r="Y655" s="65" t="n"/>
      <c r="Z655" s="65" t="n"/>
      <c r="AA655" s="65" t="n"/>
      <c r="AB655" s="65" t="n"/>
      <c r="AC655" s="65" t="n"/>
      <c r="AD655" s="65" t="n"/>
      <c r="AE655" s="65" t="n"/>
      <c r="AF655" s="65" t="n"/>
      <c r="AG655" s="65" t="n"/>
      <c r="AH655" s="65" t="n"/>
      <c r="AI655" s="65" t="n"/>
      <c r="AJ655" s="65" t="n"/>
      <c r="AK655" s="65" t="n"/>
      <c r="AL655" s="65" t="n"/>
      <c r="AM655" s="65" t="n"/>
      <c r="AN655" s="65" t="n"/>
      <c r="AO655" s="65" t="n"/>
      <c r="AP655" s="65" t="n"/>
    </row>
    <row r="656">
      <c r="F656" s="68" t="n"/>
      <c r="G656" s="68">
        <f>IF(B656="","",F656-I656 )</f>
        <v/>
      </c>
      <c r="H656" s="5">
        <f>IF(G656="","",G656/F656)</f>
        <v/>
      </c>
      <c r="J656" s="65" t="n"/>
      <c r="K656" s="65" t="n"/>
      <c r="L656" s="65" t="n"/>
      <c r="M656" s="65" t="n"/>
      <c r="N656" s="65" t="n"/>
      <c r="O656" s="65" t="n"/>
      <c r="P656" s="65" t="n"/>
      <c r="Q656" s="65" t="n"/>
      <c r="R656" s="65" t="n"/>
      <c r="S656" s="65" t="n"/>
      <c r="T656" s="65" t="n"/>
      <c r="U656" s="65" t="n"/>
      <c r="V656" s="77" t="n"/>
      <c r="W656" s="65" t="n"/>
      <c r="X656" s="65" t="n"/>
      <c r="Y656" s="65" t="n"/>
      <c r="Z656" s="65" t="n"/>
      <c r="AA656" s="65" t="n"/>
      <c r="AB656" s="65" t="n"/>
      <c r="AC656" s="65" t="n"/>
      <c r="AD656" s="65" t="n"/>
      <c r="AE656" s="65" t="n"/>
      <c r="AF656" s="65" t="n"/>
      <c r="AG656" s="65" t="n"/>
      <c r="AH656" s="65" t="n"/>
      <c r="AI656" s="65" t="n"/>
      <c r="AJ656" s="65" t="n"/>
      <c r="AK656" s="65" t="n"/>
      <c r="AL656" s="65" t="n"/>
      <c r="AM656" s="65" t="n"/>
      <c r="AN656" s="65" t="n"/>
      <c r="AO656" s="65" t="n"/>
      <c r="AP656" s="65" t="n"/>
    </row>
    <row r="657">
      <c r="F657" s="68" t="n"/>
      <c r="G657" s="68">
        <f>IF(B657="","",F657-I657 )</f>
        <v/>
      </c>
      <c r="H657" s="5">
        <f>IF(G657="","",G657/F657)</f>
        <v/>
      </c>
      <c r="J657" s="65" t="n"/>
      <c r="K657" s="65" t="n"/>
      <c r="L657" s="65" t="n"/>
      <c r="M657" s="65" t="n"/>
      <c r="N657" s="65" t="n"/>
      <c r="O657" s="65" t="n"/>
      <c r="P657" s="65" t="n"/>
      <c r="Q657" s="65" t="n"/>
      <c r="R657" s="65" t="n"/>
      <c r="S657" s="65" t="n"/>
      <c r="T657" s="65" t="n"/>
      <c r="U657" s="65" t="n"/>
      <c r="V657" s="77" t="n"/>
      <c r="W657" s="65" t="n"/>
      <c r="X657" s="65" t="n"/>
      <c r="Y657" s="65" t="n"/>
      <c r="Z657" s="65" t="n"/>
      <c r="AA657" s="65" t="n"/>
      <c r="AB657" s="65" t="n"/>
      <c r="AC657" s="65" t="n"/>
      <c r="AD657" s="65" t="n"/>
      <c r="AE657" s="65" t="n"/>
      <c r="AF657" s="65" t="n"/>
      <c r="AG657" s="65" t="n"/>
      <c r="AH657" s="65" t="n"/>
      <c r="AI657" s="65" t="n"/>
      <c r="AJ657" s="65" t="n"/>
      <c r="AK657" s="65" t="n"/>
      <c r="AL657" s="65" t="n"/>
      <c r="AM657" s="65" t="n"/>
      <c r="AN657" s="65" t="n"/>
      <c r="AO657" s="65" t="n"/>
      <c r="AP657" s="65" t="n"/>
    </row>
    <row r="658">
      <c r="F658" s="68" t="n"/>
      <c r="G658" s="68">
        <f>IF(B658="","",F658-I658 )</f>
        <v/>
      </c>
      <c r="H658" s="5">
        <f>IF(G658="","",G658/F658)</f>
        <v/>
      </c>
      <c r="J658" s="65" t="n"/>
      <c r="K658" s="65" t="n"/>
      <c r="L658" s="65" t="n"/>
      <c r="M658" s="65" t="n"/>
      <c r="N658" s="65" t="n"/>
      <c r="O658" s="65" t="n"/>
      <c r="P658" s="65" t="n"/>
      <c r="Q658" s="65" t="n"/>
      <c r="R658" s="65" t="n"/>
      <c r="S658" s="65" t="n"/>
      <c r="T658" s="65" t="n"/>
      <c r="U658" s="65" t="n"/>
      <c r="V658" s="77" t="n"/>
      <c r="W658" s="65" t="n"/>
      <c r="X658" s="65" t="n"/>
      <c r="Y658" s="65" t="n"/>
      <c r="Z658" s="65" t="n"/>
      <c r="AA658" s="65" t="n"/>
      <c r="AB658" s="65" t="n"/>
      <c r="AC658" s="65" t="n"/>
      <c r="AD658" s="65" t="n"/>
      <c r="AE658" s="65" t="n"/>
      <c r="AF658" s="65" t="n"/>
      <c r="AG658" s="65" t="n"/>
      <c r="AH658" s="65" t="n"/>
      <c r="AI658" s="65" t="n"/>
      <c r="AJ658" s="65" t="n"/>
      <c r="AK658" s="65" t="n"/>
      <c r="AL658" s="65" t="n"/>
      <c r="AM658" s="65" t="n"/>
      <c r="AN658" s="65" t="n"/>
      <c r="AO658" s="65" t="n"/>
      <c r="AP658" s="65" t="n"/>
    </row>
    <row r="659">
      <c r="F659" s="68" t="n"/>
      <c r="G659" s="68">
        <f>IF(B659="","",F659-I659 )</f>
        <v/>
      </c>
      <c r="H659" s="5">
        <f>IF(G659="","",G659/F659)</f>
        <v/>
      </c>
      <c r="J659" s="65" t="n"/>
      <c r="K659" s="65" t="n"/>
      <c r="L659" s="65" t="n"/>
      <c r="M659" s="65" t="n"/>
      <c r="N659" s="65" t="n"/>
      <c r="O659" s="65" t="n"/>
      <c r="P659" s="65" t="n"/>
      <c r="Q659" s="65" t="n"/>
      <c r="R659" s="65" t="n"/>
      <c r="S659" s="65" t="n"/>
      <c r="T659" s="65" t="n"/>
      <c r="U659" s="65" t="n"/>
      <c r="V659" s="77" t="n"/>
      <c r="W659" s="65" t="n"/>
      <c r="X659" s="65" t="n"/>
      <c r="Y659" s="65" t="n"/>
      <c r="Z659" s="65" t="n"/>
      <c r="AA659" s="65" t="n"/>
      <c r="AB659" s="65" t="n"/>
      <c r="AC659" s="65" t="n"/>
      <c r="AD659" s="65" t="n"/>
      <c r="AE659" s="65" t="n"/>
      <c r="AF659" s="65" t="n"/>
      <c r="AG659" s="65" t="n"/>
      <c r="AH659" s="65" t="n"/>
      <c r="AI659" s="65" t="n"/>
      <c r="AJ659" s="65" t="n"/>
      <c r="AK659" s="65" t="n"/>
      <c r="AL659" s="65" t="n"/>
      <c r="AM659" s="65" t="n"/>
      <c r="AN659" s="65" t="n"/>
      <c r="AO659" s="65" t="n"/>
      <c r="AP659" s="65" t="n"/>
    </row>
    <row r="660">
      <c r="F660" s="68" t="n"/>
      <c r="G660" s="68">
        <f>IF(B660="","",F660-I660 )</f>
        <v/>
      </c>
      <c r="H660" s="5">
        <f>IF(G660="","",G660/F660)</f>
        <v/>
      </c>
      <c r="J660" s="65" t="n"/>
      <c r="K660" s="65" t="n"/>
      <c r="L660" s="65" t="n"/>
      <c r="M660" s="65" t="n"/>
      <c r="N660" s="65" t="n"/>
      <c r="O660" s="65" t="n"/>
      <c r="P660" s="65" t="n"/>
      <c r="Q660" s="65" t="n"/>
      <c r="R660" s="65" t="n"/>
      <c r="S660" s="65" t="n"/>
      <c r="T660" s="65" t="n"/>
      <c r="U660" s="65" t="n"/>
      <c r="V660" s="77" t="n"/>
      <c r="W660" s="65" t="n"/>
      <c r="X660" s="65" t="n"/>
      <c r="Y660" s="65" t="n"/>
      <c r="Z660" s="65" t="n"/>
      <c r="AA660" s="65" t="n"/>
      <c r="AB660" s="65" t="n"/>
      <c r="AC660" s="65" t="n"/>
      <c r="AD660" s="65" t="n"/>
      <c r="AE660" s="65" t="n"/>
      <c r="AF660" s="65" t="n"/>
      <c r="AG660" s="65" t="n"/>
      <c r="AH660" s="65" t="n"/>
      <c r="AI660" s="65" t="n"/>
      <c r="AJ660" s="65" t="n"/>
      <c r="AK660" s="65" t="n"/>
      <c r="AL660" s="65" t="n"/>
      <c r="AM660" s="65" t="n"/>
      <c r="AN660" s="65" t="n"/>
      <c r="AO660" s="65" t="n"/>
      <c r="AP660" s="65" t="n"/>
    </row>
    <row r="661">
      <c r="F661" s="68" t="n"/>
      <c r="G661" s="68">
        <f>IF(B661="","",F661-I661 )</f>
        <v/>
      </c>
      <c r="H661" s="5">
        <f>IF(G661="","",G661/F661)</f>
        <v/>
      </c>
      <c r="J661" s="65" t="n"/>
      <c r="K661" s="65" t="n"/>
      <c r="L661" s="65" t="n"/>
      <c r="M661" s="65" t="n"/>
      <c r="N661" s="65" t="n"/>
      <c r="O661" s="65" t="n"/>
      <c r="P661" s="65" t="n"/>
      <c r="Q661" s="65" t="n"/>
      <c r="R661" s="65" t="n"/>
      <c r="S661" s="65" t="n"/>
      <c r="T661" s="65" t="n"/>
      <c r="U661" s="65" t="n"/>
      <c r="V661" s="77" t="n"/>
      <c r="W661" s="65" t="n"/>
      <c r="X661" s="65" t="n"/>
      <c r="Y661" s="65" t="n"/>
      <c r="Z661" s="65" t="n"/>
      <c r="AA661" s="65" t="n"/>
      <c r="AB661" s="65" t="n"/>
      <c r="AC661" s="65" t="n"/>
      <c r="AD661" s="65" t="n"/>
      <c r="AE661" s="65" t="n"/>
      <c r="AF661" s="65" t="n"/>
      <c r="AG661" s="65" t="n"/>
      <c r="AH661" s="65" t="n"/>
      <c r="AI661" s="65" t="n"/>
      <c r="AJ661" s="65" t="n"/>
      <c r="AK661" s="65" t="n"/>
      <c r="AL661" s="65" t="n"/>
      <c r="AM661" s="65" t="n"/>
      <c r="AN661" s="65" t="n"/>
      <c r="AO661" s="65" t="n"/>
      <c r="AP661" s="65" t="n"/>
    </row>
    <row r="662">
      <c r="F662" s="68" t="n"/>
      <c r="G662" s="68">
        <f>IF(B662="","",F662-I662 )</f>
        <v/>
      </c>
      <c r="H662" s="5">
        <f>IF(G662="","",G662/F662)</f>
        <v/>
      </c>
      <c r="J662" s="65" t="n"/>
      <c r="K662" s="65" t="n"/>
      <c r="L662" s="65" t="n"/>
      <c r="M662" s="65" t="n"/>
      <c r="N662" s="65" t="n"/>
      <c r="O662" s="65" t="n"/>
      <c r="P662" s="65" t="n"/>
      <c r="Q662" s="65" t="n"/>
      <c r="R662" s="65" t="n"/>
      <c r="S662" s="65" t="n"/>
      <c r="T662" s="65" t="n"/>
      <c r="U662" s="65" t="n"/>
      <c r="V662" s="77" t="n"/>
      <c r="W662" s="65" t="n"/>
      <c r="X662" s="65" t="n"/>
      <c r="Y662" s="65" t="n"/>
      <c r="Z662" s="65" t="n"/>
      <c r="AA662" s="65" t="n"/>
      <c r="AB662" s="65" t="n"/>
      <c r="AC662" s="65" t="n"/>
      <c r="AD662" s="65" t="n"/>
      <c r="AE662" s="65" t="n"/>
      <c r="AF662" s="65" t="n"/>
      <c r="AG662" s="65" t="n"/>
      <c r="AH662" s="65" t="n"/>
      <c r="AI662" s="65" t="n"/>
      <c r="AJ662" s="65" t="n"/>
      <c r="AK662" s="65" t="n"/>
      <c r="AL662" s="65" t="n"/>
      <c r="AM662" s="65" t="n"/>
      <c r="AN662" s="65" t="n"/>
      <c r="AO662" s="65" t="n"/>
      <c r="AP662" s="65" t="n"/>
    </row>
    <row r="663">
      <c r="F663" s="68" t="n"/>
      <c r="G663" s="68">
        <f>IF(B663="","",F663-I663 )</f>
        <v/>
      </c>
      <c r="H663" s="5">
        <f>IF(G663="","",G663/F663)</f>
        <v/>
      </c>
      <c r="J663" s="65" t="n"/>
      <c r="K663" s="65" t="n"/>
      <c r="L663" s="65" t="n"/>
      <c r="M663" s="65" t="n"/>
      <c r="N663" s="65" t="n"/>
      <c r="O663" s="65" t="n"/>
      <c r="P663" s="65" t="n"/>
      <c r="Q663" s="65" t="n"/>
      <c r="R663" s="65" t="n"/>
      <c r="S663" s="65" t="n"/>
      <c r="T663" s="65" t="n"/>
      <c r="U663" s="65" t="n"/>
      <c r="V663" s="77" t="n"/>
      <c r="W663" s="65" t="n"/>
      <c r="X663" s="65" t="n"/>
      <c r="Y663" s="65" t="n"/>
      <c r="Z663" s="65" t="n"/>
      <c r="AA663" s="65" t="n"/>
      <c r="AB663" s="65" t="n"/>
      <c r="AC663" s="65" t="n"/>
      <c r="AD663" s="65" t="n"/>
      <c r="AE663" s="65" t="n"/>
      <c r="AF663" s="65" t="n"/>
      <c r="AG663" s="65" t="n"/>
      <c r="AH663" s="65" t="n"/>
      <c r="AI663" s="65" t="n"/>
      <c r="AJ663" s="65" t="n"/>
      <c r="AK663" s="65" t="n"/>
      <c r="AL663" s="65" t="n"/>
      <c r="AM663" s="65" t="n"/>
      <c r="AN663" s="65" t="n"/>
      <c r="AO663" s="65" t="n"/>
      <c r="AP663" s="65" t="n"/>
    </row>
    <row r="664">
      <c r="F664" s="68" t="n"/>
      <c r="G664" s="68">
        <f>IF(B664="","",F664-I664 )</f>
        <v/>
      </c>
      <c r="H664" s="5">
        <f>IF(G664="","",G664/F664)</f>
        <v/>
      </c>
      <c r="J664" s="65" t="n"/>
      <c r="K664" s="65" t="n"/>
      <c r="L664" s="65" t="n"/>
      <c r="M664" s="65" t="n"/>
      <c r="N664" s="65" t="n"/>
      <c r="O664" s="65" t="n"/>
      <c r="P664" s="65" t="n"/>
      <c r="Q664" s="65" t="n"/>
      <c r="R664" s="65" t="n"/>
      <c r="S664" s="65" t="n"/>
      <c r="T664" s="65" t="n"/>
      <c r="U664" s="65" t="n"/>
      <c r="V664" s="77" t="n"/>
      <c r="W664" s="65" t="n"/>
      <c r="X664" s="65" t="n"/>
      <c r="Y664" s="65" t="n"/>
      <c r="Z664" s="65" t="n"/>
      <c r="AA664" s="65" t="n"/>
      <c r="AB664" s="65" t="n"/>
      <c r="AC664" s="65" t="n"/>
      <c r="AD664" s="65" t="n"/>
      <c r="AE664" s="65" t="n"/>
      <c r="AF664" s="65" t="n"/>
      <c r="AG664" s="65" t="n"/>
      <c r="AH664" s="65" t="n"/>
      <c r="AI664" s="65" t="n"/>
      <c r="AJ664" s="65" t="n"/>
      <c r="AK664" s="65" t="n"/>
      <c r="AL664" s="65" t="n"/>
      <c r="AM664" s="65" t="n"/>
      <c r="AN664" s="65" t="n"/>
      <c r="AO664" s="65" t="n"/>
      <c r="AP664" s="65" t="n"/>
    </row>
    <row r="665">
      <c r="F665" s="68" t="n"/>
      <c r="G665" s="68">
        <f>IF(B665="","",F665-I665 )</f>
        <v/>
      </c>
      <c r="H665" s="5">
        <f>IF(G665="","",G665/F665)</f>
        <v/>
      </c>
      <c r="J665" s="65" t="n"/>
      <c r="K665" s="65" t="n"/>
      <c r="L665" s="65" t="n"/>
      <c r="M665" s="65" t="n"/>
      <c r="N665" s="65" t="n"/>
      <c r="O665" s="65" t="n"/>
      <c r="P665" s="65" t="n"/>
      <c r="Q665" s="65" t="n"/>
      <c r="R665" s="65" t="n"/>
      <c r="S665" s="65" t="n"/>
      <c r="T665" s="65" t="n"/>
      <c r="U665" s="65" t="n"/>
      <c r="V665" s="77" t="n"/>
      <c r="W665" s="65" t="n"/>
      <c r="X665" s="65" t="n"/>
      <c r="Y665" s="65" t="n"/>
      <c r="Z665" s="65" t="n"/>
      <c r="AA665" s="65" t="n"/>
      <c r="AB665" s="65" t="n"/>
      <c r="AC665" s="65" t="n"/>
      <c r="AD665" s="65" t="n"/>
      <c r="AE665" s="65" t="n"/>
      <c r="AF665" s="65" t="n"/>
      <c r="AG665" s="65" t="n"/>
      <c r="AH665" s="65" t="n"/>
      <c r="AI665" s="65" t="n"/>
      <c r="AJ665" s="65" t="n"/>
      <c r="AK665" s="65" t="n"/>
      <c r="AL665" s="65" t="n"/>
      <c r="AM665" s="65" t="n"/>
      <c r="AN665" s="65" t="n"/>
      <c r="AO665" s="65" t="n"/>
      <c r="AP665" s="65" t="n"/>
    </row>
    <row r="666">
      <c r="F666" s="68" t="n"/>
      <c r="G666" s="68">
        <f>IF(B666="","",F666-I666 )</f>
        <v/>
      </c>
      <c r="H666" s="5">
        <f>IF(G666="","",G666/F666)</f>
        <v/>
      </c>
      <c r="J666" s="65" t="n"/>
      <c r="K666" s="65" t="n"/>
      <c r="L666" s="65" t="n"/>
      <c r="M666" s="65" t="n"/>
      <c r="N666" s="65" t="n"/>
      <c r="O666" s="65" t="n"/>
      <c r="P666" s="65" t="n"/>
      <c r="Q666" s="65" t="n"/>
      <c r="R666" s="65" t="n"/>
      <c r="S666" s="65" t="n"/>
      <c r="T666" s="65" t="n"/>
      <c r="U666" s="65" t="n"/>
      <c r="V666" s="77" t="n"/>
      <c r="W666" s="65" t="n"/>
      <c r="X666" s="65" t="n"/>
      <c r="Y666" s="65" t="n"/>
      <c r="Z666" s="65" t="n"/>
      <c r="AA666" s="65" t="n"/>
      <c r="AB666" s="65" t="n"/>
      <c r="AC666" s="65" t="n"/>
      <c r="AD666" s="65" t="n"/>
      <c r="AE666" s="65" t="n"/>
      <c r="AF666" s="65" t="n"/>
      <c r="AG666" s="65" t="n"/>
      <c r="AH666" s="65" t="n"/>
      <c r="AI666" s="65" t="n"/>
      <c r="AJ666" s="65" t="n"/>
      <c r="AK666" s="65" t="n"/>
      <c r="AL666" s="65" t="n"/>
      <c r="AM666" s="65" t="n"/>
      <c r="AN666" s="65" t="n"/>
      <c r="AO666" s="65" t="n"/>
      <c r="AP666" s="65" t="n"/>
    </row>
    <row r="667">
      <c r="F667" s="68" t="n"/>
      <c r="G667" s="68">
        <f>IF(B667="","",F667-I667 )</f>
        <v/>
      </c>
      <c r="H667" s="5">
        <f>IF(G667="","",G667/F667)</f>
        <v/>
      </c>
      <c r="J667" s="65" t="n"/>
      <c r="K667" s="65" t="n"/>
      <c r="L667" s="65" t="n"/>
      <c r="M667" s="65" t="n"/>
      <c r="N667" s="65" t="n"/>
      <c r="O667" s="65" t="n"/>
      <c r="P667" s="65" t="n"/>
      <c r="Q667" s="65" t="n"/>
      <c r="R667" s="65" t="n"/>
      <c r="S667" s="65" t="n"/>
      <c r="T667" s="65" t="n"/>
      <c r="U667" s="65" t="n"/>
      <c r="V667" s="77" t="n"/>
      <c r="W667" s="65" t="n"/>
      <c r="X667" s="65" t="n"/>
      <c r="Y667" s="65" t="n"/>
      <c r="Z667" s="65" t="n"/>
      <c r="AA667" s="65" t="n"/>
      <c r="AB667" s="65" t="n"/>
      <c r="AC667" s="65" t="n"/>
      <c r="AD667" s="65" t="n"/>
      <c r="AE667" s="65" t="n"/>
      <c r="AF667" s="65" t="n"/>
      <c r="AG667" s="65" t="n"/>
      <c r="AH667" s="65" t="n"/>
      <c r="AI667" s="65" t="n"/>
      <c r="AJ667" s="65" t="n"/>
      <c r="AK667" s="65" t="n"/>
      <c r="AL667" s="65" t="n"/>
      <c r="AM667" s="65" t="n"/>
      <c r="AN667" s="65" t="n"/>
      <c r="AO667" s="65" t="n"/>
      <c r="AP667" s="65" t="n"/>
    </row>
    <row r="668">
      <c r="F668" s="68" t="n"/>
      <c r="G668" s="68">
        <f>IF(B668="","",F668-I668 )</f>
        <v/>
      </c>
      <c r="H668" s="5">
        <f>IF(G668="","",G668/F668)</f>
        <v/>
      </c>
      <c r="J668" s="65" t="n"/>
      <c r="K668" s="65" t="n"/>
      <c r="L668" s="65" t="n"/>
      <c r="M668" s="65" t="n"/>
      <c r="N668" s="65" t="n"/>
      <c r="O668" s="65" t="n"/>
      <c r="P668" s="65" t="n"/>
      <c r="Q668" s="65" t="n"/>
      <c r="R668" s="65" t="n"/>
      <c r="S668" s="65" t="n"/>
      <c r="T668" s="65" t="n"/>
      <c r="U668" s="65" t="n"/>
      <c r="V668" s="77" t="n"/>
      <c r="W668" s="65" t="n"/>
      <c r="X668" s="65" t="n"/>
      <c r="Y668" s="65" t="n"/>
      <c r="Z668" s="65" t="n"/>
      <c r="AA668" s="65" t="n"/>
      <c r="AB668" s="65" t="n"/>
      <c r="AC668" s="65" t="n"/>
      <c r="AD668" s="65" t="n"/>
      <c r="AE668" s="65" t="n"/>
      <c r="AF668" s="65" t="n"/>
      <c r="AG668" s="65" t="n"/>
      <c r="AH668" s="65" t="n"/>
      <c r="AI668" s="65" t="n"/>
      <c r="AJ668" s="65" t="n"/>
      <c r="AK668" s="65" t="n"/>
      <c r="AL668" s="65" t="n"/>
      <c r="AM668" s="65" t="n"/>
      <c r="AN668" s="65" t="n"/>
      <c r="AO668" s="65" t="n"/>
      <c r="AP668" s="65" t="n"/>
    </row>
    <row r="669">
      <c r="F669" s="68" t="n"/>
      <c r="G669" s="68">
        <f>IF(B669="","",F669-I669 )</f>
        <v/>
      </c>
      <c r="H669" s="5">
        <f>IF(G669="","",G669/F669)</f>
        <v/>
      </c>
      <c r="J669" s="65" t="n"/>
      <c r="K669" s="65" t="n"/>
      <c r="L669" s="65" t="n"/>
      <c r="M669" s="65" t="n"/>
      <c r="N669" s="65" t="n"/>
      <c r="O669" s="65" t="n"/>
      <c r="P669" s="65" t="n"/>
      <c r="Q669" s="65" t="n"/>
      <c r="R669" s="65" t="n"/>
      <c r="S669" s="65" t="n"/>
      <c r="T669" s="65" t="n"/>
      <c r="U669" s="65" t="n"/>
      <c r="V669" s="77" t="n"/>
      <c r="W669" s="65" t="n"/>
      <c r="X669" s="65" t="n"/>
      <c r="Y669" s="65" t="n"/>
      <c r="Z669" s="65" t="n"/>
      <c r="AA669" s="65" t="n"/>
      <c r="AB669" s="65" t="n"/>
      <c r="AC669" s="65" t="n"/>
      <c r="AD669" s="65" t="n"/>
      <c r="AE669" s="65" t="n"/>
      <c r="AF669" s="65" t="n"/>
      <c r="AG669" s="65" t="n"/>
      <c r="AH669" s="65" t="n"/>
      <c r="AI669" s="65" t="n"/>
      <c r="AJ669" s="65" t="n"/>
      <c r="AK669" s="65" t="n"/>
      <c r="AL669" s="65" t="n"/>
      <c r="AM669" s="65" t="n"/>
      <c r="AN669" s="65" t="n"/>
      <c r="AO669" s="65" t="n"/>
      <c r="AP669" s="65" t="n"/>
    </row>
    <row r="670">
      <c r="F670" s="68" t="n"/>
      <c r="G670" s="68">
        <f>IF(B670="","",F670-I670 )</f>
        <v/>
      </c>
      <c r="H670" s="5">
        <f>IF(G670="","",G670/F670)</f>
        <v/>
      </c>
      <c r="J670" s="65" t="n"/>
      <c r="K670" s="65" t="n"/>
      <c r="L670" s="65" t="n"/>
      <c r="M670" s="65" t="n"/>
      <c r="N670" s="65" t="n"/>
      <c r="O670" s="65" t="n"/>
      <c r="P670" s="65" t="n"/>
      <c r="Q670" s="65" t="n"/>
      <c r="R670" s="65" t="n"/>
      <c r="S670" s="65" t="n"/>
      <c r="T670" s="65" t="n"/>
      <c r="U670" s="65" t="n"/>
      <c r="V670" s="77" t="n"/>
      <c r="W670" s="65" t="n"/>
      <c r="X670" s="65" t="n"/>
      <c r="Y670" s="65" t="n"/>
      <c r="Z670" s="65" t="n"/>
      <c r="AA670" s="65" t="n"/>
      <c r="AB670" s="65" t="n"/>
      <c r="AC670" s="65" t="n"/>
      <c r="AD670" s="65" t="n"/>
      <c r="AE670" s="65" t="n"/>
      <c r="AF670" s="65" t="n"/>
      <c r="AG670" s="65" t="n"/>
      <c r="AH670" s="65" t="n"/>
      <c r="AI670" s="65" t="n"/>
      <c r="AJ670" s="65" t="n"/>
      <c r="AK670" s="65" t="n"/>
      <c r="AL670" s="65" t="n"/>
      <c r="AM670" s="65" t="n"/>
      <c r="AN670" s="65" t="n"/>
      <c r="AO670" s="65" t="n"/>
      <c r="AP670" s="65" t="n"/>
    </row>
    <row r="671">
      <c r="F671" s="68" t="n"/>
      <c r="G671" s="68">
        <f>IF(B671="","",F671-I671 )</f>
        <v/>
      </c>
      <c r="H671" s="5">
        <f>IF(G671="","",G671/F671)</f>
        <v/>
      </c>
      <c r="J671" s="65" t="n"/>
      <c r="K671" s="65" t="n"/>
      <c r="L671" s="65" t="n"/>
      <c r="M671" s="65" t="n"/>
      <c r="N671" s="65" t="n"/>
      <c r="O671" s="65" t="n"/>
      <c r="P671" s="65" t="n"/>
      <c r="Q671" s="65" t="n"/>
      <c r="R671" s="65" t="n"/>
      <c r="S671" s="65" t="n"/>
      <c r="T671" s="65" t="n"/>
      <c r="U671" s="65" t="n"/>
      <c r="V671" s="77" t="n"/>
      <c r="W671" s="65" t="n"/>
      <c r="X671" s="65" t="n"/>
      <c r="Y671" s="65" t="n"/>
      <c r="Z671" s="65" t="n"/>
      <c r="AA671" s="65" t="n"/>
      <c r="AB671" s="65" t="n"/>
      <c r="AC671" s="65" t="n"/>
      <c r="AD671" s="65" t="n"/>
      <c r="AE671" s="65" t="n"/>
      <c r="AF671" s="65" t="n"/>
      <c r="AG671" s="65" t="n"/>
      <c r="AH671" s="65" t="n"/>
      <c r="AI671" s="65" t="n"/>
      <c r="AJ671" s="65" t="n"/>
      <c r="AK671" s="65" t="n"/>
      <c r="AL671" s="65" t="n"/>
      <c r="AM671" s="65" t="n"/>
      <c r="AN671" s="65" t="n"/>
      <c r="AO671" s="65" t="n"/>
      <c r="AP671" s="65" t="n"/>
    </row>
    <row r="672">
      <c r="F672" s="68" t="n"/>
      <c r="G672" s="68">
        <f>IF(B672="","",F672-I672 )</f>
        <v/>
      </c>
      <c r="H672" s="5">
        <f>IF(G672="","",G672/F672)</f>
        <v/>
      </c>
      <c r="J672" s="65" t="n"/>
      <c r="K672" s="65" t="n"/>
      <c r="L672" s="65" t="n"/>
      <c r="M672" s="65" t="n"/>
      <c r="N672" s="65" t="n"/>
      <c r="O672" s="65" t="n"/>
      <c r="P672" s="65" t="n"/>
      <c r="Q672" s="65" t="n"/>
      <c r="R672" s="65" t="n"/>
      <c r="S672" s="65" t="n"/>
      <c r="T672" s="65" t="n"/>
      <c r="U672" s="65" t="n"/>
      <c r="V672" s="77" t="n"/>
      <c r="W672" s="65" t="n"/>
      <c r="X672" s="65" t="n"/>
      <c r="Y672" s="65" t="n"/>
      <c r="Z672" s="65" t="n"/>
      <c r="AA672" s="65" t="n"/>
      <c r="AB672" s="65" t="n"/>
      <c r="AC672" s="65" t="n"/>
      <c r="AD672" s="65" t="n"/>
      <c r="AE672" s="65" t="n"/>
      <c r="AF672" s="65" t="n"/>
      <c r="AG672" s="65" t="n"/>
      <c r="AH672" s="65" t="n"/>
      <c r="AI672" s="65" t="n"/>
      <c r="AJ672" s="65" t="n"/>
      <c r="AK672" s="65" t="n"/>
      <c r="AL672" s="65" t="n"/>
      <c r="AM672" s="65" t="n"/>
      <c r="AN672" s="65" t="n"/>
      <c r="AO672" s="65" t="n"/>
      <c r="AP672" s="65" t="n"/>
    </row>
    <row r="673">
      <c r="F673" s="68" t="n"/>
      <c r="G673" s="68">
        <f>IF(B673="","",F673-I673 )</f>
        <v/>
      </c>
      <c r="H673" s="5">
        <f>IF(G673="","",G673/F673)</f>
        <v/>
      </c>
      <c r="J673" s="65" t="n"/>
      <c r="K673" s="65" t="n"/>
      <c r="L673" s="65" t="n"/>
      <c r="M673" s="65" t="n"/>
      <c r="N673" s="65" t="n"/>
      <c r="O673" s="65" t="n"/>
      <c r="P673" s="65" t="n"/>
      <c r="Q673" s="65" t="n"/>
      <c r="R673" s="65" t="n"/>
      <c r="S673" s="65" t="n"/>
      <c r="T673" s="65" t="n"/>
      <c r="U673" s="65" t="n"/>
      <c r="V673" s="77" t="n"/>
      <c r="W673" s="65" t="n"/>
      <c r="X673" s="65" t="n"/>
      <c r="Y673" s="65" t="n"/>
      <c r="Z673" s="65" t="n"/>
      <c r="AA673" s="65" t="n"/>
      <c r="AB673" s="65" t="n"/>
      <c r="AC673" s="65" t="n"/>
      <c r="AD673" s="65" t="n"/>
      <c r="AE673" s="65" t="n"/>
      <c r="AF673" s="65" t="n"/>
      <c r="AG673" s="65" t="n"/>
      <c r="AH673" s="65" t="n"/>
      <c r="AI673" s="65" t="n"/>
      <c r="AJ673" s="65" t="n"/>
      <c r="AK673" s="65" t="n"/>
      <c r="AL673" s="65" t="n"/>
      <c r="AM673" s="65" t="n"/>
      <c r="AN673" s="65" t="n"/>
      <c r="AO673" s="65" t="n"/>
      <c r="AP673" s="65" t="n"/>
    </row>
    <row r="674">
      <c r="F674" s="68" t="n"/>
      <c r="G674" s="68">
        <f>IF(B674="","",F674-I674 )</f>
        <v/>
      </c>
      <c r="H674" s="5">
        <f>IF(G674="","",G674/F674)</f>
        <v/>
      </c>
      <c r="J674" s="65" t="n"/>
      <c r="K674" s="65" t="n"/>
      <c r="L674" s="65" t="n"/>
      <c r="M674" s="65" t="n"/>
      <c r="N674" s="65" t="n"/>
      <c r="O674" s="65" t="n"/>
      <c r="P674" s="65" t="n"/>
      <c r="Q674" s="65" t="n"/>
      <c r="R674" s="65" t="n"/>
      <c r="S674" s="65" t="n"/>
      <c r="T674" s="65" t="n"/>
      <c r="U674" s="65" t="n"/>
      <c r="V674" s="77" t="n"/>
      <c r="W674" s="65" t="n"/>
      <c r="X674" s="65" t="n"/>
      <c r="Y674" s="65" t="n"/>
      <c r="Z674" s="65" t="n"/>
      <c r="AA674" s="65" t="n"/>
      <c r="AB674" s="65" t="n"/>
      <c r="AC674" s="65" t="n"/>
      <c r="AD674" s="65" t="n"/>
      <c r="AE674" s="65" t="n"/>
      <c r="AF674" s="65" t="n"/>
      <c r="AG674" s="65" t="n"/>
      <c r="AH674" s="65" t="n"/>
      <c r="AI674" s="65" t="n"/>
      <c r="AJ674" s="65" t="n"/>
      <c r="AK674" s="65" t="n"/>
      <c r="AL674" s="65" t="n"/>
      <c r="AM674" s="65" t="n"/>
      <c r="AN674" s="65" t="n"/>
      <c r="AO674" s="65" t="n"/>
      <c r="AP674" s="65" t="n"/>
    </row>
    <row r="675">
      <c r="F675" s="68" t="n"/>
      <c r="G675" s="68">
        <f>IF(B675="","",F675-I675 )</f>
        <v/>
      </c>
      <c r="H675" s="5">
        <f>IF(G675="","",G675/F675)</f>
        <v/>
      </c>
      <c r="J675" s="65" t="n"/>
      <c r="K675" s="65" t="n"/>
      <c r="L675" s="65" t="n"/>
      <c r="M675" s="65" t="n"/>
      <c r="N675" s="65" t="n"/>
      <c r="O675" s="65" t="n"/>
      <c r="P675" s="65" t="n"/>
      <c r="Q675" s="65" t="n"/>
      <c r="R675" s="65" t="n"/>
      <c r="S675" s="65" t="n"/>
      <c r="T675" s="65" t="n"/>
      <c r="U675" s="65" t="n"/>
      <c r="V675" s="77" t="n"/>
      <c r="W675" s="65" t="n"/>
      <c r="X675" s="65" t="n"/>
      <c r="Y675" s="65" t="n"/>
      <c r="Z675" s="65" t="n"/>
      <c r="AA675" s="65" t="n"/>
      <c r="AB675" s="65" t="n"/>
      <c r="AC675" s="65" t="n"/>
      <c r="AD675" s="65" t="n"/>
      <c r="AE675" s="65" t="n"/>
      <c r="AF675" s="65" t="n"/>
      <c r="AG675" s="65" t="n"/>
      <c r="AH675" s="65" t="n"/>
      <c r="AI675" s="65" t="n"/>
      <c r="AJ675" s="65" t="n"/>
      <c r="AK675" s="65" t="n"/>
      <c r="AL675" s="65" t="n"/>
      <c r="AM675" s="65" t="n"/>
      <c r="AN675" s="65" t="n"/>
      <c r="AO675" s="65" t="n"/>
      <c r="AP675" s="65" t="n"/>
    </row>
    <row r="676">
      <c r="F676" s="68" t="n"/>
      <c r="G676" s="68">
        <f>IF(B676="","",F676-I676 )</f>
        <v/>
      </c>
      <c r="H676" s="5">
        <f>IF(G676="","",G676/F676)</f>
        <v/>
      </c>
      <c r="J676" s="65" t="n"/>
      <c r="K676" s="65" t="n"/>
      <c r="L676" s="65" t="n"/>
      <c r="M676" s="65" t="n"/>
      <c r="N676" s="65" t="n"/>
      <c r="O676" s="65" t="n"/>
      <c r="P676" s="65" t="n"/>
      <c r="Q676" s="65" t="n"/>
      <c r="R676" s="65" t="n"/>
      <c r="S676" s="65" t="n"/>
      <c r="T676" s="65" t="n"/>
      <c r="U676" s="65" t="n"/>
      <c r="V676" s="77" t="n"/>
      <c r="W676" s="65" t="n"/>
      <c r="X676" s="65" t="n"/>
      <c r="Y676" s="65" t="n"/>
      <c r="Z676" s="65" t="n"/>
      <c r="AA676" s="65" t="n"/>
      <c r="AB676" s="65" t="n"/>
      <c r="AC676" s="65" t="n"/>
      <c r="AD676" s="65" t="n"/>
      <c r="AE676" s="65" t="n"/>
      <c r="AF676" s="65" t="n"/>
      <c r="AG676" s="65" t="n"/>
      <c r="AH676" s="65" t="n"/>
      <c r="AI676" s="65" t="n"/>
      <c r="AJ676" s="65" t="n"/>
      <c r="AK676" s="65" t="n"/>
      <c r="AL676" s="65" t="n"/>
      <c r="AM676" s="65" t="n"/>
      <c r="AN676" s="65" t="n"/>
      <c r="AO676" s="65" t="n"/>
      <c r="AP676" s="65" t="n"/>
    </row>
    <row r="677">
      <c r="F677" s="68" t="n"/>
      <c r="G677" s="68">
        <f>IF(B677="","",F677-I677 )</f>
        <v/>
      </c>
      <c r="H677" s="5">
        <f>IF(G677="","",G677/F677)</f>
        <v/>
      </c>
      <c r="J677" s="65" t="n"/>
      <c r="K677" s="65" t="n"/>
      <c r="L677" s="65" t="n"/>
      <c r="M677" s="65" t="n"/>
      <c r="N677" s="65" t="n"/>
      <c r="O677" s="65" t="n"/>
      <c r="P677" s="65" t="n"/>
      <c r="Q677" s="65" t="n"/>
      <c r="R677" s="65" t="n"/>
      <c r="S677" s="65" t="n"/>
      <c r="T677" s="65" t="n"/>
      <c r="U677" s="65" t="n"/>
      <c r="V677" s="77" t="n"/>
      <c r="W677" s="65" t="n"/>
      <c r="X677" s="65" t="n"/>
      <c r="Y677" s="65" t="n"/>
      <c r="Z677" s="65" t="n"/>
      <c r="AA677" s="65" t="n"/>
      <c r="AB677" s="65" t="n"/>
      <c r="AC677" s="65" t="n"/>
      <c r="AD677" s="65" t="n"/>
      <c r="AE677" s="65" t="n"/>
      <c r="AF677" s="65" t="n"/>
      <c r="AG677" s="65" t="n"/>
      <c r="AH677" s="65" t="n"/>
      <c r="AI677" s="65" t="n"/>
      <c r="AJ677" s="65" t="n"/>
      <c r="AK677" s="65" t="n"/>
      <c r="AL677" s="65" t="n"/>
      <c r="AM677" s="65" t="n"/>
      <c r="AN677" s="65" t="n"/>
      <c r="AO677" s="65" t="n"/>
      <c r="AP677" s="65" t="n"/>
    </row>
    <row r="678">
      <c r="F678" s="68" t="n"/>
      <c r="G678" s="68">
        <f>IF(B678="","",F678-I678 )</f>
        <v/>
      </c>
      <c r="H678" s="5">
        <f>IF(G678="","",G678/F678)</f>
        <v/>
      </c>
      <c r="J678" s="65" t="n"/>
      <c r="K678" s="65" t="n"/>
      <c r="L678" s="65" t="n"/>
      <c r="M678" s="65" t="n"/>
      <c r="N678" s="65" t="n"/>
      <c r="O678" s="65" t="n"/>
      <c r="P678" s="65" t="n"/>
      <c r="Q678" s="65" t="n"/>
      <c r="R678" s="65" t="n"/>
      <c r="S678" s="65" t="n"/>
      <c r="T678" s="65" t="n"/>
      <c r="U678" s="65" t="n"/>
      <c r="V678" s="77" t="n"/>
      <c r="W678" s="65" t="n"/>
      <c r="X678" s="65" t="n"/>
      <c r="Y678" s="65" t="n"/>
      <c r="Z678" s="65" t="n"/>
      <c r="AA678" s="65" t="n"/>
      <c r="AB678" s="65" t="n"/>
      <c r="AC678" s="65" t="n"/>
      <c r="AD678" s="65" t="n"/>
      <c r="AE678" s="65" t="n"/>
      <c r="AF678" s="65" t="n"/>
      <c r="AG678" s="65" t="n"/>
      <c r="AH678" s="65" t="n"/>
      <c r="AI678" s="65" t="n"/>
      <c r="AJ678" s="65" t="n"/>
      <c r="AK678" s="65" t="n"/>
      <c r="AL678" s="65" t="n"/>
      <c r="AM678" s="65" t="n"/>
      <c r="AN678" s="65" t="n"/>
      <c r="AO678" s="65" t="n"/>
      <c r="AP678" s="65" t="n"/>
    </row>
    <row r="679">
      <c r="F679" s="68" t="n"/>
      <c r="G679" s="68">
        <f>IF(B679="","",F679-I679 )</f>
        <v/>
      </c>
      <c r="H679" s="5">
        <f>IF(G679="","",G679/F679)</f>
        <v/>
      </c>
      <c r="J679" s="65" t="n"/>
      <c r="K679" s="65" t="n"/>
      <c r="L679" s="65" t="n"/>
      <c r="M679" s="65" t="n"/>
      <c r="N679" s="65" t="n"/>
      <c r="O679" s="65" t="n"/>
      <c r="P679" s="65" t="n"/>
      <c r="Q679" s="65" t="n"/>
      <c r="R679" s="65" t="n"/>
      <c r="S679" s="65" t="n"/>
      <c r="T679" s="65" t="n"/>
      <c r="U679" s="65" t="n"/>
      <c r="V679" s="77" t="n"/>
      <c r="W679" s="65" t="n"/>
      <c r="X679" s="65" t="n"/>
      <c r="Y679" s="65" t="n"/>
      <c r="Z679" s="65" t="n"/>
      <c r="AA679" s="65" t="n"/>
      <c r="AB679" s="65" t="n"/>
      <c r="AC679" s="65" t="n"/>
      <c r="AD679" s="65" t="n"/>
      <c r="AE679" s="65" t="n"/>
      <c r="AF679" s="65" t="n"/>
      <c r="AG679" s="65" t="n"/>
      <c r="AH679" s="65" t="n"/>
      <c r="AI679" s="65" t="n"/>
      <c r="AJ679" s="65" t="n"/>
      <c r="AK679" s="65" t="n"/>
      <c r="AL679" s="65" t="n"/>
      <c r="AM679" s="65" t="n"/>
      <c r="AN679" s="65" t="n"/>
      <c r="AO679" s="65" t="n"/>
      <c r="AP679" s="65" t="n"/>
    </row>
    <row r="680">
      <c r="F680" s="68" t="n"/>
      <c r="G680" s="68">
        <f>IF(B680="","",F680-I680 )</f>
        <v/>
      </c>
      <c r="H680" s="5">
        <f>IF(G680="","",G680/F680)</f>
        <v/>
      </c>
      <c r="J680" s="65" t="n"/>
      <c r="K680" s="65" t="n"/>
      <c r="L680" s="65" t="n"/>
      <c r="M680" s="65" t="n"/>
      <c r="N680" s="65" t="n"/>
      <c r="O680" s="65" t="n"/>
      <c r="P680" s="65" t="n"/>
      <c r="Q680" s="65" t="n"/>
      <c r="R680" s="65" t="n"/>
      <c r="S680" s="65" t="n"/>
      <c r="T680" s="65" t="n"/>
      <c r="U680" s="65" t="n"/>
      <c r="V680" s="77" t="n"/>
      <c r="W680" s="65" t="n"/>
      <c r="X680" s="65" t="n"/>
      <c r="Y680" s="65" t="n"/>
      <c r="Z680" s="65" t="n"/>
      <c r="AA680" s="65" t="n"/>
      <c r="AB680" s="65" t="n"/>
      <c r="AC680" s="65" t="n"/>
      <c r="AD680" s="65" t="n"/>
      <c r="AE680" s="65" t="n"/>
      <c r="AF680" s="65" t="n"/>
      <c r="AG680" s="65" t="n"/>
      <c r="AH680" s="65" t="n"/>
      <c r="AI680" s="65" t="n"/>
      <c r="AJ680" s="65" t="n"/>
      <c r="AK680" s="65" t="n"/>
      <c r="AL680" s="65" t="n"/>
      <c r="AM680" s="65" t="n"/>
      <c r="AN680" s="65" t="n"/>
      <c r="AO680" s="65" t="n"/>
      <c r="AP680" s="65" t="n"/>
    </row>
    <row r="681">
      <c r="F681" s="68" t="n"/>
      <c r="G681" s="68">
        <f>IF(B681="","",F681-I681 )</f>
        <v/>
      </c>
      <c r="H681" s="5">
        <f>IF(G681="","",G681/F681)</f>
        <v/>
      </c>
      <c r="J681" s="65" t="n"/>
      <c r="K681" s="65" t="n"/>
      <c r="L681" s="65" t="n"/>
      <c r="M681" s="65" t="n"/>
      <c r="N681" s="65" t="n"/>
      <c r="O681" s="65" t="n"/>
      <c r="P681" s="65" t="n"/>
      <c r="Q681" s="65" t="n"/>
      <c r="R681" s="65" t="n"/>
      <c r="S681" s="65" t="n"/>
      <c r="T681" s="65" t="n"/>
      <c r="U681" s="65" t="n"/>
      <c r="V681" s="77" t="n"/>
      <c r="W681" s="65" t="n"/>
      <c r="X681" s="65" t="n"/>
      <c r="Y681" s="65" t="n"/>
      <c r="Z681" s="65" t="n"/>
      <c r="AA681" s="65" t="n"/>
      <c r="AB681" s="65" t="n"/>
      <c r="AC681" s="65" t="n"/>
      <c r="AD681" s="65" t="n"/>
      <c r="AE681" s="65" t="n"/>
      <c r="AF681" s="65" t="n"/>
      <c r="AG681" s="65" t="n"/>
      <c r="AH681" s="65" t="n"/>
      <c r="AI681" s="65" t="n"/>
      <c r="AJ681" s="65" t="n"/>
      <c r="AK681" s="65" t="n"/>
      <c r="AL681" s="65" t="n"/>
      <c r="AM681" s="65" t="n"/>
      <c r="AN681" s="65" t="n"/>
      <c r="AO681" s="65" t="n"/>
      <c r="AP681" s="65" t="n"/>
    </row>
    <row r="682">
      <c r="F682" s="68" t="n"/>
      <c r="G682" s="68">
        <f>IF(B682="","",F682-I682 )</f>
        <v/>
      </c>
      <c r="H682" s="5">
        <f>IF(G682="","",G682/F682)</f>
        <v/>
      </c>
      <c r="J682" s="65" t="n"/>
      <c r="K682" s="65" t="n"/>
      <c r="L682" s="65" t="n"/>
      <c r="M682" s="65" t="n"/>
      <c r="N682" s="65" t="n"/>
      <c r="O682" s="65" t="n"/>
      <c r="P682" s="65" t="n"/>
      <c r="Q682" s="65" t="n"/>
      <c r="R682" s="65" t="n"/>
      <c r="S682" s="65" t="n"/>
      <c r="T682" s="65" t="n"/>
      <c r="U682" s="65" t="n"/>
      <c r="V682" s="77" t="n"/>
      <c r="W682" s="65" t="n"/>
      <c r="X682" s="65" t="n"/>
      <c r="Y682" s="65" t="n"/>
      <c r="Z682" s="65" t="n"/>
      <c r="AA682" s="65" t="n"/>
      <c r="AB682" s="65" t="n"/>
      <c r="AC682" s="65" t="n"/>
      <c r="AD682" s="65" t="n"/>
      <c r="AE682" s="65" t="n"/>
      <c r="AF682" s="65" t="n"/>
      <c r="AG682" s="65" t="n"/>
      <c r="AH682" s="65" t="n"/>
      <c r="AI682" s="65" t="n"/>
      <c r="AJ682" s="65" t="n"/>
      <c r="AK682" s="65" t="n"/>
      <c r="AL682" s="65" t="n"/>
      <c r="AM682" s="65" t="n"/>
      <c r="AN682" s="65" t="n"/>
      <c r="AO682" s="65" t="n"/>
      <c r="AP682" s="65" t="n"/>
    </row>
    <row r="683">
      <c r="F683" s="68" t="n"/>
      <c r="G683" s="68">
        <f>IF(B683="","",F683-I683 )</f>
        <v/>
      </c>
      <c r="H683" s="5">
        <f>IF(G683="","",G683/F683)</f>
        <v/>
      </c>
      <c r="J683" s="65" t="n"/>
      <c r="K683" s="65" t="n"/>
      <c r="L683" s="65" t="n"/>
      <c r="M683" s="65" t="n"/>
      <c r="N683" s="65" t="n"/>
      <c r="O683" s="65" t="n"/>
      <c r="P683" s="65" t="n"/>
      <c r="Q683" s="65" t="n"/>
      <c r="R683" s="65" t="n"/>
      <c r="S683" s="65" t="n"/>
      <c r="T683" s="65" t="n"/>
      <c r="U683" s="65" t="n"/>
      <c r="V683" s="77" t="n"/>
      <c r="W683" s="65" t="n"/>
      <c r="X683" s="65" t="n"/>
      <c r="Y683" s="65" t="n"/>
      <c r="Z683" s="65" t="n"/>
      <c r="AA683" s="65" t="n"/>
      <c r="AB683" s="65" t="n"/>
      <c r="AC683" s="65" t="n"/>
      <c r="AD683" s="65" t="n"/>
      <c r="AE683" s="65" t="n"/>
      <c r="AF683" s="65" t="n"/>
      <c r="AG683" s="65" t="n"/>
      <c r="AH683" s="65" t="n"/>
      <c r="AI683" s="65" t="n"/>
      <c r="AJ683" s="65" t="n"/>
      <c r="AK683" s="65" t="n"/>
      <c r="AL683" s="65" t="n"/>
      <c r="AM683" s="65" t="n"/>
      <c r="AN683" s="65" t="n"/>
      <c r="AO683" s="65" t="n"/>
      <c r="AP683" s="65" t="n"/>
    </row>
    <row r="684">
      <c r="F684" s="68" t="n"/>
      <c r="G684" s="68">
        <f>IF(B684="","",F684-I684 )</f>
        <v/>
      </c>
      <c r="H684" s="5">
        <f>IF(G684="","",G684/F684)</f>
        <v/>
      </c>
      <c r="J684" s="65" t="n"/>
      <c r="K684" s="65" t="n"/>
      <c r="L684" s="65" t="n"/>
      <c r="M684" s="65" t="n"/>
      <c r="N684" s="65" t="n"/>
      <c r="O684" s="65" t="n"/>
      <c r="P684" s="65" t="n"/>
      <c r="Q684" s="65" t="n"/>
      <c r="R684" s="65" t="n"/>
      <c r="S684" s="65" t="n"/>
      <c r="T684" s="65" t="n"/>
      <c r="U684" s="65" t="n"/>
      <c r="V684" s="77" t="n"/>
      <c r="W684" s="65" t="n"/>
      <c r="X684" s="65" t="n"/>
      <c r="Y684" s="65" t="n"/>
      <c r="Z684" s="65" t="n"/>
      <c r="AA684" s="65" t="n"/>
      <c r="AB684" s="65" t="n"/>
      <c r="AC684" s="65" t="n"/>
      <c r="AD684" s="65" t="n"/>
      <c r="AE684" s="65" t="n"/>
      <c r="AF684" s="65" t="n"/>
      <c r="AG684" s="65" t="n"/>
      <c r="AH684" s="65" t="n"/>
      <c r="AI684" s="65" t="n"/>
      <c r="AJ684" s="65" t="n"/>
      <c r="AK684" s="65" t="n"/>
      <c r="AL684" s="65" t="n"/>
      <c r="AM684" s="65" t="n"/>
      <c r="AN684" s="65" t="n"/>
      <c r="AO684" s="65" t="n"/>
      <c r="AP684" s="65" t="n"/>
    </row>
    <row r="685">
      <c r="F685" s="68" t="n"/>
      <c r="G685" s="68">
        <f>IF(B685="","",F685-I685 )</f>
        <v/>
      </c>
      <c r="H685" s="5">
        <f>IF(G685="","",G685/F685)</f>
        <v/>
      </c>
      <c r="J685" s="65" t="n"/>
      <c r="K685" s="65" t="n"/>
      <c r="L685" s="65" t="n"/>
      <c r="M685" s="65" t="n"/>
      <c r="N685" s="65" t="n"/>
      <c r="O685" s="65" t="n"/>
      <c r="P685" s="65" t="n"/>
      <c r="Q685" s="65" t="n"/>
      <c r="R685" s="65" t="n"/>
      <c r="S685" s="65" t="n"/>
      <c r="T685" s="65" t="n"/>
      <c r="U685" s="65" t="n"/>
      <c r="V685" s="77" t="n"/>
      <c r="W685" s="65" t="n"/>
      <c r="X685" s="65" t="n"/>
      <c r="Y685" s="65" t="n"/>
      <c r="Z685" s="65" t="n"/>
      <c r="AA685" s="65" t="n"/>
      <c r="AB685" s="65" t="n"/>
      <c r="AC685" s="65" t="n"/>
      <c r="AD685" s="65" t="n"/>
      <c r="AE685" s="65" t="n"/>
      <c r="AF685" s="65" t="n"/>
      <c r="AG685" s="65" t="n"/>
      <c r="AH685" s="65" t="n"/>
      <c r="AI685" s="65" t="n"/>
      <c r="AJ685" s="65" t="n"/>
      <c r="AK685" s="65" t="n"/>
      <c r="AL685" s="65" t="n"/>
      <c r="AM685" s="65" t="n"/>
      <c r="AN685" s="65" t="n"/>
      <c r="AO685" s="65" t="n"/>
      <c r="AP685" s="65" t="n"/>
    </row>
    <row r="686">
      <c r="F686" s="68" t="n"/>
      <c r="G686" s="68">
        <f>IF(B686="","",F686-I686 )</f>
        <v/>
      </c>
      <c r="H686" s="5">
        <f>IF(G686="","",G686/F686)</f>
        <v/>
      </c>
      <c r="J686" s="65" t="n"/>
      <c r="K686" s="65" t="n"/>
      <c r="L686" s="65" t="n"/>
      <c r="M686" s="65" t="n"/>
      <c r="N686" s="65" t="n"/>
      <c r="O686" s="65" t="n"/>
      <c r="P686" s="65" t="n"/>
      <c r="Q686" s="65" t="n"/>
      <c r="R686" s="65" t="n"/>
      <c r="S686" s="65" t="n"/>
      <c r="T686" s="65" t="n"/>
      <c r="U686" s="65" t="n"/>
      <c r="V686" s="77" t="n"/>
      <c r="W686" s="65" t="n"/>
      <c r="X686" s="65" t="n"/>
      <c r="Y686" s="65" t="n"/>
      <c r="Z686" s="65" t="n"/>
      <c r="AA686" s="65" t="n"/>
      <c r="AB686" s="65" t="n"/>
      <c r="AC686" s="65" t="n"/>
      <c r="AD686" s="65" t="n"/>
      <c r="AE686" s="65" t="n"/>
      <c r="AF686" s="65" t="n"/>
      <c r="AG686" s="65" t="n"/>
      <c r="AH686" s="65" t="n"/>
      <c r="AI686" s="65" t="n"/>
      <c r="AJ686" s="65" t="n"/>
      <c r="AK686" s="65" t="n"/>
      <c r="AL686" s="65" t="n"/>
      <c r="AM686" s="65" t="n"/>
      <c r="AN686" s="65" t="n"/>
      <c r="AO686" s="65" t="n"/>
      <c r="AP686" s="65" t="n"/>
    </row>
    <row r="687">
      <c r="F687" s="68" t="n"/>
      <c r="G687" s="68">
        <f>IF(B687="","",F687-I687 )</f>
        <v/>
      </c>
      <c r="H687" s="5">
        <f>IF(G687="","",G687/F687)</f>
        <v/>
      </c>
      <c r="J687" s="65" t="n"/>
      <c r="K687" s="65" t="n"/>
      <c r="L687" s="65" t="n"/>
      <c r="M687" s="65" t="n"/>
      <c r="N687" s="65" t="n"/>
      <c r="O687" s="65" t="n"/>
      <c r="P687" s="65" t="n"/>
      <c r="Q687" s="65" t="n"/>
      <c r="R687" s="65" t="n"/>
      <c r="S687" s="65" t="n"/>
      <c r="T687" s="65" t="n"/>
      <c r="U687" s="65" t="n"/>
      <c r="V687" s="77" t="n"/>
      <c r="W687" s="65" t="n"/>
      <c r="X687" s="65" t="n"/>
      <c r="Y687" s="65" t="n"/>
      <c r="Z687" s="65" t="n"/>
      <c r="AA687" s="65" t="n"/>
      <c r="AB687" s="65" t="n"/>
      <c r="AC687" s="65" t="n"/>
      <c r="AD687" s="65" t="n"/>
      <c r="AE687" s="65" t="n"/>
      <c r="AF687" s="65" t="n"/>
      <c r="AG687" s="65" t="n"/>
      <c r="AH687" s="65" t="n"/>
      <c r="AI687" s="65" t="n"/>
      <c r="AJ687" s="65" t="n"/>
      <c r="AK687" s="65" t="n"/>
      <c r="AL687" s="65" t="n"/>
      <c r="AM687" s="65" t="n"/>
      <c r="AN687" s="65" t="n"/>
      <c r="AO687" s="65" t="n"/>
      <c r="AP687" s="65" t="n"/>
    </row>
    <row r="688">
      <c r="F688" s="68" t="n"/>
      <c r="G688" s="68">
        <f>IF(B688="","",F688-I688 )</f>
        <v/>
      </c>
      <c r="H688" s="5">
        <f>IF(G688="","",G688/F688)</f>
        <v/>
      </c>
      <c r="J688" s="65" t="n"/>
      <c r="K688" s="65" t="n"/>
      <c r="L688" s="65" t="n"/>
      <c r="M688" s="65" t="n"/>
      <c r="N688" s="65" t="n"/>
      <c r="O688" s="65" t="n"/>
      <c r="P688" s="65" t="n"/>
      <c r="Q688" s="65" t="n"/>
      <c r="R688" s="65" t="n"/>
      <c r="S688" s="65" t="n"/>
      <c r="T688" s="65" t="n"/>
      <c r="U688" s="65" t="n"/>
      <c r="V688" s="77" t="n"/>
      <c r="W688" s="65" t="n"/>
      <c r="X688" s="65" t="n"/>
      <c r="Y688" s="65" t="n"/>
      <c r="Z688" s="65" t="n"/>
      <c r="AA688" s="65" t="n"/>
      <c r="AB688" s="65" t="n"/>
      <c r="AC688" s="65" t="n"/>
      <c r="AD688" s="65" t="n"/>
      <c r="AE688" s="65" t="n"/>
      <c r="AF688" s="65" t="n"/>
      <c r="AG688" s="65" t="n"/>
      <c r="AH688" s="65" t="n"/>
      <c r="AI688" s="65" t="n"/>
      <c r="AJ688" s="65" t="n"/>
      <c r="AK688" s="65" t="n"/>
      <c r="AL688" s="65" t="n"/>
      <c r="AM688" s="65" t="n"/>
      <c r="AN688" s="65" t="n"/>
      <c r="AO688" s="65" t="n"/>
      <c r="AP688" s="65" t="n"/>
    </row>
    <row r="689">
      <c r="F689" s="68" t="n"/>
      <c r="G689" s="68">
        <f>IF(B689="","",F689-I689 )</f>
        <v/>
      </c>
      <c r="H689" s="5">
        <f>IF(G689="","",G689/F689)</f>
        <v/>
      </c>
      <c r="J689" s="65" t="n"/>
      <c r="K689" s="65" t="n"/>
      <c r="L689" s="65" t="n"/>
      <c r="M689" s="65" t="n"/>
      <c r="N689" s="65" t="n"/>
      <c r="O689" s="65" t="n"/>
      <c r="P689" s="65" t="n"/>
      <c r="Q689" s="65" t="n"/>
      <c r="R689" s="65" t="n"/>
      <c r="S689" s="65" t="n"/>
      <c r="T689" s="65" t="n"/>
      <c r="U689" s="65" t="n"/>
      <c r="V689" s="77" t="n"/>
      <c r="W689" s="65" t="n"/>
      <c r="X689" s="65" t="n"/>
      <c r="Y689" s="65" t="n"/>
      <c r="Z689" s="65" t="n"/>
      <c r="AA689" s="65" t="n"/>
      <c r="AB689" s="65" t="n"/>
      <c r="AC689" s="65" t="n"/>
      <c r="AD689" s="65" t="n"/>
      <c r="AE689" s="65" t="n"/>
      <c r="AF689" s="65" t="n"/>
      <c r="AG689" s="65" t="n"/>
      <c r="AH689" s="65" t="n"/>
      <c r="AI689" s="65" t="n"/>
      <c r="AJ689" s="65" t="n"/>
      <c r="AK689" s="65" t="n"/>
      <c r="AL689" s="65" t="n"/>
      <c r="AM689" s="65" t="n"/>
      <c r="AN689" s="65" t="n"/>
      <c r="AO689" s="65" t="n"/>
      <c r="AP689" s="65" t="n"/>
    </row>
    <row r="690">
      <c r="F690" s="68" t="n"/>
      <c r="G690" s="68">
        <f>IF(B690="","",F690-I690 )</f>
        <v/>
      </c>
      <c r="H690" s="5">
        <f>IF(G690="","",G690/F690)</f>
        <v/>
      </c>
      <c r="J690" s="65" t="n"/>
      <c r="K690" s="65" t="n"/>
      <c r="L690" s="65" t="n"/>
      <c r="M690" s="65" t="n"/>
      <c r="N690" s="65" t="n"/>
      <c r="O690" s="65" t="n"/>
      <c r="P690" s="65" t="n"/>
      <c r="Q690" s="65" t="n"/>
      <c r="R690" s="65" t="n"/>
      <c r="S690" s="65" t="n"/>
      <c r="T690" s="65" t="n"/>
      <c r="U690" s="65" t="n"/>
      <c r="V690" s="77" t="n"/>
      <c r="W690" s="65" t="n"/>
      <c r="X690" s="65" t="n"/>
      <c r="Y690" s="65" t="n"/>
      <c r="Z690" s="65" t="n"/>
      <c r="AA690" s="65" t="n"/>
      <c r="AB690" s="65" t="n"/>
      <c r="AC690" s="65" t="n"/>
      <c r="AD690" s="65" t="n"/>
      <c r="AE690" s="65" t="n"/>
      <c r="AF690" s="65" t="n"/>
      <c r="AG690" s="65" t="n"/>
      <c r="AH690" s="65" t="n"/>
      <c r="AI690" s="65" t="n"/>
      <c r="AJ690" s="65" t="n"/>
      <c r="AK690" s="65" t="n"/>
      <c r="AL690" s="65" t="n"/>
      <c r="AM690" s="65" t="n"/>
      <c r="AN690" s="65" t="n"/>
      <c r="AO690" s="65" t="n"/>
      <c r="AP690" s="65" t="n"/>
    </row>
    <row r="691">
      <c r="F691" s="68" t="n"/>
      <c r="G691" s="68">
        <f>IF(B691="","",F691-I691 )</f>
        <v/>
      </c>
      <c r="H691" s="5">
        <f>IF(G691="","",G691/F691)</f>
        <v/>
      </c>
      <c r="J691" s="65" t="n"/>
      <c r="K691" s="65" t="n"/>
      <c r="L691" s="65" t="n"/>
      <c r="M691" s="65" t="n"/>
      <c r="N691" s="65" t="n"/>
      <c r="O691" s="65" t="n"/>
      <c r="P691" s="65" t="n"/>
      <c r="Q691" s="65" t="n"/>
      <c r="R691" s="65" t="n"/>
      <c r="S691" s="65" t="n"/>
      <c r="T691" s="65" t="n"/>
      <c r="U691" s="65" t="n"/>
      <c r="V691" s="77" t="n"/>
      <c r="W691" s="65" t="n"/>
      <c r="X691" s="65" t="n"/>
      <c r="Y691" s="65" t="n"/>
      <c r="Z691" s="65" t="n"/>
      <c r="AA691" s="65" t="n"/>
      <c r="AB691" s="65" t="n"/>
      <c r="AC691" s="65" t="n"/>
      <c r="AD691" s="65" t="n"/>
      <c r="AE691" s="65" t="n"/>
      <c r="AF691" s="65" t="n"/>
      <c r="AG691" s="65" t="n"/>
      <c r="AH691" s="65" t="n"/>
      <c r="AI691" s="65" t="n"/>
      <c r="AJ691" s="65" t="n"/>
      <c r="AK691" s="65" t="n"/>
      <c r="AL691" s="65" t="n"/>
      <c r="AM691" s="65" t="n"/>
      <c r="AN691" s="65" t="n"/>
      <c r="AO691" s="65" t="n"/>
      <c r="AP691" s="65" t="n"/>
    </row>
    <row r="692">
      <c r="F692" s="68" t="n"/>
      <c r="G692" s="68">
        <f>IF(B692="","",F692-I692 )</f>
        <v/>
      </c>
      <c r="H692" s="5">
        <f>IF(G692="","",G692/F692)</f>
        <v/>
      </c>
      <c r="J692" s="65" t="n"/>
      <c r="K692" s="65" t="n"/>
      <c r="L692" s="65" t="n"/>
      <c r="M692" s="65" t="n"/>
      <c r="N692" s="65" t="n"/>
      <c r="O692" s="65" t="n"/>
      <c r="P692" s="65" t="n"/>
      <c r="Q692" s="65" t="n"/>
      <c r="R692" s="65" t="n"/>
      <c r="S692" s="65" t="n"/>
      <c r="T692" s="65" t="n"/>
      <c r="U692" s="65" t="n"/>
      <c r="V692" s="77" t="n"/>
      <c r="W692" s="65" t="n"/>
      <c r="X692" s="65" t="n"/>
      <c r="Y692" s="65" t="n"/>
      <c r="Z692" s="65" t="n"/>
      <c r="AA692" s="65" t="n"/>
      <c r="AB692" s="65" t="n"/>
      <c r="AC692" s="65" t="n"/>
      <c r="AD692" s="65" t="n"/>
      <c r="AE692" s="65" t="n"/>
      <c r="AF692" s="65" t="n"/>
      <c r="AG692" s="65" t="n"/>
      <c r="AH692" s="65" t="n"/>
      <c r="AI692" s="65" t="n"/>
      <c r="AJ692" s="65" t="n"/>
      <c r="AK692" s="65" t="n"/>
      <c r="AL692" s="65" t="n"/>
      <c r="AM692" s="65" t="n"/>
      <c r="AN692" s="65" t="n"/>
      <c r="AO692" s="65" t="n"/>
      <c r="AP692" s="65" t="n"/>
    </row>
    <row r="693">
      <c r="F693" s="68" t="n"/>
      <c r="G693" s="68">
        <f>IF(B693="","",F693-I693 )</f>
        <v/>
      </c>
      <c r="H693" s="5">
        <f>IF(G693="","",G693/F693)</f>
        <v/>
      </c>
      <c r="J693" s="65" t="n"/>
      <c r="K693" s="65" t="n"/>
      <c r="L693" s="65" t="n"/>
      <c r="M693" s="65" t="n"/>
      <c r="N693" s="65" t="n"/>
      <c r="O693" s="65" t="n"/>
      <c r="P693" s="65" t="n"/>
      <c r="Q693" s="65" t="n"/>
      <c r="R693" s="65" t="n"/>
      <c r="S693" s="65" t="n"/>
      <c r="T693" s="65" t="n"/>
      <c r="U693" s="65" t="n"/>
      <c r="V693" s="77" t="n"/>
      <c r="W693" s="65" t="n"/>
      <c r="X693" s="65" t="n"/>
      <c r="Y693" s="65" t="n"/>
      <c r="Z693" s="65" t="n"/>
      <c r="AA693" s="65" t="n"/>
      <c r="AB693" s="65" t="n"/>
      <c r="AC693" s="65" t="n"/>
      <c r="AD693" s="65" t="n"/>
      <c r="AE693" s="65" t="n"/>
      <c r="AF693" s="65" t="n"/>
      <c r="AG693" s="65" t="n"/>
      <c r="AH693" s="65" t="n"/>
      <c r="AI693" s="65" t="n"/>
      <c r="AJ693" s="65" t="n"/>
      <c r="AK693" s="65" t="n"/>
      <c r="AL693" s="65" t="n"/>
      <c r="AM693" s="65" t="n"/>
      <c r="AN693" s="65" t="n"/>
      <c r="AO693" s="65" t="n"/>
      <c r="AP693" s="65" t="n"/>
    </row>
    <row r="694">
      <c r="F694" s="68" t="n"/>
      <c r="G694" s="68">
        <f>IF(B694="","",F694-I694 )</f>
        <v/>
      </c>
      <c r="H694" s="5">
        <f>IF(G694="","",G694/F694)</f>
        <v/>
      </c>
      <c r="J694" s="65" t="n"/>
      <c r="K694" s="65" t="n"/>
      <c r="L694" s="65" t="n"/>
      <c r="M694" s="65" t="n"/>
      <c r="N694" s="65" t="n"/>
      <c r="O694" s="65" t="n"/>
      <c r="P694" s="65" t="n"/>
      <c r="Q694" s="65" t="n"/>
      <c r="R694" s="65" t="n"/>
      <c r="S694" s="65" t="n"/>
      <c r="T694" s="65" t="n"/>
      <c r="U694" s="65" t="n"/>
      <c r="V694" s="77" t="n"/>
      <c r="W694" s="65" t="n"/>
      <c r="X694" s="65" t="n"/>
      <c r="Y694" s="65" t="n"/>
      <c r="Z694" s="65" t="n"/>
      <c r="AA694" s="65" t="n"/>
      <c r="AB694" s="65" t="n"/>
      <c r="AC694" s="65" t="n"/>
      <c r="AD694" s="65" t="n"/>
      <c r="AE694" s="65" t="n"/>
      <c r="AF694" s="65" t="n"/>
      <c r="AG694" s="65" t="n"/>
      <c r="AH694" s="65" t="n"/>
      <c r="AI694" s="65" t="n"/>
      <c r="AJ694" s="65" t="n"/>
      <c r="AK694" s="65" t="n"/>
      <c r="AL694" s="65" t="n"/>
      <c r="AM694" s="65" t="n"/>
      <c r="AN694" s="65" t="n"/>
      <c r="AO694" s="65" t="n"/>
      <c r="AP694" s="65" t="n"/>
    </row>
    <row r="695">
      <c r="F695" s="68" t="n"/>
      <c r="G695" s="68">
        <f>IF(B695="","",F695-I695 )</f>
        <v/>
      </c>
      <c r="H695" s="5">
        <f>IF(G695="","",G695/F695)</f>
        <v/>
      </c>
      <c r="J695" s="65" t="n"/>
      <c r="K695" s="65" t="n"/>
      <c r="L695" s="65" t="n"/>
      <c r="M695" s="65" t="n"/>
      <c r="N695" s="65" t="n"/>
      <c r="O695" s="65" t="n"/>
      <c r="P695" s="65" t="n"/>
      <c r="Q695" s="65" t="n"/>
      <c r="R695" s="65" t="n"/>
      <c r="S695" s="65" t="n"/>
      <c r="T695" s="65" t="n"/>
      <c r="U695" s="65" t="n"/>
      <c r="V695" s="77" t="n"/>
      <c r="W695" s="65" t="n"/>
      <c r="X695" s="65" t="n"/>
      <c r="Y695" s="65" t="n"/>
      <c r="Z695" s="65" t="n"/>
      <c r="AA695" s="65" t="n"/>
      <c r="AB695" s="65" t="n"/>
      <c r="AC695" s="65" t="n"/>
      <c r="AD695" s="65" t="n"/>
      <c r="AE695" s="65" t="n"/>
      <c r="AF695" s="65" t="n"/>
      <c r="AG695" s="65" t="n"/>
      <c r="AH695" s="65" t="n"/>
      <c r="AI695" s="65" t="n"/>
      <c r="AJ695" s="65" t="n"/>
      <c r="AK695" s="65" t="n"/>
      <c r="AL695" s="65" t="n"/>
      <c r="AM695" s="65" t="n"/>
      <c r="AN695" s="65" t="n"/>
      <c r="AO695" s="65" t="n"/>
      <c r="AP695" s="65" t="n"/>
    </row>
    <row r="696">
      <c r="F696" s="68" t="n"/>
      <c r="G696" s="68">
        <f>IF(B696="","",F696-I696 )</f>
        <v/>
      </c>
      <c r="H696" s="5">
        <f>IF(G696="","",G696/F696)</f>
        <v/>
      </c>
      <c r="J696" s="65" t="n"/>
      <c r="K696" s="65" t="n"/>
      <c r="L696" s="65" t="n"/>
      <c r="M696" s="65" t="n"/>
      <c r="N696" s="65" t="n"/>
      <c r="O696" s="65" t="n"/>
      <c r="P696" s="65" t="n"/>
      <c r="Q696" s="65" t="n"/>
      <c r="R696" s="65" t="n"/>
      <c r="S696" s="65" t="n"/>
      <c r="T696" s="65" t="n"/>
      <c r="U696" s="65" t="n"/>
      <c r="V696" s="77" t="n"/>
      <c r="W696" s="65" t="n"/>
      <c r="X696" s="65" t="n"/>
      <c r="Y696" s="65" t="n"/>
      <c r="Z696" s="65" t="n"/>
      <c r="AA696" s="65" t="n"/>
      <c r="AB696" s="65" t="n"/>
      <c r="AC696" s="65" t="n"/>
      <c r="AD696" s="65" t="n"/>
      <c r="AE696" s="65" t="n"/>
      <c r="AF696" s="65" t="n"/>
      <c r="AG696" s="65" t="n"/>
      <c r="AH696" s="65" t="n"/>
      <c r="AI696" s="65" t="n"/>
      <c r="AJ696" s="65" t="n"/>
      <c r="AK696" s="65" t="n"/>
      <c r="AL696" s="65" t="n"/>
      <c r="AM696" s="65" t="n"/>
      <c r="AN696" s="65" t="n"/>
      <c r="AO696" s="65" t="n"/>
      <c r="AP696" s="65" t="n"/>
    </row>
    <row r="697">
      <c r="F697" s="68" t="n"/>
      <c r="G697" s="68">
        <f>IF(B697="","",F697-I697 )</f>
        <v/>
      </c>
      <c r="H697" s="5">
        <f>IF(G697="","",G697/F697)</f>
        <v/>
      </c>
      <c r="J697" s="65" t="n"/>
      <c r="K697" s="65" t="n"/>
      <c r="L697" s="65" t="n"/>
      <c r="M697" s="65" t="n"/>
      <c r="N697" s="65" t="n"/>
      <c r="O697" s="65" t="n"/>
      <c r="P697" s="65" t="n"/>
      <c r="Q697" s="65" t="n"/>
      <c r="R697" s="65" t="n"/>
      <c r="S697" s="65" t="n"/>
      <c r="T697" s="65" t="n"/>
      <c r="U697" s="65" t="n"/>
      <c r="V697" s="77" t="n"/>
      <c r="W697" s="65" t="n"/>
      <c r="X697" s="65" t="n"/>
      <c r="Y697" s="65" t="n"/>
      <c r="Z697" s="65" t="n"/>
      <c r="AA697" s="65" t="n"/>
      <c r="AB697" s="65" t="n"/>
      <c r="AC697" s="65" t="n"/>
      <c r="AD697" s="65" t="n"/>
      <c r="AE697" s="65" t="n"/>
      <c r="AF697" s="65" t="n"/>
      <c r="AG697" s="65" t="n"/>
      <c r="AH697" s="65" t="n"/>
      <c r="AI697" s="65" t="n"/>
      <c r="AJ697" s="65" t="n"/>
      <c r="AK697" s="65" t="n"/>
      <c r="AL697" s="65" t="n"/>
      <c r="AM697" s="65" t="n"/>
      <c r="AN697" s="65" t="n"/>
      <c r="AO697" s="65" t="n"/>
      <c r="AP697" s="65" t="n"/>
    </row>
    <row r="698">
      <c r="F698" s="68" t="n"/>
      <c r="G698" s="68">
        <f>IF(B698="","",F698-I698 )</f>
        <v/>
      </c>
      <c r="H698" s="5">
        <f>IF(G698="","",G698/F698)</f>
        <v/>
      </c>
      <c r="J698" s="65" t="n"/>
      <c r="K698" s="65" t="n"/>
      <c r="L698" s="65" t="n"/>
      <c r="M698" s="65" t="n"/>
      <c r="N698" s="65" t="n"/>
      <c r="O698" s="65" t="n"/>
      <c r="P698" s="65" t="n"/>
      <c r="Q698" s="65" t="n"/>
      <c r="R698" s="65" t="n"/>
      <c r="S698" s="65" t="n"/>
      <c r="T698" s="65" t="n"/>
      <c r="U698" s="65" t="n"/>
      <c r="V698" s="77" t="n"/>
      <c r="W698" s="65" t="n"/>
      <c r="X698" s="65" t="n"/>
      <c r="Y698" s="65" t="n"/>
      <c r="Z698" s="65" t="n"/>
      <c r="AA698" s="65" t="n"/>
      <c r="AB698" s="65" t="n"/>
      <c r="AC698" s="65" t="n"/>
      <c r="AD698" s="65" t="n"/>
      <c r="AE698" s="65" t="n"/>
      <c r="AF698" s="65" t="n"/>
      <c r="AG698" s="65" t="n"/>
      <c r="AH698" s="65" t="n"/>
      <c r="AI698" s="65" t="n"/>
      <c r="AJ698" s="65" t="n"/>
      <c r="AK698" s="65" t="n"/>
      <c r="AL698" s="65" t="n"/>
      <c r="AM698" s="65" t="n"/>
      <c r="AN698" s="65" t="n"/>
      <c r="AO698" s="65" t="n"/>
      <c r="AP698" s="65" t="n"/>
    </row>
    <row r="699">
      <c r="F699" s="68" t="n"/>
      <c r="G699" s="68">
        <f>IF(B699="","",F699-I699 )</f>
        <v/>
      </c>
      <c r="H699" s="5">
        <f>IF(G699="","",G699/F699)</f>
        <v/>
      </c>
      <c r="J699" s="65" t="n"/>
      <c r="K699" s="65" t="n"/>
      <c r="L699" s="65" t="n"/>
      <c r="M699" s="65" t="n"/>
      <c r="N699" s="65" t="n"/>
      <c r="O699" s="65" t="n"/>
      <c r="P699" s="65" t="n"/>
      <c r="Q699" s="65" t="n"/>
      <c r="R699" s="65" t="n"/>
      <c r="S699" s="65" t="n"/>
      <c r="T699" s="65" t="n"/>
      <c r="U699" s="65" t="n"/>
      <c r="V699" s="77" t="n"/>
      <c r="W699" s="65" t="n"/>
      <c r="X699" s="65" t="n"/>
      <c r="Y699" s="65" t="n"/>
      <c r="Z699" s="65" t="n"/>
      <c r="AA699" s="65" t="n"/>
      <c r="AB699" s="65" t="n"/>
      <c r="AC699" s="65" t="n"/>
      <c r="AD699" s="65" t="n"/>
      <c r="AE699" s="65" t="n"/>
      <c r="AF699" s="65" t="n"/>
      <c r="AG699" s="65" t="n"/>
      <c r="AH699" s="65" t="n"/>
      <c r="AI699" s="65" t="n"/>
      <c r="AJ699" s="65" t="n"/>
      <c r="AK699" s="65" t="n"/>
      <c r="AL699" s="65" t="n"/>
      <c r="AM699" s="65" t="n"/>
      <c r="AN699" s="65" t="n"/>
      <c r="AO699" s="65" t="n"/>
      <c r="AP699" s="65" t="n"/>
    </row>
    <row r="700">
      <c r="F700" s="68" t="n"/>
      <c r="G700" s="68">
        <f>IF(B700="","",F700-I700 )</f>
        <v/>
      </c>
      <c r="H700" s="5">
        <f>IF(G700="","",G700/F700)</f>
        <v/>
      </c>
      <c r="J700" s="65" t="n"/>
      <c r="K700" s="65" t="n"/>
      <c r="L700" s="65" t="n"/>
      <c r="M700" s="65" t="n"/>
      <c r="N700" s="65" t="n"/>
      <c r="O700" s="65" t="n"/>
      <c r="P700" s="65" t="n"/>
      <c r="Q700" s="65" t="n"/>
      <c r="R700" s="65" t="n"/>
      <c r="S700" s="65" t="n"/>
      <c r="T700" s="65" t="n"/>
      <c r="U700" s="65" t="n"/>
      <c r="V700" s="77" t="n"/>
      <c r="W700" s="65" t="n"/>
      <c r="X700" s="65" t="n"/>
      <c r="Y700" s="65" t="n"/>
      <c r="Z700" s="65" t="n"/>
      <c r="AA700" s="65" t="n"/>
      <c r="AB700" s="65" t="n"/>
      <c r="AC700" s="65" t="n"/>
      <c r="AD700" s="65" t="n"/>
      <c r="AE700" s="65" t="n"/>
      <c r="AF700" s="65" t="n"/>
      <c r="AG700" s="65" t="n"/>
      <c r="AH700" s="65" t="n"/>
      <c r="AI700" s="65" t="n"/>
      <c r="AJ700" s="65" t="n"/>
      <c r="AK700" s="65" t="n"/>
      <c r="AL700" s="65" t="n"/>
      <c r="AM700" s="65" t="n"/>
      <c r="AN700" s="65" t="n"/>
      <c r="AO700" s="65" t="n"/>
      <c r="AP700" s="65" t="n"/>
    </row>
    <row r="701">
      <c r="F701" s="68" t="n"/>
      <c r="G701" s="68">
        <f>IF(B701="","",F701-I701 )</f>
        <v/>
      </c>
      <c r="H701" s="5">
        <f>IF(G701="","",G701/F701)</f>
        <v/>
      </c>
      <c r="J701" s="65" t="n"/>
      <c r="K701" s="65" t="n"/>
      <c r="L701" s="65" t="n"/>
      <c r="M701" s="65" t="n"/>
      <c r="N701" s="65" t="n"/>
      <c r="O701" s="65" t="n"/>
      <c r="P701" s="65" t="n"/>
      <c r="Q701" s="65" t="n"/>
      <c r="R701" s="65" t="n"/>
      <c r="S701" s="65" t="n"/>
      <c r="T701" s="65" t="n"/>
      <c r="U701" s="65" t="n"/>
      <c r="V701" s="77" t="n"/>
      <c r="W701" s="65" t="n"/>
      <c r="X701" s="65" t="n"/>
      <c r="Y701" s="65" t="n"/>
      <c r="Z701" s="65" t="n"/>
      <c r="AA701" s="65" t="n"/>
      <c r="AB701" s="65" t="n"/>
      <c r="AC701" s="65" t="n"/>
      <c r="AD701" s="65" t="n"/>
      <c r="AE701" s="65" t="n"/>
      <c r="AF701" s="65" t="n"/>
      <c r="AG701" s="65" t="n"/>
      <c r="AH701" s="65" t="n"/>
      <c r="AI701" s="65" t="n"/>
      <c r="AJ701" s="65" t="n"/>
      <c r="AK701" s="65" t="n"/>
      <c r="AL701" s="65" t="n"/>
      <c r="AM701" s="65" t="n"/>
      <c r="AN701" s="65" t="n"/>
      <c r="AO701" s="65" t="n"/>
      <c r="AP701" s="65" t="n"/>
    </row>
    <row r="702">
      <c r="F702" s="68" t="n"/>
      <c r="G702" s="68">
        <f>IF(B702="","",F702-I702 )</f>
        <v/>
      </c>
      <c r="H702" s="5">
        <f>IF(G702="","",G702/F702)</f>
        <v/>
      </c>
      <c r="J702" s="65" t="n"/>
      <c r="K702" s="65" t="n"/>
      <c r="L702" s="65" t="n"/>
      <c r="M702" s="65" t="n"/>
      <c r="N702" s="65" t="n"/>
      <c r="O702" s="65" t="n"/>
      <c r="P702" s="65" t="n"/>
      <c r="Q702" s="65" t="n"/>
      <c r="R702" s="65" t="n"/>
      <c r="S702" s="65" t="n"/>
      <c r="T702" s="65" t="n"/>
      <c r="U702" s="65" t="n"/>
      <c r="V702" s="77" t="n"/>
      <c r="W702" s="65" t="n"/>
      <c r="X702" s="65" t="n"/>
      <c r="Y702" s="65" t="n"/>
      <c r="Z702" s="65" t="n"/>
      <c r="AA702" s="65" t="n"/>
      <c r="AB702" s="65" t="n"/>
      <c r="AC702" s="65" t="n"/>
      <c r="AD702" s="65" t="n"/>
      <c r="AE702" s="65" t="n"/>
      <c r="AF702" s="65" t="n"/>
      <c r="AG702" s="65" t="n"/>
      <c r="AH702" s="65" t="n"/>
      <c r="AI702" s="65" t="n"/>
      <c r="AJ702" s="65" t="n"/>
      <c r="AK702" s="65" t="n"/>
      <c r="AL702" s="65" t="n"/>
      <c r="AM702" s="65" t="n"/>
      <c r="AN702" s="65" t="n"/>
      <c r="AO702" s="65" t="n"/>
      <c r="AP702" s="65" t="n"/>
    </row>
    <row r="703">
      <c r="F703" s="68" t="n"/>
      <c r="G703" s="68">
        <f>IF(B703="","",F703-I703 )</f>
        <v/>
      </c>
      <c r="H703" s="5">
        <f>IF(G703="","",G703/F703)</f>
        <v/>
      </c>
      <c r="J703" s="65" t="n"/>
      <c r="K703" s="65" t="n"/>
      <c r="L703" s="65" t="n"/>
      <c r="M703" s="65" t="n"/>
      <c r="N703" s="65" t="n"/>
      <c r="O703" s="65" t="n"/>
      <c r="P703" s="65" t="n"/>
      <c r="Q703" s="65" t="n"/>
      <c r="R703" s="65" t="n"/>
      <c r="S703" s="65" t="n"/>
      <c r="T703" s="65" t="n"/>
      <c r="U703" s="65" t="n"/>
      <c r="V703" s="77" t="n"/>
      <c r="W703" s="65" t="n"/>
      <c r="X703" s="65" t="n"/>
      <c r="Y703" s="65" t="n"/>
      <c r="Z703" s="65" t="n"/>
      <c r="AA703" s="65" t="n"/>
      <c r="AB703" s="65" t="n"/>
      <c r="AC703" s="65" t="n"/>
      <c r="AD703" s="65" t="n"/>
      <c r="AE703" s="65" t="n"/>
      <c r="AF703" s="65" t="n"/>
      <c r="AG703" s="65" t="n"/>
      <c r="AH703" s="65" t="n"/>
      <c r="AI703" s="65" t="n"/>
      <c r="AJ703" s="65" t="n"/>
      <c r="AK703" s="65" t="n"/>
      <c r="AL703" s="65" t="n"/>
      <c r="AM703" s="65" t="n"/>
      <c r="AN703" s="65" t="n"/>
      <c r="AO703" s="65" t="n"/>
      <c r="AP703" s="65" t="n"/>
    </row>
    <row r="704">
      <c r="F704" s="68" t="n"/>
      <c r="G704" s="68">
        <f>IF(B704="","",F704-I704 )</f>
        <v/>
      </c>
      <c r="H704" s="5">
        <f>IF(G704="","",G704/F704)</f>
        <v/>
      </c>
      <c r="J704" s="65" t="n"/>
      <c r="K704" s="65" t="n"/>
      <c r="L704" s="65" t="n"/>
      <c r="M704" s="65" t="n"/>
      <c r="N704" s="65" t="n"/>
      <c r="O704" s="65" t="n"/>
      <c r="P704" s="65" t="n"/>
      <c r="Q704" s="65" t="n"/>
      <c r="R704" s="65" t="n"/>
      <c r="S704" s="65" t="n"/>
      <c r="T704" s="65" t="n"/>
      <c r="U704" s="65" t="n"/>
      <c r="V704" s="77" t="n"/>
      <c r="W704" s="65" t="n"/>
      <c r="X704" s="65" t="n"/>
      <c r="Y704" s="65" t="n"/>
      <c r="Z704" s="65" t="n"/>
      <c r="AA704" s="65" t="n"/>
      <c r="AB704" s="65" t="n"/>
      <c r="AC704" s="65" t="n"/>
      <c r="AD704" s="65" t="n"/>
      <c r="AE704" s="65" t="n"/>
      <c r="AF704" s="65" t="n"/>
      <c r="AG704" s="65" t="n"/>
      <c r="AH704" s="65" t="n"/>
      <c r="AI704" s="65" t="n"/>
      <c r="AJ704" s="65" t="n"/>
      <c r="AK704" s="65" t="n"/>
      <c r="AL704" s="65" t="n"/>
      <c r="AM704" s="65" t="n"/>
      <c r="AN704" s="65" t="n"/>
      <c r="AO704" s="65" t="n"/>
      <c r="AP704" s="65" t="n"/>
    </row>
    <row r="705">
      <c r="F705" s="68" t="n"/>
      <c r="G705" s="68">
        <f>IF(B705="","",F705-I705 )</f>
        <v/>
      </c>
      <c r="H705" s="5">
        <f>IF(G705="","",G705/F705)</f>
        <v/>
      </c>
      <c r="J705" s="65" t="n"/>
      <c r="K705" s="65" t="n"/>
      <c r="L705" s="65" t="n"/>
      <c r="M705" s="65" t="n"/>
      <c r="N705" s="65" t="n"/>
      <c r="O705" s="65" t="n"/>
      <c r="P705" s="65" t="n"/>
      <c r="Q705" s="65" t="n"/>
      <c r="R705" s="65" t="n"/>
      <c r="S705" s="65" t="n"/>
      <c r="T705" s="65" t="n"/>
      <c r="U705" s="65" t="n"/>
      <c r="V705" s="77" t="n"/>
      <c r="W705" s="65" t="n"/>
      <c r="X705" s="65" t="n"/>
      <c r="Y705" s="65" t="n"/>
      <c r="Z705" s="65" t="n"/>
      <c r="AA705" s="65" t="n"/>
      <c r="AB705" s="65" t="n"/>
      <c r="AC705" s="65" t="n"/>
      <c r="AD705" s="65" t="n"/>
      <c r="AE705" s="65" t="n"/>
      <c r="AF705" s="65" t="n"/>
      <c r="AG705" s="65" t="n"/>
      <c r="AH705" s="65" t="n"/>
      <c r="AI705" s="65" t="n"/>
      <c r="AJ705" s="65" t="n"/>
      <c r="AK705" s="65" t="n"/>
      <c r="AL705" s="65" t="n"/>
      <c r="AM705" s="65" t="n"/>
      <c r="AN705" s="65" t="n"/>
      <c r="AO705" s="65" t="n"/>
      <c r="AP705" s="65" t="n"/>
    </row>
    <row r="706">
      <c r="F706" s="68" t="n"/>
      <c r="G706" s="68">
        <f>IF(B706="","",F706-I706 )</f>
        <v/>
      </c>
      <c r="H706" s="5">
        <f>IF(G706="","",G706/F706)</f>
        <v/>
      </c>
      <c r="J706" s="65" t="n"/>
      <c r="K706" s="65" t="n"/>
      <c r="L706" s="65" t="n"/>
      <c r="M706" s="65" t="n"/>
      <c r="N706" s="65" t="n"/>
      <c r="O706" s="65" t="n"/>
      <c r="P706" s="65" t="n"/>
      <c r="Q706" s="65" t="n"/>
      <c r="R706" s="65" t="n"/>
      <c r="S706" s="65" t="n"/>
      <c r="T706" s="65" t="n"/>
      <c r="U706" s="65" t="n"/>
      <c r="V706" s="77" t="n"/>
      <c r="W706" s="65" t="n"/>
      <c r="X706" s="65" t="n"/>
      <c r="Y706" s="65" t="n"/>
      <c r="Z706" s="65" t="n"/>
      <c r="AA706" s="65" t="n"/>
      <c r="AB706" s="65" t="n"/>
      <c r="AC706" s="65" t="n"/>
      <c r="AD706" s="65" t="n"/>
      <c r="AE706" s="65" t="n"/>
      <c r="AF706" s="65" t="n"/>
      <c r="AG706" s="65" t="n"/>
      <c r="AH706" s="65" t="n"/>
      <c r="AI706" s="65" t="n"/>
      <c r="AJ706" s="65" t="n"/>
      <c r="AK706" s="65" t="n"/>
      <c r="AL706" s="65" t="n"/>
      <c r="AM706" s="65" t="n"/>
      <c r="AN706" s="65" t="n"/>
      <c r="AO706" s="65" t="n"/>
      <c r="AP706" s="65" t="n"/>
    </row>
    <row r="707">
      <c r="F707" s="68" t="n"/>
      <c r="G707" s="68">
        <f>IF(B707="","",F707-I707 )</f>
        <v/>
      </c>
      <c r="H707" s="5">
        <f>IF(G707="","",G707/F707)</f>
        <v/>
      </c>
      <c r="J707" s="65" t="n"/>
      <c r="K707" s="65" t="n"/>
      <c r="L707" s="65" t="n"/>
      <c r="M707" s="65" t="n"/>
      <c r="N707" s="65" t="n"/>
      <c r="O707" s="65" t="n"/>
      <c r="P707" s="65" t="n"/>
      <c r="Q707" s="65" t="n"/>
      <c r="R707" s="65" t="n"/>
      <c r="S707" s="65" t="n"/>
      <c r="T707" s="65" t="n"/>
      <c r="U707" s="65" t="n"/>
      <c r="V707" s="77" t="n"/>
      <c r="W707" s="65" t="n"/>
      <c r="X707" s="65" t="n"/>
      <c r="Y707" s="65" t="n"/>
      <c r="Z707" s="65" t="n"/>
      <c r="AA707" s="65" t="n"/>
      <c r="AB707" s="65" t="n"/>
      <c r="AC707" s="65" t="n"/>
      <c r="AD707" s="65" t="n"/>
      <c r="AE707" s="65" t="n"/>
      <c r="AF707" s="65" t="n"/>
      <c r="AG707" s="65" t="n"/>
      <c r="AH707" s="65" t="n"/>
      <c r="AI707" s="65" t="n"/>
      <c r="AJ707" s="65" t="n"/>
      <c r="AK707" s="65" t="n"/>
      <c r="AL707" s="65" t="n"/>
      <c r="AM707" s="65" t="n"/>
      <c r="AN707" s="65" t="n"/>
      <c r="AO707" s="65" t="n"/>
      <c r="AP707" s="65" t="n"/>
    </row>
    <row r="708">
      <c r="F708" s="68" t="n"/>
      <c r="G708" s="68">
        <f>IF(B708="","",F708-I708 )</f>
        <v/>
      </c>
      <c r="H708" s="5">
        <f>IF(G708="","",G708/F708)</f>
        <v/>
      </c>
      <c r="J708" s="65" t="n"/>
      <c r="K708" s="65" t="n"/>
      <c r="L708" s="65" t="n"/>
      <c r="M708" s="65" t="n"/>
      <c r="N708" s="65" t="n"/>
      <c r="O708" s="65" t="n"/>
      <c r="P708" s="65" t="n"/>
      <c r="Q708" s="65" t="n"/>
      <c r="R708" s="65" t="n"/>
      <c r="S708" s="65" t="n"/>
      <c r="T708" s="65" t="n"/>
      <c r="U708" s="65" t="n"/>
      <c r="V708" s="77" t="n"/>
      <c r="W708" s="65" t="n"/>
      <c r="X708" s="65" t="n"/>
      <c r="Y708" s="65" t="n"/>
      <c r="Z708" s="65" t="n"/>
      <c r="AA708" s="65" t="n"/>
      <c r="AB708" s="65" t="n"/>
      <c r="AC708" s="65" t="n"/>
      <c r="AD708" s="65" t="n"/>
      <c r="AE708" s="65" t="n"/>
      <c r="AF708" s="65" t="n"/>
      <c r="AG708" s="65" t="n"/>
      <c r="AH708" s="65" t="n"/>
      <c r="AI708" s="65" t="n"/>
      <c r="AJ708" s="65" t="n"/>
      <c r="AK708" s="65" t="n"/>
      <c r="AL708" s="65" t="n"/>
      <c r="AM708" s="65" t="n"/>
      <c r="AN708" s="65" t="n"/>
      <c r="AO708" s="65" t="n"/>
      <c r="AP708" s="65" t="n"/>
    </row>
    <row r="709">
      <c r="F709" s="68" t="n"/>
      <c r="G709" s="68">
        <f>IF(B709="","",F709-I709 )</f>
        <v/>
      </c>
      <c r="H709" s="5">
        <f>IF(G709="","",G709/F709)</f>
        <v/>
      </c>
      <c r="J709" s="65" t="n"/>
      <c r="K709" s="65" t="n"/>
      <c r="L709" s="65" t="n"/>
      <c r="M709" s="65" t="n"/>
      <c r="N709" s="65" t="n"/>
      <c r="O709" s="65" t="n"/>
      <c r="P709" s="65" t="n"/>
      <c r="Q709" s="65" t="n"/>
      <c r="R709" s="65" t="n"/>
      <c r="S709" s="65" t="n"/>
      <c r="T709" s="65" t="n"/>
      <c r="U709" s="65" t="n"/>
      <c r="V709" s="77" t="n"/>
      <c r="W709" s="65" t="n"/>
      <c r="X709" s="65" t="n"/>
      <c r="Y709" s="65" t="n"/>
      <c r="Z709" s="65" t="n"/>
      <c r="AA709" s="65" t="n"/>
      <c r="AB709" s="65" t="n"/>
      <c r="AC709" s="65" t="n"/>
      <c r="AD709" s="65" t="n"/>
      <c r="AE709" s="65" t="n"/>
      <c r="AF709" s="65" t="n"/>
      <c r="AG709" s="65" t="n"/>
      <c r="AH709" s="65" t="n"/>
      <c r="AI709" s="65" t="n"/>
      <c r="AJ709" s="65" t="n"/>
      <c r="AK709" s="65" t="n"/>
      <c r="AL709" s="65" t="n"/>
      <c r="AM709" s="65" t="n"/>
      <c r="AN709" s="65" t="n"/>
      <c r="AO709" s="65" t="n"/>
      <c r="AP709" s="65" t="n"/>
    </row>
    <row r="710">
      <c r="F710" s="68" t="n"/>
      <c r="G710" s="68">
        <f>IF(B710="","",F710-I710 )</f>
        <v/>
      </c>
      <c r="H710" s="5">
        <f>IF(G710="","",G710/F710)</f>
        <v/>
      </c>
      <c r="J710" s="65" t="n"/>
      <c r="K710" s="65" t="n"/>
      <c r="L710" s="65" t="n"/>
      <c r="M710" s="65" t="n"/>
      <c r="N710" s="65" t="n"/>
      <c r="O710" s="65" t="n"/>
      <c r="P710" s="65" t="n"/>
      <c r="Q710" s="65" t="n"/>
      <c r="R710" s="65" t="n"/>
      <c r="S710" s="65" t="n"/>
      <c r="T710" s="65" t="n"/>
      <c r="U710" s="65" t="n"/>
      <c r="V710" s="77" t="n"/>
      <c r="W710" s="65" t="n"/>
      <c r="X710" s="65" t="n"/>
      <c r="Y710" s="65" t="n"/>
      <c r="Z710" s="65" t="n"/>
      <c r="AA710" s="65" t="n"/>
      <c r="AB710" s="65" t="n"/>
      <c r="AC710" s="65" t="n"/>
      <c r="AD710" s="65" t="n"/>
      <c r="AE710" s="65" t="n"/>
      <c r="AF710" s="65" t="n"/>
      <c r="AG710" s="65" t="n"/>
      <c r="AH710" s="65" t="n"/>
      <c r="AI710" s="65" t="n"/>
      <c r="AJ710" s="65" t="n"/>
      <c r="AK710" s="65" t="n"/>
      <c r="AL710" s="65" t="n"/>
      <c r="AM710" s="65" t="n"/>
      <c r="AN710" s="65" t="n"/>
      <c r="AO710" s="65" t="n"/>
      <c r="AP710" s="65" t="n"/>
    </row>
    <row r="711">
      <c r="F711" s="68" t="n"/>
      <c r="G711" s="68">
        <f>IF(B711="","",F711-I711 )</f>
        <v/>
      </c>
      <c r="H711" s="5">
        <f>IF(G711="","",G711/F711)</f>
        <v/>
      </c>
      <c r="J711" s="65" t="n"/>
      <c r="K711" s="65" t="n"/>
      <c r="L711" s="65" t="n"/>
      <c r="M711" s="65" t="n"/>
      <c r="N711" s="65" t="n"/>
      <c r="O711" s="65" t="n"/>
      <c r="P711" s="65" t="n"/>
      <c r="Q711" s="65" t="n"/>
      <c r="R711" s="65" t="n"/>
      <c r="S711" s="65" t="n"/>
      <c r="T711" s="65" t="n"/>
      <c r="U711" s="65" t="n"/>
      <c r="V711" s="77" t="n"/>
      <c r="W711" s="65" t="n"/>
      <c r="X711" s="65" t="n"/>
      <c r="Y711" s="65" t="n"/>
      <c r="Z711" s="65" t="n"/>
      <c r="AA711" s="65" t="n"/>
      <c r="AB711" s="65" t="n"/>
      <c r="AC711" s="65" t="n"/>
      <c r="AD711" s="65" t="n"/>
      <c r="AE711" s="65" t="n"/>
      <c r="AF711" s="65" t="n"/>
      <c r="AG711" s="65" t="n"/>
      <c r="AH711" s="65" t="n"/>
      <c r="AI711" s="65" t="n"/>
      <c r="AJ711" s="65" t="n"/>
      <c r="AK711" s="65" t="n"/>
      <c r="AL711" s="65" t="n"/>
      <c r="AM711" s="65" t="n"/>
      <c r="AN711" s="65" t="n"/>
      <c r="AO711" s="65" t="n"/>
      <c r="AP711" s="65" t="n"/>
    </row>
    <row r="712">
      <c r="F712" s="68" t="n"/>
      <c r="G712" s="68">
        <f>IF(B712="","",F712-I712 )</f>
        <v/>
      </c>
      <c r="H712" s="5">
        <f>IF(G712="","",G712/F712)</f>
        <v/>
      </c>
      <c r="J712" s="65" t="n"/>
      <c r="K712" s="65" t="n"/>
      <c r="L712" s="65" t="n"/>
      <c r="M712" s="65" t="n"/>
      <c r="N712" s="65" t="n"/>
      <c r="O712" s="65" t="n"/>
      <c r="P712" s="65" t="n"/>
      <c r="Q712" s="65" t="n"/>
      <c r="R712" s="65" t="n"/>
      <c r="S712" s="65" t="n"/>
      <c r="T712" s="65" t="n"/>
      <c r="U712" s="65" t="n"/>
      <c r="V712" s="77" t="n"/>
      <c r="W712" s="65" t="n"/>
      <c r="X712" s="65" t="n"/>
      <c r="Y712" s="65" t="n"/>
      <c r="Z712" s="65" t="n"/>
      <c r="AA712" s="65" t="n"/>
      <c r="AB712" s="65" t="n"/>
      <c r="AC712" s="65" t="n"/>
      <c r="AD712" s="65" t="n"/>
      <c r="AE712" s="65" t="n"/>
      <c r="AF712" s="65" t="n"/>
      <c r="AG712" s="65" t="n"/>
      <c r="AH712" s="65" t="n"/>
      <c r="AI712" s="65" t="n"/>
      <c r="AJ712" s="65" t="n"/>
      <c r="AK712" s="65" t="n"/>
      <c r="AL712" s="65" t="n"/>
      <c r="AM712" s="65" t="n"/>
      <c r="AN712" s="65" t="n"/>
      <c r="AO712" s="65" t="n"/>
      <c r="AP712" s="65" t="n"/>
    </row>
    <row r="713">
      <c r="F713" s="68" t="n"/>
      <c r="G713" s="68">
        <f>IF(B713="","",F713-I713 )</f>
        <v/>
      </c>
      <c r="H713" s="5">
        <f>IF(G713="","",G713/F713)</f>
        <v/>
      </c>
      <c r="J713" s="65" t="n"/>
      <c r="K713" s="65" t="n"/>
      <c r="L713" s="65" t="n"/>
      <c r="M713" s="65" t="n"/>
      <c r="N713" s="65" t="n"/>
      <c r="O713" s="65" t="n"/>
      <c r="P713" s="65" t="n"/>
      <c r="Q713" s="65" t="n"/>
      <c r="R713" s="65" t="n"/>
      <c r="S713" s="65" t="n"/>
      <c r="T713" s="65" t="n"/>
      <c r="U713" s="65" t="n"/>
      <c r="V713" s="77" t="n"/>
      <c r="W713" s="65" t="n"/>
      <c r="X713" s="65" t="n"/>
      <c r="Y713" s="65" t="n"/>
      <c r="Z713" s="65" t="n"/>
      <c r="AA713" s="65" t="n"/>
      <c r="AB713" s="65" t="n"/>
      <c r="AC713" s="65" t="n"/>
      <c r="AD713" s="65" t="n"/>
      <c r="AE713" s="65" t="n"/>
      <c r="AF713" s="65" t="n"/>
      <c r="AG713" s="65" t="n"/>
      <c r="AH713" s="65" t="n"/>
      <c r="AI713" s="65" t="n"/>
      <c r="AJ713" s="65" t="n"/>
      <c r="AK713" s="65" t="n"/>
      <c r="AL713" s="65" t="n"/>
      <c r="AM713" s="65" t="n"/>
      <c r="AN713" s="65" t="n"/>
      <c r="AO713" s="65" t="n"/>
      <c r="AP713" s="65" t="n"/>
    </row>
    <row r="714">
      <c r="F714" s="68" t="n"/>
      <c r="G714" s="68">
        <f>IF(B714="","",F714-I714 )</f>
        <v/>
      </c>
      <c r="H714" s="5">
        <f>IF(G714="","",G714/F714)</f>
        <v/>
      </c>
      <c r="J714" s="65" t="n"/>
      <c r="K714" s="65" t="n"/>
      <c r="L714" s="65" t="n"/>
      <c r="M714" s="65" t="n"/>
      <c r="N714" s="65" t="n"/>
      <c r="O714" s="65" t="n"/>
      <c r="P714" s="65" t="n"/>
      <c r="Q714" s="65" t="n"/>
      <c r="R714" s="65" t="n"/>
      <c r="S714" s="65" t="n"/>
      <c r="T714" s="65" t="n"/>
      <c r="U714" s="65" t="n"/>
      <c r="V714" s="77" t="n"/>
      <c r="W714" s="65" t="n"/>
      <c r="X714" s="65" t="n"/>
      <c r="Y714" s="65" t="n"/>
      <c r="Z714" s="65" t="n"/>
      <c r="AA714" s="65" t="n"/>
      <c r="AB714" s="65" t="n"/>
      <c r="AC714" s="65" t="n"/>
      <c r="AD714" s="65" t="n"/>
      <c r="AE714" s="65" t="n"/>
      <c r="AF714" s="65" t="n"/>
      <c r="AG714" s="65" t="n"/>
      <c r="AH714" s="65" t="n"/>
      <c r="AI714" s="65" t="n"/>
      <c r="AJ714" s="65" t="n"/>
      <c r="AK714" s="65" t="n"/>
      <c r="AL714" s="65" t="n"/>
      <c r="AM714" s="65" t="n"/>
      <c r="AN714" s="65" t="n"/>
      <c r="AO714" s="65" t="n"/>
      <c r="AP714" s="65" t="n"/>
    </row>
    <row r="715">
      <c r="F715" s="68" t="n"/>
      <c r="G715" s="68">
        <f>IF(B715="","",F715-I715 )</f>
        <v/>
      </c>
      <c r="H715" s="5">
        <f>IF(G715="","",G715/F715)</f>
        <v/>
      </c>
      <c r="J715" s="65" t="n"/>
      <c r="K715" s="65" t="n"/>
      <c r="L715" s="65" t="n"/>
      <c r="M715" s="65" t="n"/>
      <c r="N715" s="65" t="n"/>
      <c r="O715" s="65" t="n"/>
      <c r="P715" s="65" t="n"/>
      <c r="Q715" s="65" t="n"/>
      <c r="R715" s="65" t="n"/>
      <c r="S715" s="65" t="n"/>
      <c r="T715" s="65" t="n"/>
      <c r="U715" s="65" t="n"/>
      <c r="V715" s="77" t="n"/>
      <c r="W715" s="65" t="n"/>
      <c r="X715" s="65" t="n"/>
      <c r="Y715" s="65" t="n"/>
      <c r="Z715" s="65" t="n"/>
      <c r="AA715" s="65" t="n"/>
      <c r="AB715" s="65" t="n"/>
      <c r="AC715" s="65" t="n"/>
      <c r="AD715" s="65" t="n"/>
      <c r="AE715" s="65" t="n"/>
      <c r="AF715" s="65" t="n"/>
      <c r="AG715" s="65" t="n"/>
      <c r="AH715" s="65" t="n"/>
      <c r="AI715" s="65" t="n"/>
      <c r="AJ715" s="65" t="n"/>
      <c r="AK715" s="65" t="n"/>
      <c r="AL715" s="65" t="n"/>
      <c r="AM715" s="65" t="n"/>
      <c r="AN715" s="65" t="n"/>
      <c r="AO715" s="65" t="n"/>
      <c r="AP715" s="65" t="n"/>
    </row>
    <row r="716">
      <c r="F716" s="68" t="n"/>
      <c r="G716" s="68">
        <f>IF(B716="","",F716-I716 )</f>
        <v/>
      </c>
      <c r="H716" s="5">
        <f>IF(G716="","",G716/F716)</f>
        <v/>
      </c>
      <c r="J716" s="65" t="n"/>
      <c r="K716" s="65" t="n"/>
      <c r="L716" s="65" t="n"/>
      <c r="M716" s="65" t="n"/>
      <c r="N716" s="65" t="n"/>
      <c r="O716" s="65" t="n"/>
      <c r="P716" s="65" t="n"/>
      <c r="Q716" s="65" t="n"/>
      <c r="R716" s="65" t="n"/>
      <c r="S716" s="65" t="n"/>
      <c r="T716" s="65" t="n"/>
      <c r="U716" s="65" t="n"/>
      <c r="V716" s="77" t="n"/>
      <c r="W716" s="65" t="n"/>
      <c r="X716" s="65" t="n"/>
      <c r="Y716" s="65" t="n"/>
      <c r="Z716" s="65" t="n"/>
      <c r="AA716" s="65" t="n"/>
      <c r="AB716" s="65" t="n"/>
      <c r="AC716" s="65" t="n"/>
      <c r="AD716" s="65" t="n"/>
      <c r="AE716" s="65" t="n"/>
      <c r="AF716" s="65" t="n"/>
      <c r="AG716" s="65" t="n"/>
      <c r="AH716" s="65" t="n"/>
      <c r="AI716" s="65" t="n"/>
      <c r="AJ716" s="65" t="n"/>
      <c r="AK716" s="65" t="n"/>
      <c r="AL716" s="65" t="n"/>
      <c r="AM716" s="65" t="n"/>
      <c r="AN716" s="65" t="n"/>
      <c r="AO716" s="65" t="n"/>
      <c r="AP716" s="65" t="n"/>
    </row>
    <row r="717">
      <c r="F717" s="68" t="n"/>
      <c r="G717" s="68">
        <f>IF(B717="","",F717-I717 )</f>
        <v/>
      </c>
      <c r="H717" s="5">
        <f>IF(G717="","",G717/F717)</f>
        <v/>
      </c>
      <c r="J717" s="65" t="n"/>
      <c r="K717" s="65" t="n"/>
      <c r="L717" s="65" t="n"/>
      <c r="M717" s="65" t="n"/>
      <c r="N717" s="65" t="n"/>
      <c r="O717" s="65" t="n"/>
      <c r="P717" s="65" t="n"/>
      <c r="Q717" s="65" t="n"/>
      <c r="R717" s="65" t="n"/>
      <c r="S717" s="65" t="n"/>
      <c r="T717" s="65" t="n"/>
      <c r="U717" s="65" t="n"/>
      <c r="V717" s="77" t="n"/>
      <c r="W717" s="65" t="n"/>
      <c r="X717" s="65" t="n"/>
      <c r="Y717" s="65" t="n"/>
      <c r="Z717" s="65" t="n"/>
      <c r="AA717" s="65" t="n"/>
      <c r="AB717" s="65" t="n"/>
      <c r="AC717" s="65" t="n"/>
      <c r="AD717" s="65" t="n"/>
      <c r="AE717" s="65" t="n"/>
      <c r="AF717" s="65" t="n"/>
      <c r="AG717" s="65" t="n"/>
      <c r="AH717" s="65" t="n"/>
      <c r="AI717" s="65" t="n"/>
      <c r="AJ717" s="65" t="n"/>
      <c r="AK717" s="65" t="n"/>
      <c r="AL717" s="65" t="n"/>
      <c r="AM717" s="65" t="n"/>
      <c r="AN717" s="65" t="n"/>
      <c r="AO717" s="65" t="n"/>
      <c r="AP717" s="65" t="n"/>
    </row>
    <row r="718">
      <c r="F718" s="68" t="n"/>
      <c r="G718" s="68">
        <f>IF(B718="","",F718-I718 )</f>
        <v/>
      </c>
      <c r="H718" s="5">
        <f>IF(G718="","",G718/F718)</f>
        <v/>
      </c>
      <c r="J718" s="65" t="n"/>
      <c r="K718" s="65" t="n"/>
      <c r="L718" s="65" t="n"/>
      <c r="M718" s="65" t="n"/>
      <c r="N718" s="65" t="n"/>
      <c r="O718" s="65" t="n"/>
      <c r="P718" s="65" t="n"/>
      <c r="Q718" s="65" t="n"/>
      <c r="R718" s="65" t="n"/>
      <c r="S718" s="65" t="n"/>
      <c r="T718" s="65" t="n"/>
      <c r="U718" s="65" t="n"/>
      <c r="V718" s="77" t="n"/>
      <c r="W718" s="65" t="n"/>
      <c r="X718" s="65" t="n"/>
      <c r="Y718" s="65" t="n"/>
      <c r="Z718" s="65" t="n"/>
      <c r="AA718" s="65" t="n"/>
      <c r="AB718" s="65" t="n"/>
      <c r="AC718" s="65" t="n"/>
      <c r="AD718" s="65" t="n"/>
      <c r="AE718" s="65" t="n"/>
      <c r="AF718" s="65" t="n"/>
      <c r="AG718" s="65" t="n"/>
      <c r="AH718" s="65" t="n"/>
      <c r="AI718" s="65" t="n"/>
      <c r="AJ718" s="65" t="n"/>
      <c r="AK718" s="65" t="n"/>
      <c r="AL718" s="65" t="n"/>
      <c r="AM718" s="65" t="n"/>
      <c r="AN718" s="65" t="n"/>
      <c r="AO718" s="65" t="n"/>
      <c r="AP718" s="65" t="n"/>
    </row>
    <row r="719">
      <c r="F719" s="68" t="n"/>
      <c r="G719" s="68">
        <f>IF(B719="","",F719-I719 )</f>
        <v/>
      </c>
      <c r="H719" s="5">
        <f>IF(G719="","",G719/F719)</f>
        <v/>
      </c>
      <c r="J719" s="65" t="n"/>
      <c r="K719" s="65" t="n"/>
      <c r="L719" s="65" t="n"/>
      <c r="M719" s="65" t="n"/>
      <c r="N719" s="65" t="n"/>
      <c r="O719" s="65" t="n"/>
      <c r="P719" s="65" t="n"/>
      <c r="Q719" s="65" t="n"/>
      <c r="R719" s="65" t="n"/>
      <c r="S719" s="65" t="n"/>
      <c r="T719" s="65" t="n"/>
      <c r="U719" s="65" t="n"/>
      <c r="V719" s="77" t="n"/>
      <c r="W719" s="65" t="n"/>
      <c r="X719" s="65" t="n"/>
      <c r="Y719" s="65" t="n"/>
      <c r="Z719" s="65" t="n"/>
      <c r="AA719" s="65" t="n"/>
      <c r="AB719" s="65" t="n"/>
      <c r="AC719" s="65" t="n"/>
      <c r="AD719" s="65" t="n"/>
      <c r="AE719" s="65" t="n"/>
      <c r="AF719" s="65" t="n"/>
      <c r="AG719" s="65" t="n"/>
      <c r="AH719" s="65" t="n"/>
      <c r="AI719" s="65" t="n"/>
      <c r="AJ719" s="65" t="n"/>
      <c r="AK719" s="65" t="n"/>
      <c r="AL719" s="65" t="n"/>
      <c r="AM719" s="65" t="n"/>
      <c r="AN719" s="65" t="n"/>
      <c r="AO719" s="65" t="n"/>
      <c r="AP719" s="65" t="n"/>
    </row>
    <row r="720">
      <c r="F720" s="68" t="n"/>
      <c r="G720" s="68">
        <f>IF(B720="","",F720-I720 )</f>
        <v/>
      </c>
      <c r="H720" s="5">
        <f>IF(G720="","",G720/F720)</f>
        <v/>
      </c>
      <c r="J720" s="65" t="n"/>
      <c r="K720" s="65" t="n"/>
      <c r="L720" s="65" t="n"/>
      <c r="M720" s="65" t="n"/>
      <c r="N720" s="65" t="n"/>
      <c r="O720" s="65" t="n"/>
      <c r="P720" s="65" t="n"/>
      <c r="Q720" s="65" t="n"/>
      <c r="R720" s="65" t="n"/>
      <c r="S720" s="65" t="n"/>
      <c r="T720" s="65" t="n"/>
      <c r="U720" s="65" t="n"/>
      <c r="V720" s="77" t="n"/>
      <c r="W720" s="65" t="n"/>
      <c r="X720" s="65" t="n"/>
      <c r="Y720" s="65" t="n"/>
      <c r="Z720" s="65" t="n"/>
      <c r="AA720" s="65" t="n"/>
      <c r="AB720" s="65" t="n"/>
      <c r="AC720" s="65" t="n"/>
      <c r="AD720" s="65" t="n"/>
      <c r="AE720" s="65" t="n"/>
      <c r="AF720" s="65" t="n"/>
      <c r="AG720" s="65" t="n"/>
      <c r="AH720" s="65" t="n"/>
      <c r="AI720" s="65" t="n"/>
      <c r="AJ720" s="65" t="n"/>
      <c r="AK720" s="65" t="n"/>
      <c r="AL720" s="65" t="n"/>
      <c r="AM720" s="65" t="n"/>
      <c r="AN720" s="65" t="n"/>
      <c r="AO720" s="65" t="n"/>
      <c r="AP720" s="65" t="n"/>
    </row>
    <row r="721">
      <c r="F721" s="68" t="n"/>
      <c r="G721" s="68">
        <f>IF(B721="","",F721-I721 )</f>
        <v/>
      </c>
      <c r="H721" s="5">
        <f>IF(G721="","",G721/F721)</f>
        <v/>
      </c>
      <c r="J721" s="65" t="n"/>
      <c r="K721" s="65" t="n"/>
      <c r="L721" s="65" t="n"/>
      <c r="M721" s="65" t="n"/>
      <c r="N721" s="65" t="n"/>
      <c r="O721" s="65" t="n"/>
      <c r="P721" s="65" t="n"/>
      <c r="Q721" s="65" t="n"/>
      <c r="R721" s="65" t="n"/>
      <c r="S721" s="65" t="n"/>
      <c r="T721" s="65" t="n"/>
      <c r="U721" s="65" t="n"/>
      <c r="V721" s="77" t="n"/>
      <c r="W721" s="65" t="n"/>
      <c r="X721" s="65" t="n"/>
      <c r="Y721" s="65" t="n"/>
      <c r="Z721" s="65" t="n"/>
      <c r="AA721" s="65" t="n"/>
      <c r="AB721" s="65" t="n"/>
      <c r="AC721" s="65" t="n"/>
      <c r="AD721" s="65" t="n"/>
      <c r="AE721" s="65" t="n"/>
      <c r="AF721" s="65" t="n"/>
      <c r="AG721" s="65" t="n"/>
      <c r="AH721" s="65" t="n"/>
      <c r="AI721" s="65" t="n"/>
      <c r="AJ721" s="65" t="n"/>
      <c r="AK721" s="65" t="n"/>
      <c r="AL721" s="65" t="n"/>
      <c r="AM721" s="65" t="n"/>
      <c r="AN721" s="65" t="n"/>
      <c r="AO721" s="65" t="n"/>
      <c r="AP721" s="65" t="n"/>
    </row>
    <row r="722">
      <c r="F722" s="68" t="n"/>
      <c r="G722" s="68">
        <f>IF(B722="","",F722-I722 )</f>
        <v/>
      </c>
      <c r="H722" s="5">
        <f>IF(G722="","",G722/F722)</f>
        <v/>
      </c>
      <c r="J722" s="65" t="n"/>
      <c r="K722" s="65" t="n"/>
      <c r="L722" s="65" t="n"/>
      <c r="M722" s="65" t="n"/>
      <c r="N722" s="65" t="n"/>
      <c r="O722" s="65" t="n"/>
      <c r="P722" s="65" t="n"/>
      <c r="Q722" s="65" t="n"/>
      <c r="R722" s="65" t="n"/>
      <c r="S722" s="65" t="n"/>
      <c r="T722" s="65" t="n"/>
      <c r="U722" s="65" t="n"/>
      <c r="V722" s="77" t="n"/>
      <c r="W722" s="65" t="n"/>
      <c r="X722" s="65" t="n"/>
      <c r="Y722" s="65" t="n"/>
      <c r="Z722" s="65" t="n"/>
      <c r="AA722" s="65" t="n"/>
      <c r="AB722" s="65" t="n"/>
      <c r="AC722" s="65" t="n"/>
      <c r="AD722" s="65" t="n"/>
      <c r="AE722" s="65" t="n"/>
      <c r="AF722" s="65" t="n"/>
      <c r="AG722" s="65" t="n"/>
      <c r="AH722" s="65" t="n"/>
      <c r="AI722" s="65" t="n"/>
      <c r="AJ722" s="65" t="n"/>
      <c r="AK722" s="65" t="n"/>
      <c r="AL722" s="65" t="n"/>
      <c r="AM722" s="65" t="n"/>
      <c r="AN722" s="65" t="n"/>
      <c r="AO722" s="65" t="n"/>
      <c r="AP722" s="65" t="n"/>
    </row>
    <row r="723">
      <c r="F723" s="68" t="n"/>
      <c r="G723" s="68">
        <f>IF(B723="","",F723-I723 )</f>
        <v/>
      </c>
      <c r="H723" s="5">
        <f>IF(G723="","",G723/F723)</f>
        <v/>
      </c>
      <c r="J723" s="65" t="n"/>
      <c r="K723" s="65" t="n"/>
      <c r="L723" s="65" t="n"/>
      <c r="M723" s="65" t="n"/>
      <c r="N723" s="65" t="n"/>
      <c r="O723" s="65" t="n"/>
      <c r="P723" s="65" t="n"/>
      <c r="Q723" s="65" t="n"/>
      <c r="R723" s="65" t="n"/>
      <c r="S723" s="65" t="n"/>
      <c r="T723" s="65" t="n"/>
      <c r="U723" s="65" t="n"/>
      <c r="V723" s="77" t="n"/>
      <c r="W723" s="65" t="n"/>
      <c r="X723" s="65" t="n"/>
      <c r="Y723" s="65" t="n"/>
      <c r="Z723" s="65" t="n"/>
      <c r="AA723" s="65" t="n"/>
      <c r="AB723" s="65" t="n"/>
      <c r="AC723" s="65" t="n"/>
      <c r="AD723" s="65" t="n"/>
      <c r="AE723" s="65" t="n"/>
      <c r="AF723" s="65" t="n"/>
      <c r="AG723" s="65" t="n"/>
      <c r="AH723" s="65" t="n"/>
      <c r="AI723" s="65" t="n"/>
      <c r="AJ723" s="65" t="n"/>
      <c r="AK723" s="65" t="n"/>
      <c r="AL723" s="65" t="n"/>
      <c r="AM723" s="65" t="n"/>
      <c r="AN723" s="65" t="n"/>
      <c r="AO723" s="65" t="n"/>
      <c r="AP723" s="65" t="n"/>
    </row>
    <row r="724">
      <c r="F724" s="68" t="n"/>
      <c r="G724" s="68">
        <f>IF(B724="","",F724-I724 )</f>
        <v/>
      </c>
      <c r="H724" s="5">
        <f>IF(G724="","",G724/F724)</f>
        <v/>
      </c>
      <c r="J724" s="65" t="n"/>
      <c r="K724" s="65" t="n"/>
      <c r="L724" s="65" t="n"/>
      <c r="M724" s="65" t="n"/>
      <c r="N724" s="65" t="n"/>
      <c r="O724" s="65" t="n"/>
      <c r="P724" s="65" t="n"/>
      <c r="Q724" s="65" t="n"/>
      <c r="R724" s="65" t="n"/>
      <c r="S724" s="65" t="n"/>
      <c r="T724" s="65" t="n"/>
      <c r="U724" s="65" t="n"/>
      <c r="V724" s="77" t="n"/>
      <c r="W724" s="65" t="n"/>
      <c r="X724" s="65" t="n"/>
      <c r="Y724" s="65" t="n"/>
      <c r="Z724" s="65" t="n"/>
      <c r="AA724" s="65" t="n"/>
      <c r="AB724" s="65" t="n"/>
      <c r="AC724" s="65" t="n"/>
      <c r="AD724" s="65" t="n"/>
      <c r="AE724" s="65" t="n"/>
      <c r="AF724" s="65" t="n"/>
      <c r="AG724" s="65" t="n"/>
      <c r="AH724" s="65" t="n"/>
      <c r="AI724" s="65" t="n"/>
      <c r="AJ724" s="65" t="n"/>
      <c r="AK724" s="65" t="n"/>
      <c r="AL724" s="65" t="n"/>
      <c r="AM724" s="65" t="n"/>
      <c r="AN724" s="65" t="n"/>
      <c r="AO724" s="65" t="n"/>
      <c r="AP724" s="65" t="n"/>
    </row>
    <row r="725">
      <c r="F725" s="68" t="n"/>
      <c r="G725" s="68">
        <f>IF(B725="","",F725-I725 )</f>
        <v/>
      </c>
      <c r="H725" s="5">
        <f>IF(G725="","",G725/F725)</f>
        <v/>
      </c>
      <c r="J725" s="65" t="n"/>
      <c r="K725" s="65" t="n"/>
      <c r="L725" s="65" t="n"/>
      <c r="M725" s="65" t="n"/>
      <c r="N725" s="65" t="n"/>
      <c r="O725" s="65" t="n"/>
      <c r="P725" s="65" t="n"/>
      <c r="Q725" s="65" t="n"/>
      <c r="R725" s="65" t="n"/>
      <c r="S725" s="65" t="n"/>
      <c r="T725" s="65" t="n"/>
      <c r="U725" s="65" t="n"/>
      <c r="V725" s="77" t="n"/>
      <c r="W725" s="65" t="n"/>
      <c r="X725" s="65" t="n"/>
      <c r="Y725" s="65" t="n"/>
      <c r="Z725" s="65" t="n"/>
      <c r="AA725" s="65" t="n"/>
      <c r="AB725" s="65" t="n"/>
      <c r="AC725" s="65" t="n"/>
      <c r="AD725" s="65" t="n"/>
      <c r="AE725" s="65" t="n"/>
      <c r="AF725" s="65" t="n"/>
      <c r="AG725" s="65" t="n"/>
      <c r="AH725" s="65" t="n"/>
      <c r="AI725" s="65" t="n"/>
      <c r="AJ725" s="65" t="n"/>
      <c r="AK725" s="65" t="n"/>
      <c r="AL725" s="65" t="n"/>
      <c r="AM725" s="65" t="n"/>
      <c r="AN725" s="65" t="n"/>
      <c r="AO725" s="65" t="n"/>
      <c r="AP725" s="65" t="n"/>
    </row>
    <row r="726">
      <c r="F726" s="68" t="n"/>
      <c r="G726" s="68">
        <f>IF(B726="","",F726-I726 )</f>
        <v/>
      </c>
      <c r="H726" s="5">
        <f>IF(G726="","",G726/F726)</f>
        <v/>
      </c>
      <c r="J726" s="65" t="n"/>
      <c r="K726" s="65" t="n"/>
      <c r="L726" s="65" t="n"/>
      <c r="M726" s="65" t="n"/>
      <c r="N726" s="65" t="n"/>
      <c r="O726" s="65" t="n"/>
      <c r="P726" s="65" t="n"/>
      <c r="Q726" s="65" t="n"/>
      <c r="R726" s="65" t="n"/>
      <c r="S726" s="65" t="n"/>
      <c r="T726" s="65" t="n"/>
      <c r="U726" s="65" t="n"/>
      <c r="V726" s="77" t="n"/>
      <c r="W726" s="65" t="n"/>
      <c r="X726" s="65" t="n"/>
      <c r="Y726" s="65" t="n"/>
      <c r="Z726" s="65" t="n"/>
      <c r="AA726" s="65" t="n"/>
      <c r="AB726" s="65" t="n"/>
      <c r="AC726" s="65" t="n"/>
      <c r="AD726" s="65" t="n"/>
      <c r="AE726" s="65" t="n"/>
      <c r="AF726" s="65" t="n"/>
      <c r="AG726" s="65" t="n"/>
      <c r="AH726" s="65" t="n"/>
      <c r="AI726" s="65" t="n"/>
      <c r="AJ726" s="65" t="n"/>
      <c r="AK726" s="65" t="n"/>
      <c r="AL726" s="65" t="n"/>
      <c r="AM726" s="65" t="n"/>
      <c r="AN726" s="65" t="n"/>
      <c r="AO726" s="65" t="n"/>
      <c r="AP726" s="65" t="n"/>
    </row>
    <row r="727">
      <c r="F727" s="68" t="n"/>
      <c r="G727" s="68">
        <f>IF(B727="","",F727-I727 )</f>
        <v/>
      </c>
      <c r="H727" s="5">
        <f>IF(G727="","",G727/F727)</f>
        <v/>
      </c>
      <c r="J727" s="65" t="n"/>
      <c r="K727" s="65" t="n"/>
      <c r="L727" s="65" t="n"/>
      <c r="M727" s="65" t="n"/>
      <c r="N727" s="65" t="n"/>
      <c r="O727" s="65" t="n"/>
      <c r="P727" s="65" t="n"/>
      <c r="Q727" s="65" t="n"/>
      <c r="R727" s="65" t="n"/>
      <c r="S727" s="65" t="n"/>
      <c r="T727" s="65" t="n"/>
      <c r="U727" s="65" t="n"/>
      <c r="V727" s="77" t="n"/>
      <c r="W727" s="65" t="n"/>
      <c r="X727" s="65" t="n"/>
      <c r="Y727" s="65" t="n"/>
      <c r="Z727" s="65" t="n"/>
      <c r="AA727" s="65" t="n"/>
      <c r="AB727" s="65" t="n"/>
      <c r="AC727" s="65" t="n"/>
      <c r="AD727" s="65" t="n"/>
      <c r="AE727" s="65" t="n"/>
      <c r="AF727" s="65" t="n"/>
      <c r="AG727" s="65" t="n"/>
      <c r="AH727" s="65" t="n"/>
      <c r="AI727" s="65" t="n"/>
      <c r="AJ727" s="65" t="n"/>
      <c r="AK727" s="65" t="n"/>
      <c r="AL727" s="65" t="n"/>
      <c r="AM727" s="65" t="n"/>
      <c r="AN727" s="65" t="n"/>
      <c r="AO727" s="65" t="n"/>
      <c r="AP727" s="65" t="n"/>
    </row>
    <row r="728">
      <c r="F728" s="68" t="n"/>
      <c r="G728" s="68">
        <f>IF(B728="","",F728-I728 )</f>
        <v/>
      </c>
      <c r="H728" s="5">
        <f>IF(G728="","",G728/F728)</f>
        <v/>
      </c>
      <c r="J728" s="65" t="n"/>
      <c r="K728" s="65" t="n"/>
      <c r="L728" s="65" t="n"/>
      <c r="M728" s="65" t="n"/>
      <c r="N728" s="65" t="n"/>
      <c r="O728" s="65" t="n"/>
      <c r="P728" s="65" t="n"/>
      <c r="Q728" s="65" t="n"/>
      <c r="R728" s="65" t="n"/>
      <c r="S728" s="65" t="n"/>
      <c r="T728" s="65" t="n"/>
      <c r="U728" s="65" t="n"/>
      <c r="V728" s="77" t="n"/>
      <c r="W728" s="65" t="n"/>
      <c r="X728" s="65" t="n"/>
      <c r="Y728" s="65" t="n"/>
      <c r="Z728" s="65" t="n"/>
      <c r="AA728" s="65" t="n"/>
      <c r="AB728" s="65" t="n"/>
      <c r="AC728" s="65" t="n"/>
      <c r="AD728" s="65" t="n"/>
      <c r="AE728" s="65" t="n"/>
      <c r="AF728" s="65" t="n"/>
      <c r="AG728" s="65" t="n"/>
      <c r="AH728" s="65" t="n"/>
      <c r="AI728" s="65" t="n"/>
      <c r="AJ728" s="65" t="n"/>
      <c r="AK728" s="65" t="n"/>
      <c r="AL728" s="65" t="n"/>
      <c r="AM728" s="65" t="n"/>
      <c r="AN728" s="65" t="n"/>
      <c r="AO728" s="65" t="n"/>
      <c r="AP728" s="65" t="n"/>
    </row>
    <row r="729">
      <c r="F729" s="68" t="n"/>
      <c r="G729" s="68">
        <f>IF(B729="","",F729-I729 )</f>
        <v/>
      </c>
      <c r="H729" s="5">
        <f>IF(G729="","",G729/F729)</f>
        <v/>
      </c>
      <c r="J729" s="65" t="n"/>
      <c r="K729" s="65" t="n"/>
      <c r="L729" s="65" t="n"/>
      <c r="M729" s="65" t="n"/>
      <c r="N729" s="65" t="n"/>
      <c r="O729" s="65" t="n"/>
      <c r="P729" s="65" t="n"/>
      <c r="Q729" s="65" t="n"/>
      <c r="R729" s="65" t="n"/>
      <c r="S729" s="65" t="n"/>
      <c r="T729" s="65" t="n"/>
      <c r="U729" s="65" t="n"/>
      <c r="V729" s="77" t="n"/>
      <c r="W729" s="65" t="n"/>
      <c r="X729" s="65" t="n"/>
      <c r="Y729" s="65" t="n"/>
      <c r="Z729" s="65" t="n"/>
      <c r="AA729" s="65" t="n"/>
      <c r="AB729" s="65" t="n"/>
      <c r="AC729" s="65" t="n"/>
      <c r="AD729" s="65" t="n"/>
      <c r="AE729" s="65" t="n"/>
      <c r="AF729" s="65" t="n"/>
      <c r="AG729" s="65" t="n"/>
      <c r="AH729" s="65" t="n"/>
      <c r="AI729" s="65" t="n"/>
      <c r="AJ729" s="65" t="n"/>
      <c r="AK729" s="65" t="n"/>
      <c r="AL729" s="65" t="n"/>
      <c r="AM729" s="65" t="n"/>
      <c r="AN729" s="65" t="n"/>
      <c r="AO729" s="65" t="n"/>
      <c r="AP729" s="65" t="n"/>
    </row>
    <row r="730">
      <c r="F730" s="68" t="n"/>
      <c r="G730" s="68">
        <f>IF(B730="","",F730-I730 )</f>
        <v/>
      </c>
      <c r="H730" s="5">
        <f>IF(G730="","",G730/F730)</f>
        <v/>
      </c>
      <c r="J730" s="65" t="n"/>
      <c r="K730" s="65" t="n"/>
      <c r="L730" s="65" t="n"/>
      <c r="M730" s="65" t="n"/>
      <c r="N730" s="65" t="n"/>
      <c r="O730" s="65" t="n"/>
      <c r="P730" s="65" t="n"/>
      <c r="Q730" s="65" t="n"/>
      <c r="R730" s="65" t="n"/>
      <c r="S730" s="65" t="n"/>
      <c r="T730" s="65" t="n"/>
      <c r="U730" s="65" t="n"/>
      <c r="V730" s="77" t="n"/>
      <c r="W730" s="65" t="n"/>
      <c r="X730" s="65" t="n"/>
      <c r="Y730" s="65" t="n"/>
      <c r="Z730" s="65" t="n"/>
      <c r="AA730" s="65" t="n"/>
      <c r="AB730" s="65" t="n"/>
      <c r="AC730" s="65" t="n"/>
      <c r="AD730" s="65" t="n"/>
      <c r="AE730" s="65" t="n"/>
      <c r="AF730" s="65" t="n"/>
      <c r="AG730" s="65" t="n"/>
      <c r="AH730" s="65" t="n"/>
      <c r="AI730" s="65" t="n"/>
      <c r="AJ730" s="65" t="n"/>
      <c r="AK730" s="65" t="n"/>
      <c r="AL730" s="65" t="n"/>
      <c r="AM730" s="65" t="n"/>
      <c r="AN730" s="65" t="n"/>
      <c r="AO730" s="65" t="n"/>
      <c r="AP730" s="65" t="n"/>
    </row>
    <row r="731">
      <c r="F731" s="68" t="n"/>
      <c r="G731" s="68">
        <f>IF(B731="","",F731-I731 )</f>
        <v/>
      </c>
      <c r="H731" s="5">
        <f>IF(G731="","",G731/F731)</f>
        <v/>
      </c>
      <c r="J731" s="65" t="n"/>
      <c r="K731" s="65" t="n"/>
      <c r="L731" s="65" t="n"/>
      <c r="M731" s="65" t="n"/>
      <c r="N731" s="65" t="n"/>
      <c r="O731" s="65" t="n"/>
      <c r="P731" s="65" t="n"/>
      <c r="Q731" s="65" t="n"/>
      <c r="R731" s="65" t="n"/>
      <c r="S731" s="65" t="n"/>
      <c r="T731" s="65" t="n"/>
      <c r="U731" s="65" t="n"/>
      <c r="V731" s="77" t="n"/>
      <c r="W731" s="65" t="n"/>
      <c r="X731" s="65" t="n"/>
      <c r="Y731" s="65" t="n"/>
      <c r="Z731" s="65" t="n"/>
      <c r="AA731" s="65" t="n"/>
      <c r="AB731" s="65" t="n"/>
      <c r="AC731" s="65" t="n"/>
      <c r="AD731" s="65" t="n"/>
      <c r="AE731" s="65" t="n"/>
      <c r="AF731" s="65" t="n"/>
      <c r="AG731" s="65" t="n"/>
      <c r="AH731" s="65" t="n"/>
      <c r="AI731" s="65" t="n"/>
      <c r="AJ731" s="65" t="n"/>
      <c r="AK731" s="65" t="n"/>
      <c r="AL731" s="65" t="n"/>
      <c r="AM731" s="65" t="n"/>
      <c r="AN731" s="65" t="n"/>
      <c r="AO731" s="65" t="n"/>
      <c r="AP731" s="65" t="n"/>
    </row>
    <row r="732">
      <c r="F732" s="68" t="n"/>
      <c r="G732" s="68">
        <f>IF(B732="","",F732-I732 )</f>
        <v/>
      </c>
      <c r="H732" s="5">
        <f>IF(G732="","",G732/F732)</f>
        <v/>
      </c>
      <c r="J732" s="65" t="n"/>
      <c r="K732" s="65" t="n"/>
      <c r="L732" s="65" t="n"/>
      <c r="M732" s="65" t="n"/>
      <c r="N732" s="65" t="n"/>
      <c r="O732" s="65" t="n"/>
      <c r="P732" s="65" t="n"/>
      <c r="Q732" s="65" t="n"/>
      <c r="R732" s="65" t="n"/>
      <c r="S732" s="65" t="n"/>
      <c r="T732" s="65" t="n"/>
      <c r="U732" s="65" t="n"/>
      <c r="V732" s="77" t="n"/>
      <c r="W732" s="65" t="n"/>
      <c r="X732" s="65" t="n"/>
      <c r="Y732" s="65" t="n"/>
      <c r="Z732" s="65" t="n"/>
      <c r="AA732" s="65" t="n"/>
      <c r="AB732" s="65" t="n"/>
      <c r="AC732" s="65" t="n"/>
      <c r="AD732" s="65" t="n"/>
      <c r="AE732" s="65" t="n"/>
      <c r="AF732" s="65" t="n"/>
      <c r="AG732" s="65" t="n"/>
      <c r="AH732" s="65" t="n"/>
      <c r="AI732" s="65" t="n"/>
      <c r="AJ732" s="65" t="n"/>
      <c r="AK732" s="65" t="n"/>
      <c r="AL732" s="65" t="n"/>
      <c r="AM732" s="65" t="n"/>
      <c r="AN732" s="65" t="n"/>
      <c r="AO732" s="65" t="n"/>
      <c r="AP732" s="65" t="n"/>
    </row>
    <row r="733">
      <c r="F733" s="68" t="n"/>
      <c r="G733" s="68">
        <f>IF(B733="","",F733-I733 )</f>
        <v/>
      </c>
      <c r="H733" s="5">
        <f>IF(G733="","",G733/F733)</f>
        <v/>
      </c>
      <c r="J733" s="65" t="n"/>
      <c r="K733" s="65" t="n"/>
      <c r="L733" s="65" t="n"/>
      <c r="M733" s="65" t="n"/>
      <c r="N733" s="65" t="n"/>
      <c r="O733" s="65" t="n"/>
      <c r="P733" s="65" t="n"/>
      <c r="Q733" s="65" t="n"/>
      <c r="R733" s="65" t="n"/>
      <c r="S733" s="65" t="n"/>
      <c r="T733" s="65" t="n"/>
      <c r="U733" s="65" t="n"/>
      <c r="V733" s="77" t="n"/>
      <c r="W733" s="65" t="n"/>
      <c r="X733" s="65" t="n"/>
      <c r="Y733" s="65" t="n"/>
      <c r="Z733" s="65" t="n"/>
      <c r="AA733" s="65" t="n"/>
      <c r="AB733" s="65" t="n"/>
      <c r="AC733" s="65" t="n"/>
      <c r="AD733" s="65" t="n"/>
      <c r="AE733" s="65" t="n"/>
      <c r="AF733" s="65" t="n"/>
      <c r="AG733" s="65" t="n"/>
      <c r="AH733" s="65" t="n"/>
      <c r="AI733" s="65" t="n"/>
      <c r="AJ733" s="65" t="n"/>
      <c r="AK733" s="65" t="n"/>
      <c r="AL733" s="65" t="n"/>
      <c r="AM733" s="65" t="n"/>
      <c r="AN733" s="65" t="n"/>
      <c r="AO733" s="65" t="n"/>
      <c r="AP733" s="65" t="n"/>
    </row>
    <row r="734">
      <c r="F734" s="68" t="n"/>
      <c r="G734" s="68">
        <f>IF(B734="","",F734-I734 )</f>
        <v/>
      </c>
      <c r="H734" s="5">
        <f>IF(G734="","",G734/F734)</f>
        <v/>
      </c>
      <c r="J734" s="65" t="n"/>
      <c r="K734" s="65" t="n"/>
      <c r="L734" s="65" t="n"/>
      <c r="M734" s="65" t="n"/>
      <c r="N734" s="65" t="n"/>
      <c r="O734" s="65" t="n"/>
      <c r="P734" s="65" t="n"/>
      <c r="Q734" s="65" t="n"/>
      <c r="R734" s="65" t="n"/>
      <c r="S734" s="65" t="n"/>
      <c r="T734" s="65" t="n"/>
      <c r="U734" s="65" t="n"/>
      <c r="V734" s="77" t="n"/>
      <c r="W734" s="65" t="n"/>
      <c r="X734" s="65" t="n"/>
      <c r="Y734" s="65" t="n"/>
      <c r="Z734" s="65" t="n"/>
      <c r="AA734" s="65" t="n"/>
      <c r="AB734" s="65" t="n"/>
      <c r="AC734" s="65" t="n"/>
      <c r="AD734" s="65" t="n"/>
      <c r="AE734" s="65" t="n"/>
      <c r="AF734" s="65" t="n"/>
      <c r="AG734" s="65" t="n"/>
      <c r="AH734" s="65" t="n"/>
      <c r="AI734" s="65" t="n"/>
      <c r="AJ734" s="65" t="n"/>
      <c r="AK734" s="65" t="n"/>
      <c r="AL734" s="65" t="n"/>
      <c r="AM734" s="65" t="n"/>
      <c r="AN734" s="65" t="n"/>
      <c r="AO734" s="65" t="n"/>
      <c r="AP734" s="65" t="n"/>
    </row>
    <row r="735">
      <c r="F735" s="68" t="n"/>
      <c r="G735" s="68">
        <f>IF(B735="","",F735-I735 )</f>
        <v/>
      </c>
      <c r="H735" s="5">
        <f>IF(G735="","",G735/F735)</f>
        <v/>
      </c>
      <c r="J735" s="65" t="n"/>
      <c r="K735" s="65" t="n"/>
      <c r="L735" s="65" t="n"/>
      <c r="M735" s="65" t="n"/>
      <c r="N735" s="65" t="n"/>
      <c r="O735" s="65" t="n"/>
      <c r="P735" s="65" t="n"/>
      <c r="Q735" s="65" t="n"/>
      <c r="R735" s="65" t="n"/>
      <c r="S735" s="65" t="n"/>
      <c r="T735" s="65" t="n"/>
      <c r="U735" s="65" t="n"/>
      <c r="V735" s="77" t="n"/>
      <c r="W735" s="65" t="n"/>
      <c r="X735" s="65" t="n"/>
      <c r="Y735" s="65" t="n"/>
      <c r="Z735" s="65" t="n"/>
      <c r="AA735" s="65" t="n"/>
      <c r="AB735" s="65" t="n"/>
      <c r="AC735" s="65" t="n"/>
      <c r="AD735" s="65" t="n"/>
      <c r="AE735" s="65" t="n"/>
      <c r="AF735" s="65" t="n"/>
      <c r="AG735" s="65" t="n"/>
      <c r="AH735" s="65" t="n"/>
      <c r="AI735" s="65" t="n"/>
      <c r="AJ735" s="65" t="n"/>
      <c r="AK735" s="65" t="n"/>
      <c r="AL735" s="65" t="n"/>
      <c r="AM735" s="65" t="n"/>
      <c r="AN735" s="65" t="n"/>
      <c r="AO735" s="65" t="n"/>
      <c r="AP735" s="65" t="n"/>
    </row>
    <row r="736">
      <c r="F736" s="68" t="n"/>
      <c r="G736" s="68">
        <f>IF(B736="","",F736-I736 )</f>
        <v/>
      </c>
      <c r="H736" s="5">
        <f>IF(G736="","",G736/F736)</f>
        <v/>
      </c>
      <c r="J736" s="65" t="n"/>
      <c r="K736" s="65" t="n"/>
      <c r="L736" s="65" t="n"/>
      <c r="M736" s="65" t="n"/>
      <c r="N736" s="65" t="n"/>
      <c r="O736" s="65" t="n"/>
      <c r="P736" s="65" t="n"/>
      <c r="Q736" s="65" t="n"/>
      <c r="R736" s="65" t="n"/>
      <c r="S736" s="65" t="n"/>
      <c r="T736" s="65" t="n"/>
      <c r="U736" s="65" t="n"/>
      <c r="V736" s="77" t="n"/>
      <c r="W736" s="65" t="n"/>
      <c r="X736" s="65" t="n"/>
      <c r="Y736" s="65" t="n"/>
      <c r="Z736" s="65" t="n"/>
      <c r="AA736" s="65" t="n"/>
      <c r="AB736" s="65" t="n"/>
      <c r="AC736" s="65" t="n"/>
      <c r="AD736" s="65" t="n"/>
      <c r="AE736" s="65" t="n"/>
      <c r="AF736" s="65" t="n"/>
      <c r="AG736" s="65" t="n"/>
      <c r="AH736" s="65" t="n"/>
      <c r="AI736" s="65" t="n"/>
      <c r="AJ736" s="65" t="n"/>
      <c r="AK736" s="65" t="n"/>
      <c r="AL736" s="65" t="n"/>
      <c r="AM736" s="65" t="n"/>
      <c r="AN736" s="65" t="n"/>
      <c r="AO736" s="65" t="n"/>
      <c r="AP736" s="65" t="n"/>
    </row>
    <row r="737">
      <c r="F737" s="68" t="n"/>
      <c r="G737" s="68">
        <f>IF(B737="","",F737-I737 )</f>
        <v/>
      </c>
      <c r="H737" s="5">
        <f>IF(G737="","",G737/F737)</f>
        <v/>
      </c>
      <c r="J737" s="65" t="n"/>
      <c r="K737" s="65" t="n"/>
      <c r="L737" s="65" t="n"/>
      <c r="M737" s="65" t="n"/>
      <c r="N737" s="65" t="n"/>
      <c r="O737" s="65" t="n"/>
      <c r="P737" s="65" t="n"/>
      <c r="Q737" s="65" t="n"/>
      <c r="R737" s="65" t="n"/>
      <c r="S737" s="65" t="n"/>
      <c r="T737" s="65" t="n"/>
      <c r="U737" s="65" t="n"/>
      <c r="V737" s="77" t="n"/>
      <c r="W737" s="65" t="n"/>
      <c r="X737" s="65" t="n"/>
      <c r="Y737" s="65" t="n"/>
      <c r="Z737" s="65" t="n"/>
      <c r="AA737" s="65" t="n"/>
      <c r="AB737" s="65" t="n"/>
      <c r="AC737" s="65" t="n"/>
      <c r="AD737" s="65" t="n"/>
      <c r="AE737" s="65" t="n"/>
      <c r="AF737" s="65" t="n"/>
      <c r="AG737" s="65" t="n"/>
      <c r="AH737" s="65" t="n"/>
      <c r="AI737" s="65" t="n"/>
      <c r="AJ737" s="65" t="n"/>
      <c r="AK737" s="65" t="n"/>
      <c r="AL737" s="65" t="n"/>
      <c r="AM737" s="65" t="n"/>
      <c r="AN737" s="65" t="n"/>
      <c r="AO737" s="65" t="n"/>
      <c r="AP737" s="65" t="n"/>
    </row>
    <row r="738">
      <c r="F738" s="68" t="n"/>
      <c r="G738" s="68">
        <f>IF(B738="","",F738-I738 )</f>
        <v/>
      </c>
      <c r="H738" s="5">
        <f>IF(G738="","",G738/F738)</f>
        <v/>
      </c>
      <c r="J738" s="65" t="n"/>
      <c r="K738" s="65" t="n"/>
      <c r="L738" s="65" t="n"/>
      <c r="M738" s="65" t="n"/>
      <c r="N738" s="65" t="n"/>
      <c r="O738" s="65" t="n"/>
      <c r="P738" s="65" t="n"/>
      <c r="Q738" s="65" t="n"/>
      <c r="R738" s="65" t="n"/>
      <c r="S738" s="65" t="n"/>
      <c r="T738" s="65" t="n"/>
      <c r="U738" s="65" t="n"/>
      <c r="V738" s="77" t="n"/>
      <c r="W738" s="65" t="n"/>
      <c r="X738" s="65" t="n"/>
      <c r="Y738" s="65" t="n"/>
      <c r="Z738" s="65" t="n"/>
      <c r="AA738" s="65" t="n"/>
      <c r="AB738" s="65" t="n"/>
      <c r="AC738" s="65" t="n"/>
      <c r="AD738" s="65" t="n"/>
      <c r="AE738" s="65" t="n"/>
      <c r="AF738" s="65" t="n"/>
      <c r="AG738" s="65" t="n"/>
      <c r="AH738" s="65" t="n"/>
      <c r="AI738" s="65" t="n"/>
      <c r="AJ738" s="65" t="n"/>
      <c r="AK738" s="65" t="n"/>
      <c r="AL738" s="65" t="n"/>
      <c r="AM738" s="65" t="n"/>
      <c r="AN738" s="65" t="n"/>
      <c r="AO738" s="65" t="n"/>
      <c r="AP738" s="65" t="n"/>
    </row>
    <row r="739">
      <c r="F739" s="68" t="n"/>
      <c r="G739" s="68">
        <f>IF(B739="","",F739-I739 )</f>
        <v/>
      </c>
      <c r="H739" s="5">
        <f>IF(G739="","",G739/F739)</f>
        <v/>
      </c>
      <c r="J739" s="65" t="n"/>
      <c r="K739" s="65" t="n"/>
      <c r="L739" s="65" t="n"/>
      <c r="M739" s="65" t="n"/>
      <c r="N739" s="65" t="n"/>
      <c r="O739" s="65" t="n"/>
      <c r="P739" s="65" t="n"/>
      <c r="Q739" s="65" t="n"/>
      <c r="R739" s="65" t="n"/>
      <c r="S739" s="65" t="n"/>
      <c r="T739" s="65" t="n"/>
      <c r="U739" s="65" t="n"/>
      <c r="V739" s="77" t="n"/>
      <c r="W739" s="65" t="n"/>
      <c r="X739" s="65" t="n"/>
      <c r="Y739" s="65" t="n"/>
      <c r="Z739" s="65" t="n"/>
      <c r="AA739" s="65" t="n"/>
      <c r="AB739" s="65" t="n"/>
      <c r="AC739" s="65" t="n"/>
      <c r="AD739" s="65" t="n"/>
      <c r="AE739" s="65" t="n"/>
      <c r="AF739" s="65" t="n"/>
      <c r="AG739" s="65" t="n"/>
      <c r="AH739" s="65" t="n"/>
      <c r="AI739" s="65" t="n"/>
      <c r="AJ739" s="65" t="n"/>
      <c r="AK739" s="65" t="n"/>
      <c r="AL739" s="65" t="n"/>
      <c r="AM739" s="65" t="n"/>
      <c r="AN739" s="65" t="n"/>
      <c r="AO739" s="65" t="n"/>
      <c r="AP739" s="65" t="n"/>
    </row>
    <row r="740">
      <c r="F740" s="68" t="n"/>
      <c r="G740" s="68">
        <f>IF(B740="","",F740-I740 )</f>
        <v/>
      </c>
      <c r="H740" s="5">
        <f>IF(G740="","",G740/F740)</f>
        <v/>
      </c>
      <c r="J740" s="65" t="n"/>
      <c r="K740" s="65" t="n"/>
      <c r="L740" s="65" t="n"/>
      <c r="M740" s="65" t="n"/>
      <c r="N740" s="65" t="n"/>
      <c r="O740" s="65" t="n"/>
      <c r="P740" s="65" t="n"/>
      <c r="Q740" s="65" t="n"/>
      <c r="R740" s="65" t="n"/>
      <c r="S740" s="65" t="n"/>
      <c r="T740" s="65" t="n"/>
      <c r="U740" s="65" t="n"/>
      <c r="V740" s="77" t="n"/>
      <c r="W740" s="65" t="n"/>
      <c r="X740" s="65" t="n"/>
      <c r="Y740" s="65" t="n"/>
      <c r="Z740" s="65" t="n"/>
      <c r="AA740" s="65" t="n"/>
      <c r="AB740" s="65" t="n"/>
      <c r="AC740" s="65" t="n"/>
      <c r="AD740" s="65" t="n"/>
      <c r="AE740" s="65" t="n"/>
      <c r="AF740" s="65" t="n"/>
      <c r="AG740" s="65" t="n"/>
      <c r="AH740" s="65" t="n"/>
      <c r="AI740" s="65" t="n"/>
      <c r="AJ740" s="65" t="n"/>
      <c r="AK740" s="65" t="n"/>
      <c r="AL740" s="65" t="n"/>
      <c r="AM740" s="65" t="n"/>
      <c r="AN740" s="65" t="n"/>
      <c r="AO740" s="65" t="n"/>
      <c r="AP740" s="65" t="n"/>
    </row>
    <row r="741">
      <c r="F741" s="68" t="n"/>
      <c r="G741" s="68">
        <f>IF(B741="","",F741-I741 )</f>
        <v/>
      </c>
      <c r="H741" s="5">
        <f>IF(G741="","",G741/F741)</f>
        <v/>
      </c>
      <c r="J741" s="65" t="n"/>
      <c r="K741" s="65" t="n"/>
      <c r="L741" s="65" t="n"/>
      <c r="M741" s="65" t="n"/>
      <c r="N741" s="65" t="n"/>
      <c r="O741" s="65" t="n"/>
      <c r="P741" s="65" t="n"/>
      <c r="Q741" s="65" t="n"/>
      <c r="R741" s="65" t="n"/>
      <c r="S741" s="65" t="n"/>
      <c r="T741" s="65" t="n"/>
      <c r="U741" s="65" t="n"/>
      <c r="V741" s="77" t="n"/>
      <c r="W741" s="65" t="n"/>
      <c r="X741" s="65" t="n"/>
      <c r="Y741" s="65" t="n"/>
      <c r="Z741" s="65" t="n"/>
      <c r="AA741" s="65" t="n"/>
      <c r="AB741" s="65" t="n"/>
      <c r="AC741" s="65" t="n"/>
      <c r="AD741" s="65" t="n"/>
      <c r="AE741" s="65" t="n"/>
      <c r="AF741" s="65" t="n"/>
      <c r="AG741" s="65" t="n"/>
      <c r="AH741" s="65" t="n"/>
      <c r="AI741" s="65" t="n"/>
      <c r="AJ741" s="65" t="n"/>
      <c r="AK741" s="65" t="n"/>
      <c r="AL741" s="65" t="n"/>
      <c r="AM741" s="65" t="n"/>
      <c r="AN741" s="65" t="n"/>
      <c r="AO741" s="65" t="n"/>
      <c r="AP741" s="65" t="n"/>
    </row>
    <row r="742">
      <c r="F742" s="68" t="n"/>
      <c r="G742" s="68">
        <f>IF(B742="","",F742-I742 )</f>
        <v/>
      </c>
      <c r="H742" s="5">
        <f>IF(G742="","",G742/F742)</f>
        <v/>
      </c>
      <c r="J742" s="65" t="n"/>
      <c r="K742" s="65" t="n"/>
      <c r="L742" s="65" t="n"/>
      <c r="M742" s="65" t="n"/>
      <c r="N742" s="65" t="n"/>
      <c r="O742" s="65" t="n"/>
      <c r="P742" s="65" t="n"/>
      <c r="Q742" s="65" t="n"/>
      <c r="R742" s="65" t="n"/>
      <c r="S742" s="65" t="n"/>
      <c r="T742" s="65" t="n"/>
      <c r="U742" s="65" t="n"/>
      <c r="V742" s="77" t="n"/>
      <c r="W742" s="65" t="n"/>
      <c r="X742" s="65" t="n"/>
      <c r="Y742" s="65" t="n"/>
      <c r="Z742" s="65" t="n"/>
      <c r="AA742" s="65" t="n"/>
      <c r="AB742" s="65" t="n"/>
      <c r="AC742" s="65" t="n"/>
      <c r="AD742" s="65" t="n"/>
      <c r="AE742" s="65" t="n"/>
      <c r="AF742" s="65" t="n"/>
      <c r="AG742" s="65" t="n"/>
      <c r="AH742" s="65" t="n"/>
      <c r="AI742" s="65" t="n"/>
      <c r="AJ742" s="65" t="n"/>
      <c r="AK742" s="65" t="n"/>
      <c r="AL742" s="65" t="n"/>
      <c r="AM742" s="65" t="n"/>
      <c r="AN742" s="65" t="n"/>
      <c r="AO742" s="65" t="n"/>
      <c r="AP742" s="65" t="n"/>
    </row>
    <row r="743">
      <c r="F743" s="68" t="n"/>
      <c r="G743" s="68">
        <f>IF(B743="","",F743-I743 )</f>
        <v/>
      </c>
      <c r="H743" s="5">
        <f>IF(G743="","",G743/F743)</f>
        <v/>
      </c>
      <c r="J743" s="65" t="n"/>
      <c r="K743" s="65" t="n"/>
      <c r="L743" s="65" t="n"/>
      <c r="M743" s="65" t="n"/>
      <c r="N743" s="65" t="n"/>
      <c r="O743" s="65" t="n"/>
      <c r="P743" s="65" t="n"/>
      <c r="Q743" s="65" t="n"/>
      <c r="R743" s="65" t="n"/>
      <c r="S743" s="65" t="n"/>
      <c r="T743" s="65" t="n"/>
      <c r="U743" s="65" t="n"/>
      <c r="V743" s="77" t="n"/>
      <c r="W743" s="65" t="n"/>
      <c r="X743" s="65" t="n"/>
      <c r="Y743" s="65" t="n"/>
      <c r="Z743" s="65" t="n"/>
      <c r="AA743" s="65" t="n"/>
      <c r="AB743" s="65" t="n"/>
      <c r="AC743" s="65" t="n"/>
      <c r="AD743" s="65" t="n"/>
      <c r="AE743" s="65" t="n"/>
      <c r="AF743" s="65" t="n"/>
      <c r="AG743" s="65" t="n"/>
      <c r="AH743" s="65" t="n"/>
      <c r="AI743" s="65" t="n"/>
      <c r="AJ743" s="65" t="n"/>
      <c r="AK743" s="65" t="n"/>
      <c r="AL743" s="65" t="n"/>
      <c r="AM743" s="65" t="n"/>
      <c r="AN743" s="65" t="n"/>
      <c r="AO743" s="65" t="n"/>
      <c r="AP743" s="65" t="n"/>
    </row>
    <row r="744">
      <c r="F744" s="68" t="n"/>
      <c r="G744" s="68">
        <f>IF(B744="","",F744-I744 )</f>
        <v/>
      </c>
      <c r="H744" s="5">
        <f>IF(G744="","",G744/F744)</f>
        <v/>
      </c>
      <c r="J744" s="65" t="n"/>
      <c r="K744" s="65" t="n"/>
      <c r="L744" s="65" t="n"/>
      <c r="M744" s="65" t="n"/>
      <c r="N744" s="65" t="n"/>
      <c r="O744" s="65" t="n"/>
      <c r="P744" s="65" t="n"/>
      <c r="Q744" s="65" t="n"/>
      <c r="R744" s="65" t="n"/>
      <c r="S744" s="65" t="n"/>
      <c r="T744" s="65" t="n"/>
      <c r="U744" s="65" t="n"/>
      <c r="V744" s="77" t="n"/>
      <c r="W744" s="65" t="n"/>
      <c r="X744" s="65" t="n"/>
      <c r="Y744" s="65" t="n"/>
      <c r="Z744" s="65" t="n"/>
      <c r="AA744" s="65" t="n"/>
      <c r="AB744" s="65" t="n"/>
      <c r="AC744" s="65" t="n"/>
      <c r="AD744" s="65" t="n"/>
      <c r="AE744" s="65" t="n"/>
      <c r="AF744" s="65" t="n"/>
      <c r="AG744" s="65" t="n"/>
      <c r="AH744" s="65" t="n"/>
      <c r="AI744" s="65" t="n"/>
      <c r="AJ744" s="65" t="n"/>
      <c r="AK744" s="65" t="n"/>
      <c r="AL744" s="65" t="n"/>
      <c r="AM744" s="65" t="n"/>
      <c r="AN744" s="65" t="n"/>
      <c r="AO744" s="65" t="n"/>
      <c r="AP744" s="65" t="n"/>
    </row>
    <row r="745">
      <c r="F745" s="68" t="n"/>
      <c r="G745" s="68">
        <f>IF(B745="","",F745-I745 )</f>
        <v/>
      </c>
      <c r="H745" s="5">
        <f>IF(G745="","",G745/F745)</f>
        <v/>
      </c>
      <c r="J745" s="65" t="n"/>
      <c r="K745" s="65" t="n"/>
      <c r="L745" s="65" t="n"/>
      <c r="M745" s="65" t="n"/>
      <c r="N745" s="65" t="n"/>
      <c r="O745" s="65" t="n"/>
      <c r="P745" s="65" t="n"/>
      <c r="Q745" s="65" t="n"/>
      <c r="R745" s="65" t="n"/>
      <c r="S745" s="65" t="n"/>
      <c r="T745" s="65" t="n"/>
      <c r="U745" s="65" t="n"/>
      <c r="V745" s="77" t="n"/>
      <c r="W745" s="65" t="n"/>
      <c r="X745" s="65" t="n"/>
      <c r="Y745" s="65" t="n"/>
      <c r="Z745" s="65" t="n"/>
      <c r="AA745" s="65" t="n"/>
      <c r="AB745" s="65" t="n"/>
      <c r="AC745" s="65" t="n"/>
      <c r="AD745" s="65" t="n"/>
      <c r="AE745" s="65" t="n"/>
      <c r="AF745" s="65" t="n"/>
      <c r="AG745" s="65" t="n"/>
      <c r="AH745" s="65" t="n"/>
      <c r="AI745" s="65" t="n"/>
      <c r="AJ745" s="65" t="n"/>
      <c r="AK745" s="65" t="n"/>
      <c r="AL745" s="65" t="n"/>
      <c r="AM745" s="65" t="n"/>
      <c r="AN745" s="65" t="n"/>
      <c r="AO745" s="65" t="n"/>
      <c r="AP745" s="65" t="n"/>
    </row>
    <row r="746">
      <c r="F746" s="68" t="n"/>
      <c r="G746" s="68">
        <f>IF(B746="","",F746-I746 )</f>
        <v/>
      </c>
      <c r="H746" s="5">
        <f>IF(G746="","",G746/F746)</f>
        <v/>
      </c>
      <c r="J746" s="65" t="n"/>
      <c r="K746" s="65" t="n"/>
      <c r="L746" s="65" t="n"/>
      <c r="M746" s="65" t="n"/>
      <c r="N746" s="65" t="n"/>
      <c r="O746" s="65" t="n"/>
      <c r="P746" s="65" t="n"/>
      <c r="Q746" s="65" t="n"/>
      <c r="R746" s="65" t="n"/>
      <c r="S746" s="65" t="n"/>
      <c r="T746" s="65" t="n"/>
      <c r="U746" s="65" t="n"/>
      <c r="V746" s="77" t="n"/>
      <c r="W746" s="65" t="n"/>
      <c r="X746" s="65" t="n"/>
      <c r="Y746" s="65" t="n"/>
      <c r="Z746" s="65" t="n"/>
      <c r="AA746" s="65" t="n"/>
      <c r="AB746" s="65" t="n"/>
      <c r="AC746" s="65" t="n"/>
      <c r="AD746" s="65" t="n"/>
      <c r="AE746" s="65" t="n"/>
      <c r="AF746" s="65" t="n"/>
      <c r="AG746" s="65" t="n"/>
      <c r="AH746" s="65" t="n"/>
      <c r="AI746" s="65" t="n"/>
      <c r="AJ746" s="65" t="n"/>
      <c r="AK746" s="65" t="n"/>
      <c r="AL746" s="65" t="n"/>
      <c r="AM746" s="65" t="n"/>
      <c r="AN746" s="65" t="n"/>
      <c r="AO746" s="65" t="n"/>
      <c r="AP746" s="65" t="n"/>
    </row>
    <row r="747">
      <c r="F747" s="68" t="n"/>
      <c r="G747" s="68">
        <f>IF(B747="","",F747-I747 )</f>
        <v/>
      </c>
      <c r="H747" s="5">
        <f>IF(G747="","",G747/F747)</f>
        <v/>
      </c>
      <c r="J747" s="65" t="n"/>
      <c r="K747" s="65" t="n"/>
      <c r="L747" s="65" t="n"/>
      <c r="M747" s="65" t="n"/>
      <c r="N747" s="65" t="n"/>
      <c r="O747" s="65" t="n"/>
      <c r="P747" s="65" t="n"/>
      <c r="Q747" s="65" t="n"/>
      <c r="R747" s="65" t="n"/>
      <c r="S747" s="65" t="n"/>
      <c r="T747" s="65" t="n"/>
      <c r="U747" s="65" t="n"/>
      <c r="V747" s="77" t="n"/>
      <c r="W747" s="65" t="n"/>
      <c r="X747" s="65" t="n"/>
      <c r="Y747" s="65" t="n"/>
      <c r="Z747" s="65" t="n"/>
      <c r="AA747" s="65" t="n"/>
      <c r="AB747" s="65" t="n"/>
      <c r="AC747" s="65" t="n"/>
      <c r="AD747" s="65" t="n"/>
      <c r="AE747" s="65" t="n"/>
      <c r="AF747" s="65" t="n"/>
      <c r="AG747" s="65" t="n"/>
      <c r="AH747" s="65" t="n"/>
      <c r="AI747" s="65" t="n"/>
      <c r="AJ747" s="65" t="n"/>
      <c r="AK747" s="65" t="n"/>
      <c r="AL747" s="65" t="n"/>
      <c r="AM747" s="65" t="n"/>
      <c r="AN747" s="65" t="n"/>
      <c r="AO747" s="65" t="n"/>
      <c r="AP747" s="65" t="n"/>
    </row>
    <row r="748">
      <c r="F748" s="68" t="n"/>
      <c r="G748" s="68">
        <f>IF(B748="","",F748-I748 )</f>
        <v/>
      </c>
      <c r="H748" s="5">
        <f>IF(G748="","",G748/F748)</f>
        <v/>
      </c>
      <c r="J748" s="65" t="n"/>
      <c r="K748" s="65" t="n"/>
      <c r="L748" s="65" t="n"/>
      <c r="M748" s="65" t="n"/>
      <c r="N748" s="65" t="n"/>
      <c r="O748" s="65" t="n"/>
      <c r="P748" s="65" t="n"/>
      <c r="Q748" s="65" t="n"/>
      <c r="R748" s="65" t="n"/>
      <c r="S748" s="65" t="n"/>
      <c r="T748" s="65" t="n"/>
      <c r="U748" s="65" t="n"/>
      <c r="V748" s="77" t="n"/>
      <c r="W748" s="65" t="n"/>
      <c r="X748" s="65" t="n"/>
      <c r="Y748" s="65" t="n"/>
      <c r="Z748" s="65" t="n"/>
      <c r="AA748" s="65" t="n"/>
      <c r="AB748" s="65" t="n"/>
      <c r="AC748" s="65" t="n"/>
      <c r="AD748" s="65" t="n"/>
      <c r="AE748" s="65" t="n"/>
      <c r="AF748" s="65" t="n"/>
      <c r="AG748" s="65" t="n"/>
      <c r="AH748" s="65" t="n"/>
      <c r="AI748" s="65" t="n"/>
      <c r="AJ748" s="65" t="n"/>
      <c r="AK748" s="65" t="n"/>
      <c r="AL748" s="65" t="n"/>
      <c r="AM748" s="65" t="n"/>
      <c r="AN748" s="65" t="n"/>
      <c r="AO748" s="65" t="n"/>
      <c r="AP748" s="65" t="n"/>
    </row>
    <row r="749">
      <c r="F749" s="68" t="n"/>
      <c r="G749" s="68">
        <f>IF(B749="","",F749-I749 )</f>
        <v/>
      </c>
      <c r="H749" s="5">
        <f>IF(G749="","",G749/F749)</f>
        <v/>
      </c>
      <c r="J749" s="65" t="n"/>
      <c r="K749" s="65" t="n"/>
      <c r="L749" s="65" t="n"/>
      <c r="M749" s="65" t="n"/>
      <c r="N749" s="65" t="n"/>
      <c r="O749" s="65" t="n"/>
      <c r="P749" s="65" t="n"/>
      <c r="Q749" s="65" t="n"/>
      <c r="R749" s="65" t="n"/>
      <c r="S749" s="65" t="n"/>
      <c r="T749" s="65" t="n"/>
      <c r="U749" s="65" t="n"/>
      <c r="V749" s="77" t="n"/>
      <c r="W749" s="65" t="n"/>
      <c r="X749" s="65" t="n"/>
      <c r="Y749" s="65" t="n"/>
      <c r="Z749" s="65" t="n"/>
      <c r="AA749" s="65" t="n"/>
      <c r="AB749" s="65" t="n"/>
      <c r="AC749" s="65" t="n"/>
      <c r="AD749" s="65" t="n"/>
      <c r="AE749" s="65" t="n"/>
      <c r="AF749" s="65" t="n"/>
      <c r="AG749" s="65" t="n"/>
      <c r="AH749" s="65" t="n"/>
      <c r="AI749" s="65" t="n"/>
      <c r="AJ749" s="65" t="n"/>
      <c r="AK749" s="65" t="n"/>
      <c r="AL749" s="65" t="n"/>
      <c r="AM749" s="65" t="n"/>
      <c r="AN749" s="65" t="n"/>
      <c r="AO749" s="65" t="n"/>
      <c r="AP749" s="65" t="n"/>
    </row>
    <row r="750">
      <c r="F750" s="68" t="n"/>
      <c r="G750" s="68">
        <f>IF(B750="","",F750-I750 )</f>
        <v/>
      </c>
      <c r="H750" s="5">
        <f>IF(G750="","",G750/F750)</f>
        <v/>
      </c>
      <c r="J750" s="65" t="n"/>
      <c r="K750" s="65" t="n"/>
      <c r="L750" s="65" t="n"/>
      <c r="M750" s="65" t="n"/>
      <c r="N750" s="65" t="n"/>
      <c r="O750" s="65" t="n"/>
      <c r="P750" s="65" t="n"/>
      <c r="Q750" s="65" t="n"/>
      <c r="R750" s="65" t="n"/>
      <c r="S750" s="65" t="n"/>
      <c r="T750" s="65" t="n"/>
      <c r="U750" s="65" t="n"/>
      <c r="V750" s="77" t="n"/>
      <c r="W750" s="65" t="n"/>
      <c r="X750" s="65" t="n"/>
      <c r="Y750" s="65" t="n"/>
      <c r="Z750" s="65" t="n"/>
      <c r="AA750" s="65" t="n"/>
      <c r="AB750" s="65" t="n"/>
      <c r="AC750" s="65" t="n"/>
      <c r="AD750" s="65" t="n"/>
      <c r="AE750" s="65" t="n"/>
      <c r="AF750" s="65" t="n"/>
      <c r="AG750" s="65" t="n"/>
      <c r="AH750" s="65" t="n"/>
      <c r="AI750" s="65" t="n"/>
      <c r="AJ750" s="65" t="n"/>
      <c r="AK750" s="65" t="n"/>
      <c r="AL750" s="65" t="n"/>
      <c r="AM750" s="65" t="n"/>
      <c r="AN750" s="65" t="n"/>
      <c r="AO750" s="65" t="n"/>
      <c r="AP750" s="65" t="n"/>
    </row>
    <row r="751">
      <c r="F751" s="68" t="n"/>
      <c r="G751" s="68">
        <f>IF(B751="","",F751-I751 )</f>
        <v/>
      </c>
      <c r="H751" s="5">
        <f>IF(G751="","",G751/F751)</f>
        <v/>
      </c>
      <c r="J751" s="65" t="n"/>
      <c r="K751" s="65" t="n"/>
      <c r="L751" s="65" t="n"/>
      <c r="M751" s="65" t="n"/>
      <c r="N751" s="65" t="n"/>
      <c r="O751" s="65" t="n"/>
      <c r="P751" s="65" t="n"/>
      <c r="Q751" s="65" t="n"/>
      <c r="R751" s="65" t="n"/>
      <c r="S751" s="65" t="n"/>
      <c r="T751" s="65" t="n"/>
      <c r="U751" s="65" t="n"/>
      <c r="V751" s="77" t="n"/>
      <c r="W751" s="65" t="n"/>
      <c r="X751" s="65" t="n"/>
      <c r="Y751" s="65" t="n"/>
      <c r="Z751" s="65" t="n"/>
      <c r="AA751" s="65" t="n"/>
      <c r="AB751" s="65" t="n"/>
      <c r="AC751" s="65" t="n"/>
      <c r="AD751" s="65" t="n"/>
      <c r="AE751" s="65" t="n"/>
      <c r="AF751" s="65" t="n"/>
      <c r="AG751" s="65" t="n"/>
      <c r="AH751" s="65" t="n"/>
      <c r="AI751" s="65" t="n"/>
      <c r="AJ751" s="65" t="n"/>
      <c r="AK751" s="65" t="n"/>
      <c r="AL751" s="65" t="n"/>
      <c r="AM751" s="65" t="n"/>
      <c r="AN751" s="65" t="n"/>
      <c r="AO751" s="65" t="n"/>
      <c r="AP751" s="65" t="n"/>
    </row>
    <row r="752">
      <c r="F752" s="68" t="n"/>
      <c r="G752" s="68">
        <f>IF(B752="","",F752-I752 )</f>
        <v/>
      </c>
      <c r="H752" s="5">
        <f>IF(G752="","",G752/F752)</f>
        <v/>
      </c>
      <c r="J752" s="65" t="n"/>
      <c r="K752" s="65" t="n"/>
      <c r="L752" s="65" t="n"/>
      <c r="M752" s="65" t="n"/>
      <c r="N752" s="65" t="n"/>
      <c r="O752" s="65" t="n"/>
      <c r="P752" s="65" t="n"/>
      <c r="Q752" s="65" t="n"/>
      <c r="R752" s="65" t="n"/>
      <c r="S752" s="65" t="n"/>
      <c r="T752" s="65" t="n"/>
      <c r="U752" s="65" t="n"/>
      <c r="V752" s="77" t="n"/>
      <c r="W752" s="65" t="n"/>
      <c r="X752" s="65" t="n"/>
      <c r="Y752" s="65" t="n"/>
      <c r="Z752" s="65" t="n"/>
      <c r="AA752" s="65" t="n"/>
      <c r="AB752" s="65" t="n"/>
      <c r="AC752" s="65" t="n"/>
      <c r="AD752" s="65" t="n"/>
      <c r="AE752" s="65" t="n"/>
      <c r="AF752" s="65" t="n"/>
      <c r="AG752" s="65" t="n"/>
      <c r="AH752" s="65" t="n"/>
      <c r="AI752" s="65" t="n"/>
      <c r="AJ752" s="65" t="n"/>
      <c r="AK752" s="65" t="n"/>
      <c r="AL752" s="65" t="n"/>
      <c r="AM752" s="65" t="n"/>
      <c r="AN752" s="65" t="n"/>
      <c r="AO752" s="65" t="n"/>
      <c r="AP752" s="65" t="n"/>
    </row>
    <row r="753">
      <c r="F753" s="68" t="n"/>
      <c r="G753" s="68">
        <f>IF(B753="","",F753-I753 )</f>
        <v/>
      </c>
      <c r="H753" s="5">
        <f>IF(G753="","",G753/F753)</f>
        <v/>
      </c>
      <c r="J753" s="65" t="n"/>
      <c r="K753" s="65" t="n"/>
      <c r="L753" s="65" t="n"/>
      <c r="M753" s="65" t="n"/>
      <c r="N753" s="65" t="n"/>
      <c r="O753" s="65" t="n"/>
      <c r="P753" s="65" t="n"/>
      <c r="Q753" s="65" t="n"/>
      <c r="R753" s="65" t="n"/>
      <c r="S753" s="65" t="n"/>
      <c r="T753" s="65" t="n"/>
      <c r="U753" s="65" t="n"/>
      <c r="V753" s="77" t="n"/>
      <c r="W753" s="65" t="n"/>
      <c r="X753" s="65" t="n"/>
      <c r="Y753" s="65" t="n"/>
      <c r="Z753" s="65" t="n"/>
      <c r="AA753" s="65" t="n"/>
      <c r="AB753" s="65" t="n"/>
      <c r="AC753" s="65" t="n"/>
      <c r="AD753" s="65" t="n"/>
      <c r="AE753" s="65" t="n"/>
      <c r="AF753" s="65" t="n"/>
      <c r="AG753" s="65" t="n"/>
      <c r="AH753" s="65" t="n"/>
      <c r="AI753" s="65" t="n"/>
      <c r="AJ753" s="65" t="n"/>
      <c r="AK753" s="65" t="n"/>
      <c r="AL753" s="65" t="n"/>
      <c r="AM753" s="65" t="n"/>
      <c r="AN753" s="65" t="n"/>
      <c r="AO753" s="65" t="n"/>
      <c r="AP753" s="65" t="n"/>
    </row>
    <row r="754">
      <c r="F754" s="68" t="n"/>
      <c r="G754" s="68">
        <f>IF(B754="","",F754-I754 )</f>
        <v/>
      </c>
      <c r="H754" s="5">
        <f>IF(G754="","",G754/F754)</f>
        <v/>
      </c>
      <c r="J754" s="65" t="n"/>
      <c r="K754" s="65" t="n"/>
      <c r="L754" s="65" t="n"/>
      <c r="M754" s="65" t="n"/>
      <c r="N754" s="65" t="n"/>
      <c r="O754" s="65" t="n"/>
      <c r="P754" s="65" t="n"/>
      <c r="Q754" s="65" t="n"/>
      <c r="R754" s="65" t="n"/>
      <c r="S754" s="65" t="n"/>
      <c r="T754" s="65" t="n"/>
      <c r="U754" s="65" t="n"/>
      <c r="V754" s="77" t="n"/>
      <c r="W754" s="65" t="n"/>
      <c r="X754" s="65" t="n"/>
      <c r="Y754" s="65" t="n"/>
      <c r="Z754" s="65" t="n"/>
      <c r="AA754" s="65" t="n"/>
      <c r="AB754" s="65" t="n"/>
      <c r="AC754" s="65" t="n"/>
      <c r="AD754" s="65" t="n"/>
      <c r="AE754" s="65" t="n"/>
      <c r="AF754" s="65" t="n"/>
      <c r="AG754" s="65" t="n"/>
      <c r="AH754" s="65" t="n"/>
      <c r="AI754" s="65" t="n"/>
      <c r="AJ754" s="65" t="n"/>
      <c r="AK754" s="65" t="n"/>
      <c r="AL754" s="65" t="n"/>
      <c r="AM754" s="65" t="n"/>
      <c r="AN754" s="65" t="n"/>
      <c r="AO754" s="65" t="n"/>
      <c r="AP754" s="65" t="n"/>
    </row>
    <row r="755">
      <c r="F755" s="68" t="n"/>
      <c r="G755" s="68">
        <f>IF(B755="","",F755-I755 )</f>
        <v/>
      </c>
      <c r="H755" s="5">
        <f>IF(G755="","",G755/F755)</f>
        <v/>
      </c>
      <c r="J755" s="65" t="n"/>
      <c r="K755" s="65" t="n"/>
      <c r="L755" s="65" t="n"/>
      <c r="M755" s="65" t="n"/>
      <c r="N755" s="65" t="n"/>
      <c r="O755" s="65" t="n"/>
      <c r="P755" s="65" t="n"/>
      <c r="Q755" s="65" t="n"/>
      <c r="R755" s="65" t="n"/>
      <c r="S755" s="65" t="n"/>
      <c r="T755" s="65" t="n"/>
      <c r="U755" s="65" t="n"/>
      <c r="V755" s="77" t="n"/>
      <c r="W755" s="65" t="n"/>
      <c r="X755" s="65" t="n"/>
      <c r="Y755" s="65" t="n"/>
      <c r="Z755" s="65" t="n"/>
      <c r="AA755" s="65" t="n"/>
      <c r="AB755" s="65" t="n"/>
      <c r="AC755" s="65" t="n"/>
      <c r="AD755" s="65" t="n"/>
      <c r="AE755" s="65" t="n"/>
      <c r="AF755" s="65" t="n"/>
      <c r="AG755" s="65" t="n"/>
      <c r="AH755" s="65" t="n"/>
      <c r="AI755" s="65" t="n"/>
      <c r="AJ755" s="65" t="n"/>
      <c r="AK755" s="65" t="n"/>
      <c r="AL755" s="65" t="n"/>
      <c r="AM755" s="65" t="n"/>
      <c r="AN755" s="65" t="n"/>
      <c r="AO755" s="65" t="n"/>
      <c r="AP755" s="65" t="n"/>
    </row>
    <row r="756">
      <c r="F756" s="68" t="n"/>
      <c r="G756" s="68">
        <f>IF(B756="","",F756-I756 )</f>
        <v/>
      </c>
      <c r="H756" s="5">
        <f>IF(G756="","",G756/F756)</f>
        <v/>
      </c>
      <c r="J756" s="65" t="n"/>
      <c r="K756" s="65" t="n"/>
      <c r="L756" s="65" t="n"/>
      <c r="M756" s="65" t="n"/>
      <c r="N756" s="65" t="n"/>
      <c r="O756" s="65" t="n"/>
      <c r="P756" s="65" t="n"/>
      <c r="Q756" s="65" t="n"/>
      <c r="R756" s="65" t="n"/>
      <c r="S756" s="65" t="n"/>
      <c r="T756" s="65" t="n"/>
      <c r="U756" s="65" t="n"/>
      <c r="V756" s="77" t="n"/>
      <c r="W756" s="65" t="n"/>
      <c r="X756" s="65" t="n"/>
      <c r="Y756" s="65" t="n"/>
      <c r="Z756" s="65" t="n"/>
      <c r="AA756" s="65" t="n"/>
      <c r="AB756" s="65" t="n"/>
      <c r="AC756" s="65" t="n"/>
      <c r="AD756" s="65" t="n"/>
      <c r="AE756" s="65" t="n"/>
      <c r="AF756" s="65" t="n"/>
      <c r="AG756" s="65" t="n"/>
      <c r="AH756" s="65" t="n"/>
      <c r="AI756" s="65" t="n"/>
      <c r="AJ756" s="65" t="n"/>
      <c r="AK756" s="65" t="n"/>
      <c r="AL756" s="65" t="n"/>
      <c r="AM756" s="65" t="n"/>
      <c r="AN756" s="65" t="n"/>
      <c r="AO756" s="65" t="n"/>
      <c r="AP756" s="65" t="n"/>
    </row>
    <row r="757">
      <c r="F757" s="68" t="n"/>
      <c r="G757" s="68">
        <f>IF(B757="","",F757-I757 )</f>
        <v/>
      </c>
      <c r="H757" s="5">
        <f>IF(G757="","",G757/F757)</f>
        <v/>
      </c>
      <c r="J757" s="65" t="n"/>
      <c r="K757" s="65" t="n"/>
      <c r="L757" s="65" t="n"/>
      <c r="M757" s="65" t="n"/>
      <c r="N757" s="65" t="n"/>
      <c r="O757" s="65" t="n"/>
      <c r="P757" s="65" t="n"/>
      <c r="Q757" s="65" t="n"/>
      <c r="R757" s="65" t="n"/>
      <c r="S757" s="65" t="n"/>
      <c r="T757" s="65" t="n"/>
      <c r="U757" s="65" t="n"/>
      <c r="V757" s="77" t="n"/>
      <c r="W757" s="65" t="n"/>
      <c r="X757" s="65" t="n"/>
      <c r="Y757" s="65" t="n"/>
      <c r="Z757" s="65" t="n"/>
      <c r="AA757" s="65" t="n"/>
      <c r="AB757" s="65" t="n"/>
      <c r="AC757" s="65" t="n"/>
      <c r="AD757" s="65" t="n"/>
      <c r="AE757" s="65" t="n"/>
      <c r="AF757" s="65" t="n"/>
      <c r="AG757" s="65" t="n"/>
      <c r="AH757" s="65" t="n"/>
      <c r="AI757" s="65" t="n"/>
      <c r="AJ757" s="65" t="n"/>
      <c r="AK757" s="65" t="n"/>
      <c r="AL757" s="65" t="n"/>
      <c r="AM757" s="65" t="n"/>
      <c r="AN757" s="65" t="n"/>
      <c r="AO757" s="65" t="n"/>
      <c r="AP757" s="65" t="n"/>
    </row>
    <row r="758">
      <c r="F758" s="68" t="n"/>
      <c r="G758" s="68">
        <f>IF(B758="","",F758-I758 )</f>
        <v/>
      </c>
      <c r="H758" s="5">
        <f>IF(G758="","",G758/F758)</f>
        <v/>
      </c>
      <c r="J758" s="65" t="n"/>
      <c r="K758" s="65" t="n"/>
      <c r="L758" s="65" t="n"/>
      <c r="M758" s="65" t="n"/>
      <c r="N758" s="65" t="n"/>
      <c r="O758" s="65" t="n"/>
      <c r="P758" s="65" t="n"/>
      <c r="Q758" s="65" t="n"/>
      <c r="R758" s="65" t="n"/>
      <c r="S758" s="65" t="n"/>
      <c r="T758" s="65" t="n"/>
      <c r="U758" s="65" t="n"/>
      <c r="V758" s="77" t="n"/>
      <c r="W758" s="65" t="n"/>
      <c r="X758" s="65" t="n"/>
      <c r="Y758" s="65" t="n"/>
      <c r="Z758" s="65" t="n"/>
      <c r="AA758" s="65" t="n"/>
      <c r="AB758" s="65" t="n"/>
      <c r="AC758" s="65" t="n"/>
      <c r="AD758" s="65" t="n"/>
      <c r="AE758" s="65" t="n"/>
      <c r="AF758" s="65" t="n"/>
      <c r="AG758" s="65" t="n"/>
      <c r="AH758" s="65" t="n"/>
      <c r="AI758" s="65" t="n"/>
      <c r="AJ758" s="65" t="n"/>
      <c r="AK758" s="65" t="n"/>
      <c r="AL758" s="65" t="n"/>
      <c r="AM758" s="65" t="n"/>
      <c r="AN758" s="65" t="n"/>
      <c r="AO758" s="65" t="n"/>
      <c r="AP758" s="65" t="n"/>
    </row>
    <row r="759">
      <c r="F759" s="68" t="n"/>
      <c r="G759" s="68">
        <f>IF(B759="","",F759-I759 )</f>
        <v/>
      </c>
      <c r="H759" s="5">
        <f>IF(G759="","",G759/F759)</f>
        <v/>
      </c>
      <c r="J759" s="65" t="n"/>
      <c r="K759" s="65" t="n"/>
      <c r="L759" s="65" t="n"/>
      <c r="M759" s="65" t="n"/>
      <c r="N759" s="65" t="n"/>
      <c r="O759" s="65" t="n"/>
      <c r="P759" s="65" t="n"/>
      <c r="Q759" s="65" t="n"/>
      <c r="R759" s="65" t="n"/>
      <c r="S759" s="65" t="n"/>
      <c r="T759" s="65" t="n"/>
      <c r="U759" s="65" t="n"/>
      <c r="V759" s="77" t="n"/>
      <c r="W759" s="65" t="n"/>
      <c r="X759" s="65" t="n"/>
      <c r="Y759" s="65" t="n"/>
      <c r="Z759" s="65" t="n"/>
      <c r="AA759" s="65" t="n"/>
      <c r="AB759" s="65" t="n"/>
      <c r="AC759" s="65" t="n"/>
      <c r="AD759" s="65" t="n"/>
      <c r="AE759" s="65" t="n"/>
      <c r="AF759" s="65" t="n"/>
      <c r="AG759" s="65" t="n"/>
      <c r="AH759" s="65" t="n"/>
      <c r="AI759" s="65" t="n"/>
      <c r="AJ759" s="65" t="n"/>
      <c r="AK759" s="65" t="n"/>
      <c r="AL759" s="65" t="n"/>
      <c r="AM759" s="65" t="n"/>
      <c r="AN759" s="65" t="n"/>
      <c r="AO759" s="65" t="n"/>
      <c r="AP759" s="65" t="n"/>
    </row>
    <row r="760">
      <c r="F760" s="68" t="n"/>
      <c r="G760" s="68">
        <f>IF(B760="","",F760-I760 )</f>
        <v/>
      </c>
      <c r="H760" s="5">
        <f>IF(G760="","",G760/F760)</f>
        <v/>
      </c>
      <c r="J760" s="65" t="n"/>
      <c r="K760" s="65" t="n"/>
      <c r="L760" s="65" t="n"/>
      <c r="M760" s="65" t="n"/>
      <c r="N760" s="65" t="n"/>
      <c r="O760" s="65" t="n"/>
      <c r="P760" s="65" t="n"/>
      <c r="Q760" s="65" t="n"/>
      <c r="R760" s="65" t="n"/>
      <c r="S760" s="65" t="n"/>
      <c r="T760" s="65" t="n"/>
      <c r="U760" s="65" t="n"/>
      <c r="V760" s="77" t="n"/>
      <c r="W760" s="65" t="n"/>
      <c r="X760" s="65" t="n"/>
      <c r="Y760" s="65" t="n"/>
      <c r="Z760" s="65" t="n"/>
      <c r="AA760" s="65" t="n"/>
      <c r="AB760" s="65" t="n"/>
      <c r="AC760" s="65" t="n"/>
      <c r="AD760" s="65" t="n"/>
      <c r="AE760" s="65" t="n"/>
      <c r="AF760" s="65" t="n"/>
      <c r="AG760" s="65" t="n"/>
      <c r="AH760" s="65" t="n"/>
      <c r="AI760" s="65" t="n"/>
      <c r="AJ760" s="65" t="n"/>
      <c r="AK760" s="65" t="n"/>
      <c r="AL760" s="65" t="n"/>
      <c r="AM760" s="65" t="n"/>
      <c r="AN760" s="65" t="n"/>
      <c r="AO760" s="65" t="n"/>
      <c r="AP760" s="65" t="n"/>
    </row>
    <row r="761">
      <c r="F761" s="68" t="n"/>
      <c r="G761" s="68">
        <f>IF(B761="","",F761-I761 )</f>
        <v/>
      </c>
      <c r="H761" s="5">
        <f>IF(G761="","",G761/F761)</f>
        <v/>
      </c>
      <c r="J761" s="65" t="n"/>
      <c r="K761" s="65" t="n"/>
      <c r="L761" s="65" t="n"/>
      <c r="M761" s="65" t="n"/>
      <c r="N761" s="65" t="n"/>
      <c r="O761" s="65" t="n"/>
      <c r="P761" s="65" t="n"/>
      <c r="Q761" s="65" t="n"/>
      <c r="R761" s="65" t="n"/>
      <c r="S761" s="65" t="n"/>
      <c r="T761" s="65" t="n"/>
      <c r="U761" s="65" t="n"/>
      <c r="V761" s="77" t="n"/>
      <c r="W761" s="65" t="n"/>
      <c r="X761" s="65" t="n"/>
      <c r="Y761" s="65" t="n"/>
      <c r="Z761" s="65" t="n"/>
      <c r="AA761" s="65" t="n"/>
      <c r="AB761" s="65" t="n"/>
      <c r="AC761" s="65" t="n"/>
      <c r="AD761" s="65" t="n"/>
      <c r="AE761" s="65" t="n"/>
      <c r="AF761" s="65" t="n"/>
      <c r="AG761" s="65" t="n"/>
      <c r="AH761" s="65" t="n"/>
      <c r="AI761" s="65" t="n"/>
      <c r="AJ761" s="65" t="n"/>
      <c r="AK761" s="65" t="n"/>
      <c r="AL761" s="65" t="n"/>
      <c r="AM761" s="65" t="n"/>
      <c r="AN761" s="65" t="n"/>
      <c r="AO761" s="65" t="n"/>
      <c r="AP761" s="65" t="n"/>
    </row>
    <row r="762">
      <c r="F762" s="68" t="n"/>
      <c r="G762" s="68">
        <f>IF(B762="","",F762-I762 )</f>
        <v/>
      </c>
      <c r="H762" s="5">
        <f>IF(G762="","",G762/F762)</f>
        <v/>
      </c>
      <c r="J762" s="65" t="n"/>
      <c r="K762" s="65" t="n"/>
      <c r="L762" s="65" t="n"/>
      <c r="M762" s="65" t="n"/>
      <c r="N762" s="65" t="n"/>
      <c r="O762" s="65" t="n"/>
      <c r="P762" s="65" t="n"/>
      <c r="Q762" s="65" t="n"/>
      <c r="R762" s="65" t="n"/>
      <c r="S762" s="65" t="n"/>
      <c r="T762" s="65" t="n"/>
      <c r="U762" s="65" t="n"/>
      <c r="V762" s="77" t="n"/>
      <c r="W762" s="65" t="n"/>
      <c r="X762" s="65" t="n"/>
      <c r="Y762" s="65" t="n"/>
      <c r="Z762" s="65" t="n"/>
      <c r="AA762" s="65" t="n"/>
      <c r="AB762" s="65" t="n"/>
      <c r="AC762" s="65" t="n"/>
      <c r="AD762" s="65" t="n"/>
      <c r="AE762" s="65" t="n"/>
      <c r="AF762" s="65" t="n"/>
      <c r="AG762" s="65" t="n"/>
      <c r="AH762" s="65" t="n"/>
      <c r="AI762" s="65" t="n"/>
      <c r="AJ762" s="65" t="n"/>
      <c r="AK762" s="65" t="n"/>
      <c r="AL762" s="65" t="n"/>
      <c r="AM762" s="65" t="n"/>
      <c r="AN762" s="65" t="n"/>
      <c r="AO762" s="65" t="n"/>
      <c r="AP762" s="65" t="n"/>
    </row>
    <row r="763">
      <c r="F763" s="68" t="n"/>
      <c r="G763" s="68">
        <f>IF(B763="","",F763-I763 )</f>
        <v/>
      </c>
      <c r="H763" s="5">
        <f>IF(G763="","",G763/F763)</f>
        <v/>
      </c>
      <c r="J763" s="65" t="n"/>
      <c r="K763" s="65" t="n"/>
      <c r="L763" s="65" t="n"/>
      <c r="M763" s="65" t="n"/>
      <c r="N763" s="65" t="n"/>
      <c r="O763" s="65" t="n"/>
      <c r="P763" s="65" t="n"/>
      <c r="Q763" s="65" t="n"/>
      <c r="R763" s="65" t="n"/>
      <c r="S763" s="65" t="n"/>
      <c r="T763" s="65" t="n"/>
      <c r="U763" s="65" t="n"/>
      <c r="V763" s="77" t="n"/>
      <c r="W763" s="65" t="n"/>
      <c r="X763" s="65" t="n"/>
      <c r="Y763" s="65" t="n"/>
      <c r="Z763" s="65" t="n"/>
      <c r="AA763" s="65" t="n"/>
      <c r="AB763" s="65" t="n"/>
      <c r="AC763" s="65" t="n"/>
      <c r="AD763" s="65" t="n"/>
      <c r="AE763" s="65" t="n"/>
      <c r="AF763" s="65" t="n"/>
      <c r="AG763" s="65" t="n"/>
      <c r="AH763" s="65" t="n"/>
      <c r="AI763" s="65" t="n"/>
      <c r="AJ763" s="65" t="n"/>
      <c r="AK763" s="65" t="n"/>
      <c r="AL763" s="65" t="n"/>
      <c r="AM763" s="65" t="n"/>
      <c r="AN763" s="65" t="n"/>
      <c r="AO763" s="65" t="n"/>
      <c r="AP763" s="65" t="n"/>
    </row>
    <row r="764">
      <c r="F764" s="68" t="n"/>
      <c r="G764" s="68">
        <f>IF(B764="","",F764-I764 )</f>
        <v/>
      </c>
      <c r="H764" s="5">
        <f>IF(G764="","",G764/F764)</f>
        <v/>
      </c>
      <c r="J764" s="65" t="n"/>
      <c r="K764" s="65" t="n"/>
      <c r="L764" s="65" t="n"/>
      <c r="M764" s="65" t="n"/>
      <c r="N764" s="65" t="n"/>
      <c r="O764" s="65" t="n"/>
      <c r="P764" s="65" t="n"/>
      <c r="Q764" s="65" t="n"/>
      <c r="R764" s="65" t="n"/>
      <c r="S764" s="65" t="n"/>
      <c r="T764" s="65" t="n"/>
      <c r="U764" s="65" t="n"/>
      <c r="V764" s="77" t="n"/>
      <c r="W764" s="65" t="n"/>
      <c r="X764" s="65" t="n"/>
      <c r="Y764" s="65" t="n"/>
      <c r="Z764" s="65" t="n"/>
      <c r="AA764" s="65" t="n"/>
      <c r="AB764" s="65" t="n"/>
      <c r="AC764" s="65" t="n"/>
      <c r="AD764" s="65" t="n"/>
      <c r="AE764" s="65" t="n"/>
      <c r="AF764" s="65" t="n"/>
      <c r="AG764" s="65" t="n"/>
      <c r="AH764" s="65" t="n"/>
      <c r="AI764" s="65" t="n"/>
      <c r="AJ764" s="65" t="n"/>
      <c r="AK764" s="65" t="n"/>
      <c r="AL764" s="65" t="n"/>
      <c r="AM764" s="65" t="n"/>
      <c r="AN764" s="65" t="n"/>
      <c r="AO764" s="65" t="n"/>
      <c r="AP764" s="65" t="n"/>
    </row>
    <row r="765">
      <c r="F765" s="68" t="n"/>
      <c r="G765" s="68">
        <f>IF(B765="","",F765-I765 )</f>
        <v/>
      </c>
      <c r="H765" s="5">
        <f>IF(G765="","",G765/F765)</f>
        <v/>
      </c>
      <c r="J765" s="65" t="n"/>
      <c r="K765" s="65" t="n"/>
      <c r="L765" s="65" t="n"/>
      <c r="M765" s="65" t="n"/>
      <c r="N765" s="65" t="n"/>
      <c r="O765" s="65" t="n"/>
      <c r="P765" s="65" t="n"/>
      <c r="Q765" s="65" t="n"/>
      <c r="R765" s="65" t="n"/>
      <c r="S765" s="65" t="n"/>
      <c r="T765" s="65" t="n"/>
      <c r="U765" s="65" t="n"/>
      <c r="V765" s="77" t="n"/>
      <c r="W765" s="65" t="n"/>
      <c r="X765" s="65" t="n"/>
      <c r="Y765" s="65" t="n"/>
      <c r="Z765" s="65" t="n"/>
      <c r="AA765" s="65" t="n"/>
      <c r="AB765" s="65" t="n"/>
      <c r="AC765" s="65" t="n"/>
      <c r="AD765" s="65" t="n"/>
      <c r="AE765" s="65" t="n"/>
      <c r="AF765" s="65" t="n"/>
      <c r="AG765" s="65" t="n"/>
      <c r="AH765" s="65" t="n"/>
      <c r="AI765" s="65" t="n"/>
      <c r="AJ765" s="65" t="n"/>
      <c r="AK765" s="65" t="n"/>
      <c r="AL765" s="65" t="n"/>
      <c r="AM765" s="65" t="n"/>
      <c r="AN765" s="65" t="n"/>
      <c r="AO765" s="65" t="n"/>
      <c r="AP765" s="65" t="n"/>
    </row>
    <row r="766">
      <c r="F766" s="68" t="n"/>
      <c r="G766" s="68">
        <f>IF(B766="","",F766-I766 )</f>
        <v/>
      </c>
      <c r="H766" s="5">
        <f>IF(G766="","",G766/F766)</f>
        <v/>
      </c>
      <c r="J766" s="65" t="n"/>
      <c r="K766" s="65" t="n"/>
      <c r="L766" s="65" t="n"/>
      <c r="M766" s="65" t="n"/>
      <c r="N766" s="65" t="n"/>
      <c r="O766" s="65" t="n"/>
      <c r="P766" s="65" t="n"/>
      <c r="Q766" s="65" t="n"/>
      <c r="R766" s="65" t="n"/>
      <c r="S766" s="65" t="n"/>
      <c r="T766" s="65" t="n"/>
      <c r="U766" s="65" t="n"/>
      <c r="V766" s="77" t="n"/>
      <c r="W766" s="65" t="n"/>
      <c r="X766" s="65" t="n"/>
      <c r="Y766" s="65" t="n"/>
      <c r="Z766" s="65" t="n"/>
      <c r="AA766" s="65" t="n"/>
      <c r="AB766" s="65" t="n"/>
      <c r="AC766" s="65" t="n"/>
      <c r="AD766" s="65" t="n"/>
      <c r="AE766" s="65" t="n"/>
      <c r="AF766" s="65" t="n"/>
      <c r="AG766" s="65" t="n"/>
      <c r="AH766" s="65" t="n"/>
      <c r="AI766" s="65" t="n"/>
      <c r="AJ766" s="65" t="n"/>
      <c r="AK766" s="65" t="n"/>
      <c r="AL766" s="65" t="n"/>
      <c r="AM766" s="65" t="n"/>
      <c r="AN766" s="65" t="n"/>
      <c r="AO766" s="65" t="n"/>
      <c r="AP766" s="65" t="n"/>
    </row>
    <row r="767">
      <c r="F767" s="68" t="n"/>
      <c r="G767" s="68">
        <f>IF(B767="","",F767-I767 )</f>
        <v/>
      </c>
      <c r="H767" s="5">
        <f>IF(G767="","",G767/F767)</f>
        <v/>
      </c>
      <c r="J767" s="65" t="n"/>
      <c r="K767" s="65" t="n"/>
      <c r="L767" s="65" t="n"/>
      <c r="M767" s="65" t="n"/>
      <c r="N767" s="65" t="n"/>
      <c r="O767" s="65" t="n"/>
      <c r="P767" s="65" t="n"/>
      <c r="Q767" s="65" t="n"/>
      <c r="R767" s="65" t="n"/>
      <c r="S767" s="65" t="n"/>
      <c r="T767" s="65" t="n"/>
      <c r="U767" s="65" t="n"/>
      <c r="V767" s="77" t="n"/>
      <c r="W767" s="65" t="n"/>
      <c r="X767" s="65" t="n"/>
      <c r="Y767" s="65" t="n"/>
      <c r="Z767" s="65" t="n"/>
      <c r="AA767" s="65" t="n"/>
      <c r="AB767" s="65" t="n"/>
      <c r="AC767" s="65" t="n"/>
      <c r="AD767" s="65" t="n"/>
      <c r="AE767" s="65" t="n"/>
      <c r="AF767" s="65" t="n"/>
      <c r="AG767" s="65" t="n"/>
      <c r="AH767" s="65" t="n"/>
      <c r="AI767" s="65" t="n"/>
      <c r="AJ767" s="65" t="n"/>
      <c r="AK767" s="65" t="n"/>
      <c r="AL767" s="65" t="n"/>
      <c r="AM767" s="65" t="n"/>
      <c r="AN767" s="65" t="n"/>
      <c r="AO767" s="65" t="n"/>
      <c r="AP767" s="65" t="n"/>
    </row>
    <row r="768">
      <c r="F768" s="68" t="n"/>
      <c r="G768" s="68">
        <f>IF(B768="","",F768-I768 )</f>
        <v/>
      </c>
      <c r="H768" s="5">
        <f>IF(G768="","",G768/F768)</f>
        <v/>
      </c>
      <c r="J768" s="65" t="n"/>
      <c r="K768" s="65" t="n"/>
      <c r="L768" s="65" t="n"/>
      <c r="M768" s="65" t="n"/>
      <c r="N768" s="65" t="n"/>
      <c r="O768" s="65" t="n"/>
      <c r="P768" s="65" t="n"/>
      <c r="Q768" s="65" t="n"/>
      <c r="R768" s="65" t="n"/>
      <c r="S768" s="65" t="n"/>
      <c r="T768" s="65" t="n"/>
      <c r="U768" s="65" t="n"/>
      <c r="V768" s="77" t="n"/>
      <c r="W768" s="65" t="n"/>
      <c r="X768" s="65" t="n"/>
      <c r="Y768" s="65" t="n"/>
      <c r="Z768" s="65" t="n"/>
      <c r="AA768" s="65" t="n"/>
      <c r="AB768" s="65" t="n"/>
      <c r="AC768" s="65" t="n"/>
      <c r="AD768" s="65" t="n"/>
      <c r="AE768" s="65" t="n"/>
      <c r="AF768" s="65" t="n"/>
      <c r="AG768" s="65" t="n"/>
      <c r="AH768" s="65" t="n"/>
      <c r="AI768" s="65" t="n"/>
      <c r="AJ768" s="65" t="n"/>
      <c r="AK768" s="65" t="n"/>
      <c r="AL768" s="65" t="n"/>
      <c r="AM768" s="65" t="n"/>
      <c r="AN768" s="65" t="n"/>
      <c r="AO768" s="65" t="n"/>
      <c r="AP768" s="65" t="n"/>
    </row>
    <row r="769">
      <c r="F769" s="68" t="n"/>
      <c r="G769" s="68">
        <f>IF(B769="","",F769-I769 )</f>
        <v/>
      </c>
      <c r="H769" s="5">
        <f>IF(G769="","",G769/F769)</f>
        <v/>
      </c>
      <c r="J769" s="65" t="n"/>
      <c r="K769" s="65" t="n"/>
      <c r="L769" s="65" t="n"/>
      <c r="M769" s="65" t="n"/>
      <c r="N769" s="65" t="n"/>
      <c r="O769" s="65" t="n"/>
      <c r="P769" s="65" t="n"/>
      <c r="Q769" s="65" t="n"/>
      <c r="R769" s="65" t="n"/>
      <c r="S769" s="65" t="n"/>
      <c r="T769" s="65" t="n"/>
      <c r="U769" s="65" t="n"/>
      <c r="V769" s="77" t="n"/>
      <c r="W769" s="65" t="n"/>
      <c r="X769" s="65" t="n"/>
      <c r="Y769" s="65" t="n"/>
      <c r="Z769" s="65" t="n"/>
      <c r="AA769" s="65" t="n"/>
      <c r="AB769" s="65" t="n"/>
      <c r="AC769" s="65" t="n"/>
      <c r="AD769" s="65" t="n"/>
      <c r="AE769" s="65" t="n"/>
      <c r="AF769" s="65" t="n"/>
      <c r="AG769" s="65" t="n"/>
      <c r="AH769" s="65" t="n"/>
      <c r="AI769" s="65" t="n"/>
      <c r="AJ769" s="65" t="n"/>
      <c r="AK769" s="65" t="n"/>
      <c r="AL769" s="65" t="n"/>
      <c r="AM769" s="65" t="n"/>
      <c r="AN769" s="65" t="n"/>
      <c r="AO769" s="65" t="n"/>
      <c r="AP769" s="65" t="n"/>
    </row>
    <row r="770">
      <c r="F770" s="68" t="n"/>
      <c r="G770" s="68">
        <f>IF(B770="","",F770-I770 )</f>
        <v/>
      </c>
      <c r="H770" s="5">
        <f>IF(G770="","",G770/F770)</f>
        <v/>
      </c>
      <c r="J770" s="65" t="n"/>
      <c r="K770" s="65" t="n"/>
      <c r="L770" s="65" t="n"/>
      <c r="M770" s="65" t="n"/>
      <c r="N770" s="65" t="n"/>
      <c r="O770" s="65" t="n"/>
      <c r="P770" s="65" t="n"/>
      <c r="Q770" s="65" t="n"/>
      <c r="R770" s="65" t="n"/>
      <c r="S770" s="65" t="n"/>
      <c r="T770" s="65" t="n"/>
      <c r="U770" s="65" t="n"/>
      <c r="V770" s="77" t="n"/>
      <c r="W770" s="65" t="n"/>
      <c r="X770" s="65" t="n"/>
      <c r="Y770" s="65" t="n"/>
      <c r="Z770" s="65" t="n"/>
      <c r="AA770" s="65" t="n"/>
      <c r="AB770" s="65" t="n"/>
      <c r="AC770" s="65" t="n"/>
      <c r="AD770" s="65" t="n"/>
      <c r="AE770" s="65" t="n"/>
      <c r="AF770" s="65" t="n"/>
      <c r="AG770" s="65" t="n"/>
      <c r="AH770" s="65" t="n"/>
      <c r="AI770" s="65" t="n"/>
      <c r="AJ770" s="65" t="n"/>
      <c r="AK770" s="65" t="n"/>
      <c r="AL770" s="65" t="n"/>
      <c r="AM770" s="65" t="n"/>
      <c r="AN770" s="65" t="n"/>
      <c r="AO770" s="65" t="n"/>
      <c r="AP770" s="65" t="n"/>
    </row>
    <row r="771">
      <c r="F771" s="68" t="n"/>
      <c r="G771" s="68">
        <f>IF(B771="","",F771-I771 )</f>
        <v/>
      </c>
      <c r="H771" s="5">
        <f>IF(G771="","",G771/F771)</f>
        <v/>
      </c>
      <c r="J771" s="65" t="n"/>
      <c r="K771" s="65" t="n"/>
      <c r="L771" s="65" t="n"/>
      <c r="M771" s="65" t="n"/>
      <c r="N771" s="65" t="n"/>
      <c r="O771" s="65" t="n"/>
      <c r="P771" s="65" t="n"/>
      <c r="Q771" s="65" t="n"/>
      <c r="R771" s="65" t="n"/>
      <c r="S771" s="65" t="n"/>
      <c r="T771" s="65" t="n"/>
      <c r="U771" s="65" t="n"/>
      <c r="V771" s="77" t="n"/>
      <c r="W771" s="65" t="n"/>
      <c r="X771" s="65" t="n"/>
      <c r="Y771" s="65" t="n"/>
      <c r="Z771" s="65" t="n"/>
      <c r="AA771" s="65" t="n"/>
      <c r="AB771" s="65" t="n"/>
      <c r="AC771" s="65" t="n"/>
      <c r="AD771" s="65" t="n"/>
      <c r="AE771" s="65" t="n"/>
      <c r="AF771" s="65" t="n"/>
      <c r="AG771" s="65" t="n"/>
      <c r="AH771" s="65" t="n"/>
      <c r="AI771" s="65" t="n"/>
      <c r="AJ771" s="65" t="n"/>
      <c r="AK771" s="65" t="n"/>
      <c r="AL771" s="65" t="n"/>
      <c r="AM771" s="65" t="n"/>
      <c r="AN771" s="65" t="n"/>
      <c r="AO771" s="65" t="n"/>
      <c r="AP771" s="65" t="n"/>
    </row>
    <row r="772">
      <c r="F772" s="68" t="n"/>
      <c r="G772" s="68">
        <f>IF(B772="","",F772-I772 )</f>
        <v/>
      </c>
      <c r="H772" s="5">
        <f>IF(G772="","",G772/F772)</f>
        <v/>
      </c>
      <c r="J772" s="65" t="n"/>
      <c r="K772" s="65" t="n"/>
      <c r="L772" s="65" t="n"/>
      <c r="M772" s="65" t="n"/>
      <c r="N772" s="65" t="n"/>
      <c r="O772" s="65" t="n"/>
      <c r="P772" s="65" t="n"/>
      <c r="Q772" s="65" t="n"/>
      <c r="R772" s="65" t="n"/>
      <c r="S772" s="65" t="n"/>
      <c r="T772" s="65" t="n"/>
      <c r="U772" s="65" t="n"/>
      <c r="V772" s="77" t="n"/>
      <c r="W772" s="65" t="n"/>
      <c r="X772" s="65" t="n"/>
      <c r="Y772" s="65" t="n"/>
      <c r="Z772" s="65" t="n"/>
      <c r="AA772" s="65" t="n"/>
      <c r="AB772" s="65" t="n"/>
      <c r="AC772" s="65" t="n"/>
      <c r="AD772" s="65" t="n"/>
      <c r="AE772" s="65" t="n"/>
      <c r="AF772" s="65" t="n"/>
      <c r="AG772" s="65" t="n"/>
      <c r="AH772" s="65" t="n"/>
      <c r="AI772" s="65" t="n"/>
      <c r="AJ772" s="65" t="n"/>
      <c r="AK772" s="65" t="n"/>
      <c r="AL772" s="65" t="n"/>
      <c r="AM772" s="65" t="n"/>
      <c r="AN772" s="65" t="n"/>
      <c r="AO772" s="65" t="n"/>
      <c r="AP772" s="65" t="n"/>
    </row>
    <row r="773">
      <c r="F773" s="68" t="n"/>
      <c r="G773" s="68">
        <f>IF(B773="","",F773-I773 )</f>
        <v/>
      </c>
      <c r="H773" s="5">
        <f>IF(G773="","",G773/F773)</f>
        <v/>
      </c>
      <c r="J773" s="65" t="n"/>
      <c r="K773" s="65" t="n"/>
      <c r="L773" s="65" t="n"/>
      <c r="M773" s="65" t="n"/>
      <c r="N773" s="65" t="n"/>
      <c r="O773" s="65" t="n"/>
      <c r="P773" s="65" t="n"/>
      <c r="Q773" s="65" t="n"/>
      <c r="R773" s="65" t="n"/>
      <c r="S773" s="65" t="n"/>
      <c r="T773" s="65" t="n"/>
      <c r="U773" s="65" t="n"/>
      <c r="V773" s="77" t="n"/>
      <c r="W773" s="65" t="n"/>
      <c r="X773" s="65" t="n"/>
      <c r="Y773" s="65" t="n"/>
      <c r="Z773" s="65" t="n"/>
      <c r="AA773" s="65" t="n"/>
      <c r="AB773" s="65" t="n"/>
      <c r="AC773" s="65" t="n"/>
      <c r="AD773" s="65" t="n"/>
      <c r="AE773" s="65" t="n"/>
      <c r="AF773" s="65" t="n"/>
      <c r="AG773" s="65" t="n"/>
      <c r="AH773" s="65" t="n"/>
      <c r="AI773" s="65" t="n"/>
      <c r="AJ773" s="65" t="n"/>
      <c r="AK773" s="65" t="n"/>
      <c r="AL773" s="65" t="n"/>
      <c r="AM773" s="65" t="n"/>
      <c r="AN773" s="65" t="n"/>
      <c r="AO773" s="65" t="n"/>
      <c r="AP773" s="65" t="n"/>
    </row>
    <row r="774">
      <c r="F774" s="68" t="n"/>
      <c r="G774" s="68">
        <f>IF(B774="","",F774-I774 )</f>
        <v/>
      </c>
      <c r="H774" s="5">
        <f>IF(G774="","",G774/F774)</f>
        <v/>
      </c>
      <c r="J774" s="65" t="n"/>
      <c r="K774" s="65" t="n"/>
      <c r="L774" s="65" t="n"/>
      <c r="M774" s="65" t="n"/>
      <c r="N774" s="65" t="n"/>
      <c r="O774" s="65" t="n"/>
      <c r="P774" s="65" t="n"/>
      <c r="Q774" s="65" t="n"/>
      <c r="R774" s="65" t="n"/>
      <c r="S774" s="65" t="n"/>
      <c r="T774" s="65" t="n"/>
      <c r="U774" s="65" t="n"/>
      <c r="V774" s="77" t="n"/>
      <c r="W774" s="65" t="n"/>
      <c r="X774" s="65" t="n"/>
      <c r="Y774" s="65" t="n"/>
      <c r="Z774" s="65" t="n"/>
      <c r="AA774" s="65" t="n"/>
      <c r="AB774" s="65" t="n"/>
      <c r="AC774" s="65" t="n"/>
      <c r="AD774" s="65" t="n"/>
      <c r="AE774" s="65" t="n"/>
      <c r="AF774" s="65" t="n"/>
      <c r="AG774" s="65" t="n"/>
      <c r="AH774" s="65" t="n"/>
      <c r="AI774" s="65" t="n"/>
      <c r="AJ774" s="65" t="n"/>
      <c r="AK774" s="65" t="n"/>
      <c r="AL774" s="65" t="n"/>
      <c r="AM774" s="65" t="n"/>
      <c r="AN774" s="65" t="n"/>
      <c r="AO774" s="65" t="n"/>
      <c r="AP774" s="65" t="n"/>
    </row>
    <row r="775">
      <c r="F775" s="68" t="n"/>
      <c r="G775" s="68">
        <f>IF(B775="","",F775-I775 )</f>
        <v/>
      </c>
      <c r="H775" s="5">
        <f>IF(G775="","",G775/F775)</f>
        <v/>
      </c>
      <c r="J775" s="65" t="n"/>
      <c r="K775" s="65" t="n"/>
      <c r="L775" s="65" t="n"/>
      <c r="M775" s="65" t="n"/>
      <c r="N775" s="65" t="n"/>
      <c r="O775" s="65" t="n"/>
      <c r="P775" s="65" t="n"/>
      <c r="Q775" s="65" t="n"/>
      <c r="R775" s="65" t="n"/>
      <c r="S775" s="65" t="n"/>
      <c r="T775" s="65" t="n"/>
      <c r="U775" s="65" t="n"/>
      <c r="V775" s="77" t="n"/>
      <c r="W775" s="65" t="n"/>
      <c r="X775" s="65" t="n"/>
      <c r="Y775" s="65" t="n"/>
      <c r="Z775" s="65" t="n"/>
      <c r="AA775" s="65" t="n"/>
      <c r="AB775" s="65" t="n"/>
      <c r="AC775" s="65" t="n"/>
      <c r="AD775" s="65" t="n"/>
      <c r="AE775" s="65" t="n"/>
      <c r="AF775" s="65" t="n"/>
      <c r="AG775" s="65" t="n"/>
      <c r="AH775" s="65" t="n"/>
      <c r="AI775" s="65" t="n"/>
      <c r="AJ775" s="65" t="n"/>
      <c r="AK775" s="65" t="n"/>
      <c r="AL775" s="65" t="n"/>
      <c r="AM775" s="65" t="n"/>
      <c r="AN775" s="65" t="n"/>
      <c r="AO775" s="65" t="n"/>
      <c r="AP775" s="65" t="n"/>
    </row>
    <row r="776">
      <c r="F776" s="68" t="n"/>
      <c r="G776" s="68">
        <f>IF(B776="","",F776-I776 )</f>
        <v/>
      </c>
      <c r="H776" s="5">
        <f>IF(G776="","",G776/F776)</f>
        <v/>
      </c>
      <c r="J776" s="65" t="n"/>
      <c r="K776" s="65" t="n"/>
      <c r="L776" s="65" t="n"/>
      <c r="M776" s="65" t="n"/>
      <c r="N776" s="65" t="n"/>
      <c r="O776" s="65" t="n"/>
      <c r="P776" s="65" t="n"/>
      <c r="Q776" s="65" t="n"/>
      <c r="R776" s="65" t="n"/>
      <c r="S776" s="65" t="n"/>
      <c r="T776" s="65" t="n"/>
      <c r="U776" s="65" t="n"/>
      <c r="V776" s="77" t="n"/>
      <c r="W776" s="65" t="n"/>
      <c r="X776" s="65" t="n"/>
      <c r="Y776" s="65" t="n"/>
      <c r="Z776" s="65" t="n"/>
      <c r="AA776" s="65" t="n"/>
      <c r="AB776" s="65" t="n"/>
      <c r="AC776" s="65" t="n"/>
      <c r="AD776" s="65" t="n"/>
      <c r="AE776" s="65" t="n"/>
      <c r="AF776" s="65" t="n"/>
      <c r="AG776" s="65" t="n"/>
      <c r="AH776" s="65" t="n"/>
      <c r="AI776" s="65" t="n"/>
      <c r="AJ776" s="65" t="n"/>
      <c r="AK776" s="65" t="n"/>
      <c r="AL776" s="65" t="n"/>
      <c r="AM776" s="65" t="n"/>
      <c r="AN776" s="65" t="n"/>
      <c r="AO776" s="65" t="n"/>
      <c r="AP776" s="65" t="n"/>
    </row>
    <row r="777">
      <c r="F777" s="68" t="n"/>
      <c r="G777" s="68">
        <f>IF(B777="","",F777-I777 )</f>
        <v/>
      </c>
      <c r="H777" s="5">
        <f>IF(G777="","",G777/F777)</f>
        <v/>
      </c>
      <c r="J777" s="65" t="n"/>
      <c r="K777" s="65" t="n"/>
      <c r="L777" s="65" t="n"/>
      <c r="M777" s="65" t="n"/>
      <c r="N777" s="65" t="n"/>
      <c r="O777" s="65" t="n"/>
      <c r="P777" s="65" t="n"/>
      <c r="Q777" s="65" t="n"/>
      <c r="R777" s="65" t="n"/>
      <c r="S777" s="65" t="n"/>
      <c r="T777" s="65" t="n"/>
      <c r="U777" s="65" t="n"/>
      <c r="V777" s="77" t="n"/>
      <c r="W777" s="65" t="n"/>
      <c r="X777" s="65" t="n"/>
      <c r="Y777" s="65" t="n"/>
      <c r="Z777" s="65" t="n"/>
      <c r="AA777" s="65" t="n"/>
      <c r="AB777" s="65" t="n"/>
      <c r="AC777" s="65" t="n"/>
      <c r="AD777" s="65" t="n"/>
      <c r="AE777" s="65" t="n"/>
      <c r="AF777" s="65" t="n"/>
      <c r="AG777" s="65" t="n"/>
      <c r="AH777" s="65" t="n"/>
      <c r="AI777" s="65" t="n"/>
      <c r="AJ777" s="65" t="n"/>
      <c r="AK777" s="65" t="n"/>
      <c r="AL777" s="65" t="n"/>
      <c r="AM777" s="65" t="n"/>
      <c r="AN777" s="65" t="n"/>
      <c r="AO777" s="65" t="n"/>
      <c r="AP777" s="65" t="n"/>
    </row>
    <row r="778">
      <c r="F778" s="68" t="n"/>
      <c r="G778" s="68">
        <f>IF(B778="","",F778-I778 )</f>
        <v/>
      </c>
      <c r="H778" s="5">
        <f>IF(G778="","",G778/F778)</f>
        <v/>
      </c>
      <c r="J778" s="65" t="n"/>
      <c r="K778" s="65" t="n"/>
      <c r="L778" s="65" t="n"/>
      <c r="M778" s="65" t="n"/>
      <c r="N778" s="65" t="n"/>
      <c r="O778" s="65" t="n"/>
      <c r="P778" s="65" t="n"/>
      <c r="Q778" s="65" t="n"/>
      <c r="R778" s="65" t="n"/>
      <c r="S778" s="65" t="n"/>
      <c r="T778" s="65" t="n"/>
      <c r="U778" s="65" t="n"/>
      <c r="V778" s="77" t="n"/>
      <c r="W778" s="65" t="n"/>
      <c r="X778" s="65" t="n"/>
      <c r="Y778" s="65" t="n"/>
      <c r="Z778" s="65" t="n"/>
      <c r="AA778" s="65" t="n"/>
      <c r="AB778" s="65" t="n"/>
      <c r="AC778" s="65" t="n"/>
      <c r="AD778" s="65" t="n"/>
      <c r="AE778" s="65" t="n"/>
      <c r="AF778" s="65" t="n"/>
      <c r="AG778" s="65" t="n"/>
      <c r="AH778" s="65" t="n"/>
      <c r="AI778" s="65" t="n"/>
      <c r="AJ778" s="65" t="n"/>
      <c r="AK778" s="65" t="n"/>
      <c r="AL778" s="65" t="n"/>
      <c r="AM778" s="65" t="n"/>
      <c r="AN778" s="65" t="n"/>
      <c r="AO778" s="65" t="n"/>
      <c r="AP778" s="65" t="n"/>
    </row>
    <row r="779">
      <c r="F779" s="68" t="n"/>
      <c r="G779" s="68">
        <f>IF(B779="","",F779-I779 )</f>
        <v/>
      </c>
      <c r="H779" s="5">
        <f>IF(G779="","",G779/F779)</f>
        <v/>
      </c>
      <c r="J779" s="65" t="n"/>
      <c r="K779" s="65" t="n"/>
      <c r="L779" s="65" t="n"/>
      <c r="M779" s="65" t="n"/>
      <c r="N779" s="65" t="n"/>
      <c r="O779" s="65" t="n"/>
      <c r="P779" s="65" t="n"/>
      <c r="Q779" s="65" t="n"/>
      <c r="R779" s="65" t="n"/>
      <c r="S779" s="65" t="n"/>
      <c r="T779" s="65" t="n"/>
      <c r="U779" s="65" t="n"/>
      <c r="V779" s="77" t="n"/>
      <c r="W779" s="65" t="n"/>
      <c r="X779" s="65" t="n"/>
      <c r="Y779" s="65" t="n"/>
      <c r="Z779" s="65" t="n"/>
      <c r="AA779" s="65" t="n"/>
      <c r="AB779" s="65" t="n"/>
      <c r="AC779" s="65" t="n"/>
      <c r="AD779" s="65" t="n"/>
      <c r="AE779" s="65" t="n"/>
      <c r="AF779" s="65" t="n"/>
      <c r="AG779" s="65" t="n"/>
      <c r="AH779" s="65" t="n"/>
      <c r="AI779" s="65" t="n"/>
      <c r="AJ779" s="65" t="n"/>
      <c r="AK779" s="65" t="n"/>
      <c r="AL779" s="65" t="n"/>
      <c r="AM779" s="65" t="n"/>
      <c r="AN779" s="65" t="n"/>
      <c r="AO779" s="65" t="n"/>
      <c r="AP779" s="65" t="n"/>
    </row>
    <row r="780">
      <c r="F780" s="68" t="n"/>
      <c r="G780" s="68">
        <f>IF(B780="","",F780-I780 )</f>
        <v/>
      </c>
      <c r="H780" s="5">
        <f>IF(G780="","",G780/F780)</f>
        <v/>
      </c>
      <c r="J780" s="65" t="n"/>
      <c r="K780" s="65" t="n"/>
      <c r="L780" s="65" t="n"/>
      <c r="M780" s="65" t="n"/>
      <c r="N780" s="65" t="n"/>
      <c r="O780" s="65" t="n"/>
      <c r="P780" s="65" t="n"/>
      <c r="Q780" s="65" t="n"/>
      <c r="R780" s="65" t="n"/>
      <c r="S780" s="65" t="n"/>
      <c r="T780" s="65" t="n"/>
      <c r="U780" s="65" t="n"/>
      <c r="V780" s="77" t="n"/>
      <c r="W780" s="65" t="n"/>
      <c r="X780" s="65" t="n"/>
      <c r="Y780" s="65" t="n"/>
      <c r="Z780" s="65" t="n"/>
      <c r="AA780" s="65" t="n"/>
      <c r="AB780" s="65" t="n"/>
      <c r="AC780" s="65" t="n"/>
      <c r="AD780" s="65" t="n"/>
      <c r="AE780" s="65" t="n"/>
      <c r="AF780" s="65" t="n"/>
      <c r="AG780" s="65" t="n"/>
      <c r="AH780" s="65" t="n"/>
      <c r="AI780" s="65" t="n"/>
      <c r="AJ780" s="65" t="n"/>
      <c r="AK780" s="65" t="n"/>
      <c r="AL780" s="65" t="n"/>
      <c r="AM780" s="65" t="n"/>
      <c r="AN780" s="65" t="n"/>
      <c r="AO780" s="65" t="n"/>
      <c r="AP780" s="65" t="n"/>
    </row>
    <row r="781">
      <c r="F781" s="68" t="n"/>
      <c r="G781" s="68">
        <f>IF(B781="","",F781-I781 )</f>
        <v/>
      </c>
      <c r="H781" s="5">
        <f>IF(G781="","",G781/F781)</f>
        <v/>
      </c>
      <c r="J781" s="65" t="n"/>
      <c r="K781" s="65" t="n"/>
      <c r="L781" s="65" t="n"/>
      <c r="M781" s="65" t="n"/>
      <c r="N781" s="65" t="n"/>
      <c r="O781" s="65" t="n"/>
      <c r="P781" s="65" t="n"/>
      <c r="Q781" s="65" t="n"/>
      <c r="R781" s="65" t="n"/>
      <c r="S781" s="65" t="n"/>
      <c r="T781" s="65" t="n"/>
      <c r="U781" s="65" t="n"/>
      <c r="V781" s="77" t="n"/>
      <c r="W781" s="65" t="n"/>
      <c r="X781" s="65" t="n"/>
      <c r="Y781" s="65" t="n"/>
      <c r="Z781" s="65" t="n"/>
      <c r="AA781" s="65" t="n"/>
      <c r="AB781" s="65" t="n"/>
      <c r="AC781" s="65" t="n"/>
      <c r="AD781" s="65" t="n"/>
      <c r="AE781" s="65" t="n"/>
      <c r="AF781" s="65" t="n"/>
      <c r="AG781" s="65" t="n"/>
      <c r="AH781" s="65" t="n"/>
      <c r="AI781" s="65" t="n"/>
      <c r="AJ781" s="65" t="n"/>
      <c r="AK781" s="65" t="n"/>
      <c r="AL781" s="65" t="n"/>
      <c r="AM781" s="65" t="n"/>
      <c r="AN781" s="65" t="n"/>
      <c r="AO781" s="65" t="n"/>
      <c r="AP781" s="65" t="n"/>
    </row>
    <row r="782">
      <c r="F782" s="68" t="n"/>
      <c r="G782" s="68">
        <f>IF(B782="","",F782-I782 )</f>
        <v/>
      </c>
      <c r="H782" s="5">
        <f>IF(G782="","",G782/F782)</f>
        <v/>
      </c>
      <c r="J782" s="65" t="n"/>
      <c r="K782" s="65" t="n"/>
      <c r="L782" s="65" t="n"/>
      <c r="M782" s="65" t="n"/>
      <c r="N782" s="65" t="n"/>
      <c r="O782" s="65" t="n"/>
      <c r="P782" s="65" t="n"/>
      <c r="Q782" s="65" t="n"/>
      <c r="R782" s="65" t="n"/>
      <c r="S782" s="65" t="n"/>
      <c r="T782" s="65" t="n"/>
      <c r="U782" s="65" t="n"/>
      <c r="V782" s="77" t="n"/>
      <c r="W782" s="65" t="n"/>
      <c r="X782" s="65" t="n"/>
      <c r="Y782" s="65" t="n"/>
      <c r="Z782" s="65" t="n"/>
      <c r="AA782" s="65" t="n"/>
      <c r="AB782" s="65" t="n"/>
      <c r="AC782" s="65" t="n"/>
      <c r="AD782" s="65" t="n"/>
      <c r="AE782" s="65" t="n"/>
      <c r="AF782" s="65" t="n"/>
      <c r="AG782" s="65" t="n"/>
      <c r="AH782" s="65" t="n"/>
      <c r="AI782" s="65" t="n"/>
      <c r="AJ782" s="65" t="n"/>
      <c r="AK782" s="65" t="n"/>
      <c r="AL782" s="65" t="n"/>
      <c r="AM782" s="65" t="n"/>
      <c r="AN782" s="65" t="n"/>
      <c r="AO782" s="65" t="n"/>
      <c r="AP782" s="65" t="n"/>
    </row>
    <row r="783">
      <c r="F783" s="68" t="n"/>
      <c r="G783" s="68">
        <f>IF(B783="","",F783-I783 )</f>
        <v/>
      </c>
      <c r="H783" s="5">
        <f>IF(G783="","",G783/F783)</f>
        <v/>
      </c>
      <c r="J783" s="65" t="n"/>
      <c r="K783" s="65" t="n"/>
      <c r="L783" s="65" t="n"/>
      <c r="M783" s="65" t="n"/>
      <c r="N783" s="65" t="n"/>
      <c r="O783" s="65" t="n"/>
      <c r="P783" s="65" t="n"/>
      <c r="Q783" s="65" t="n"/>
      <c r="R783" s="65" t="n"/>
      <c r="S783" s="65" t="n"/>
      <c r="T783" s="65" t="n"/>
      <c r="U783" s="65" t="n"/>
      <c r="V783" s="77" t="n"/>
      <c r="W783" s="65" t="n"/>
      <c r="X783" s="65" t="n"/>
      <c r="Y783" s="65" t="n"/>
      <c r="Z783" s="65" t="n"/>
      <c r="AA783" s="65" t="n"/>
      <c r="AB783" s="65" t="n"/>
      <c r="AC783" s="65" t="n"/>
      <c r="AD783" s="65" t="n"/>
      <c r="AE783" s="65" t="n"/>
      <c r="AF783" s="65" t="n"/>
      <c r="AG783" s="65" t="n"/>
      <c r="AH783" s="65" t="n"/>
      <c r="AI783" s="65" t="n"/>
      <c r="AJ783" s="65" t="n"/>
      <c r="AK783" s="65" t="n"/>
      <c r="AL783" s="65" t="n"/>
      <c r="AM783" s="65" t="n"/>
      <c r="AN783" s="65" t="n"/>
      <c r="AO783" s="65" t="n"/>
      <c r="AP783" s="65" t="n"/>
    </row>
    <row r="784">
      <c r="F784" s="68" t="n"/>
      <c r="G784" s="68">
        <f>IF(B784="","",F784-I784 )</f>
        <v/>
      </c>
      <c r="H784" s="5">
        <f>IF(G784="","",G784/F784)</f>
        <v/>
      </c>
      <c r="J784" s="65" t="n"/>
      <c r="K784" s="65" t="n"/>
      <c r="L784" s="65" t="n"/>
      <c r="M784" s="65" t="n"/>
      <c r="N784" s="65" t="n"/>
      <c r="O784" s="65" t="n"/>
      <c r="P784" s="65" t="n"/>
      <c r="Q784" s="65" t="n"/>
      <c r="R784" s="65" t="n"/>
      <c r="S784" s="65" t="n"/>
      <c r="T784" s="65" t="n"/>
      <c r="U784" s="65" t="n"/>
      <c r="V784" s="77" t="n"/>
      <c r="W784" s="65" t="n"/>
      <c r="X784" s="65" t="n"/>
      <c r="Y784" s="65" t="n"/>
      <c r="Z784" s="65" t="n"/>
      <c r="AA784" s="65" t="n"/>
      <c r="AB784" s="65" t="n"/>
      <c r="AC784" s="65" t="n"/>
      <c r="AD784" s="65" t="n"/>
      <c r="AE784" s="65" t="n"/>
      <c r="AF784" s="65" t="n"/>
      <c r="AG784" s="65" t="n"/>
      <c r="AH784" s="65" t="n"/>
      <c r="AI784" s="65" t="n"/>
      <c r="AJ784" s="65" t="n"/>
      <c r="AK784" s="65" t="n"/>
      <c r="AL784" s="65" t="n"/>
      <c r="AM784" s="65" t="n"/>
      <c r="AN784" s="65" t="n"/>
      <c r="AO784" s="65" t="n"/>
      <c r="AP784" s="65" t="n"/>
    </row>
    <row r="785">
      <c r="F785" s="68" t="n"/>
      <c r="G785" s="68">
        <f>IF(B785="","",F785-I785 )</f>
        <v/>
      </c>
      <c r="H785" s="5">
        <f>IF(G785="","",G785/F785)</f>
        <v/>
      </c>
      <c r="J785" s="65" t="n"/>
      <c r="K785" s="65" t="n"/>
      <c r="L785" s="65" t="n"/>
      <c r="M785" s="65" t="n"/>
      <c r="N785" s="65" t="n"/>
      <c r="O785" s="65" t="n"/>
      <c r="P785" s="65" t="n"/>
      <c r="Q785" s="65" t="n"/>
      <c r="R785" s="65" t="n"/>
      <c r="S785" s="65" t="n"/>
      <c r="T785" s="65" t="n"/>
      <c r="U785" s="65" t="n"/>
      <c r="V785" s="77" t="n"/>
      <c r="W785" s="65" t="n"/>
      <c r="X785" s="65" t="n"/>
      <c r="Y785" s="65" t="n"/>
      <c r="Z785" s="65" t="n"/>
      <c r="AA785" s="65" t="n"/>
      <c r="AB785" s="65" t="n"/>
      <c r="AC785" s="65" t="n"/>
      <c r="AD785" s="65" t="n"/>
      <c r="AE785" s="65" t="n"/>
      <c r="AF785" s="65" t="n"/>
      <c r="AG785" s="65" t="n"/>
      <c r="AH785" s="65" t="n"/>
      <c r="AI785" s="65" t="n"/>
      <c r="AJ785" s="65" t="n"/>
      <c r="AK785" s="65" t="n"/>
      <c r="AL785" s="65" t="n"/>
      <c r="AM785" s="65" t="n"/>
      <c r="AN785" s="65" t="n"/>
      <c r="AO785" s="65" t="n"/>
      <c r="AP785" s="65" t="n"/>
    </row>
    <row r="786">
      <c r="F786" s="68" t="n"/>
      <c r="G786" s="68">
        <f>IF(B786="","",F786-I786 )</f>
        <v/>
      </c>
      <c r="H786" s="5">
        <f>IF(G786="","",G786/F786)</f>
        <v/>
      </c>
      <c r="J786" s="65" t="n"/>
      <c r="K786" s="65" t="n"/>
      <c r="L786" s="65" t="n"/>
      <c r="M786" s="65" t="n"/>
      <c r="N786" s="65" t="n"/>
      <c r="O786" s="65" t="n"/>
      <c r="P786" s="65" t="n"/>
      <c r="Q786" s="65" t="n"/>
      <c r="R786" s="65" t="n"/>
      <c r="S786" s="65" t="n"/>
      <c r="T786" s="65" t="n"/>
      <c r="U786" s="65" t="n"/>
      <c r="V786" s="77" t="n"/>
      <c r="W786" s="65" t="n"/>
      <c r="X786" s="65" t="n"/>
      <c r="Y786" s="65" t="n"/>
      <c r="Z786" s="65" t="n"/>
      <c r="AA786" s="65" t="n"/>
      <c r="AB786" s="65" t="n"/>
      <c r="AC786" s="65" t="n"/>
      <c r="AD786" s="65" t="n"/>
      <c r="AE786" s="65" t="n"/>
      <c r="AF786" s="65" t="n"/>
      <c r="AG786" s="65" t="n"/>
      <c r="AH786" s="65" t="n"/>
      <c r="AI786" s="65" t="n"/>
      <c r="AJ786" s="65" t="n"/>
      <c r="AK786" s="65" t="n"/>
      <c r="AL786" s="65" t="n"/>
      <c r="AM786" s="65" t="n"/>
      <c r="AN786" s="65" t="n"/>
      <c r="AO786" s="65" t="n"/>
      <c r="AP786" s="65" t="n"/>
    </row>
    <row r="787">
      <c r="F787" s="68" t="n"/>
      <c r="G787" s="68">
        <f>IF(B787="","",F787-I787 )</f>
        <v/>
      </c>
      <c r="H787" s="5">
        <f>IF(G787="","",G787/F787)</f>
        <v/>
      </c>
      <c r="J787" s="65" t="n"/>
      <c r="K787" s="65" t="n"/>
      <c r="L787" s="65" t="n"/>
      <c r="M787" s="65" t="n"/>
      <c r="N787" s="65" t="n"/>
      <c r="O787" s="65" t="n"/>
      <c r="P787" s="65" t="n"/>
      <c r="Q787" s="65" t="n"/>
      <c r="R787" s="65" t="n"/>
      <c r="S787" s="65" t="n"/>
      <c r="T787" s="65" t="n"/>
      <c r="U787" s="65" t="n"/>
      <c r="V787" s="77" t="n"/>
      <c r="W787" s="65" t="n"/>
      <c r="X787" s="65" t="n"/>
      <c r="Y787" s="65" t="n"/>
      <c r="Z787" s="65" t="n"/>
      <c r="AA787" s="65" t="n"/>
      <c r="AB787" s="65" t="n"/>
      <c r="AC787" s="65" t="n"/>
      <c r="AD787" s="65" t="n"/>
      <c r="AE787" s="65" t="n"/>
      <c r="AF787" s="65" t="n"/>
      <c r="AG787" s="65" t="n"/>
      <c r="AH787" s="65" t="n"/>
      <c r="AI787" s="65" t="n"/>
      <c r="AJ787" s="65" t="n"/>
      <c r="AK787" s="65" t="n"/>
      <c r="AL787" s="65" t="n"/>
      <c r="AM787" s="65" t="n"/>
      <c r="AN787" s="65" t="n"/>
      <c r="AO787" s="65" t="n"/>
      <c r="AP787" s="65" t="n"/>
    </row>
    <row r="788">
      <c r="F788" s="68" t="n"/>
      <c r="G788" s="68">
        <f>IF(B788="","",F788-I788 )</f>
        <v/>
      </c>
      <c r="H788" s="5">
        <f>IF(G788="","",G788/F788)</f>
        <v/>
      </c>
      <c r="J788" s="65" t="n"/>
      <c r="K788" s="65" t="n"/>
      <c r="L788" s="65" t="n"/>
      <c r="M788" s="65" t="n"/>
      <c r="N788" s="65" t="n"/>
      <c r="O788" s="65" t="n"/>
      <c r="P788" s="65" t="n"/>
      <c r="Q788" s="65" t="n"/>
      <c r="R788" s="65" t="n"/>
      <c r="S788" s="65" t="n"/>
      <c r="T788" s="65" t="n"/>
      <c r="U788" s="65" t="n"/>
      <c r="V788" s="77" t="n"/>
      <c r="W788" s="65" t="n"/>
      <c r="X788" s="65" t="n"/>
      <c r="Y788" s="65" t="n"/>
      <c r="Z788" s="65" t="n"/>
      <c r="AA788" s="65" t="n"/>
      <c r="AB788" s="65" t="n"/>
      <c r="AC788" s="65" t="n"/>
      <c r="AD788" s="65" t="n"/>
      <c r="AE788" s="65" t="n"/>
      <c r="AF788" s="65" t="n"/>
      <c r="AG788" s="65" t="n"/>
      <c r="AH788" s="65" t="n"/>
      <c r="AI788" s="65" t="n"/>
      <c r="AJ788" s="65" t="n"/>
      <c r="AK788" s="65" t="n"/>
      <c r="AL788" s="65" t="n"/>
      <c r="AM788" s="65" t="n"/>
      <c r="AN788" s="65" t="n"/>
      <c r="AO788" s="65" t="n"/>
      <c r="AP788" s="65" t="n"/>
    </row>
    <row r="789">
      <c r="F789" s="68" t="n"/>
      <c r="G789" s="68">
        <f>IF(B789="","",F789-I789 )</f>
        <v/>
      </c>
      <c r="H789" s="5">
        <f>IF(G789="","",G789/F789)</f>
        <v/>
      </c>
      <c r="J789" s="65" t="n"/>
      <c r="K789" s="65" t="n"/>
      <c r="L789" s="65" t="n"/>
      <c r="M789" s="65" t="n"/>
      <c r="N789" s="65" t="n"/>
      <c r="O789" s="65" t="n"/>
      <c r="P789" s="65" t="n"/>
      <c r="Q789" s="65" t="n"/>
      <c r="R789" s="65" t="n"/>
      <c r="S789" s="65" t="n"/>
      <c r="T789" s="65" t="n"/>
      <c r="U789" s="65" t="n"/>
      <c r="V789" s="77" t="n"/>
      <c r="W789" s="65" t="n"/>
      <c r="X789" s="65" t="n"/>
      <c r="Y789" s="65" t="n"/>
      <c r="Z789" s="65" t="n"/>
      <c r="AA789" s="65" t="n"/>
      <c r="AB789" s="65" t="n"/>
      <c r="AC789" s="65" t="n"/>
      <c r="AD789" s="65" t="n"/>
      <c r="AE789" s="65" t="n"/>
      <c r="AF789" s="65" t="n"/>
      <c r="AG789" s="65" t="n"/>
      <c r="AH789" s="65" t="n"/>
      <c r="AI789" s="65" t="n"/>
      <c r="AJ789" s="65" t="n"/>
      <c r="AK789" s="65" t="n"/>
      <c r="AL789" s="65" t="n"/>
      <c r="AM789" s="65" t="n"/>
      <c r="AN789" s="65" t="n"/>
      <c r="AO789" s="65" t="n"/>
      <c r="AP789" s="65" t="n"/>
    </row>
    <row r="790">
      <c r="F790" s="68" t="n"/>
      <c r="G790" s="68">
        <f>IF(B790="","",F790-I790 )</f>
        <v/>
      </c>
      <c r="H790" s="5">
        <f>IF(G790="","",G790/F790)</f>
        <v/>
      </c>
      <c r="J790" s="65" t="n"/>
      <c r="K790" s="65" t="n"/>
      <c r="L790" s="65" t="n"/>
      <c r="M790" s="65" t="n"/>
      <c r="N790" s="65" t="n"/>
      <c r="O790" s="65" t="n"/>
      <c r="P790" s="65" t="n"/>
      <c r="Q790" s="65" t="n"/>
      <c r="R790" s="65" t="n"/>
      <c r="S790" s="65" t="n"/>
      <c r="T790" s="65" t="n"/>
      <c r="U790" s="65" t="n"/>
      <c r="V790" s="77" t="n"/>
      <c r="W790" s="65" t="n"/>
      <c r="X790" s="65" t="n"/>
      <c r="Y790" s="65" t="n"/>
      <c r="Z790" s="65" t="n"/>
      <c r="AA790" s="65" t="n"/>
      <c r="AB790" s="65" t="n"/>
      <c r="AC790" s="65" t="n"/>
      <c r="AD790" s="65" t="n"/>
      <c r="AE790" s="65" t="n"/>
      <c r="AF790" s="65" t="n"/>
      <c r="AG790" s="65" t="n"/>
      <c r="AH790" s="65" t="n"/>
      <c r="AI790" s="65" t="n"/>
      <c r="AJ790" s="65" t="n"/>
      <c r="AK790" s="65" t="n"/>
      <c r="AL790" s="65" t="n"/>
      <c r="AM790" s="65" t="n"/>
      <c r="AN790" s="65" t="n"/>
      <c r="AO790" s="65" t="n"/>
      <c r="AP790" s="65" t="n"/>
    </row>
    <row r="791">
      <c r="F791" s="68" t="n"/>
      <c r="G791" s="68">
        <f>IF(B791="","",F791-I791 )</f>
        <v/>
      </c>
      <c r="H791" s="5">
        <f>IF(G791="","",G791/F791)</f>
        <v/>
      </c>
      <c r="J791" s="65" t="n"/>
      <c r="K791" s="65" t="n"/>
      <c r="L791" s="65" t="n"/>
      <c r="M791" s="65" t="n"/>
      <c r="N791" s="65" t="n"/>
      <c r="O791" s="65" t="n"/>
      <c r="P791" s="65" t="n"/>
      <c r="Q791" s="65" t="n"/>
      <c r="R791" s="65" t="n"/>
      <c r="S791" s="65" t="n"/>
      <c r="T791" s="65" t="n"/>
      <c r="U791" s="65" t="n"/>
      <c r="V791" s="77" t="n"/>
      <c r="W791" s="65" t="n"/>
      <c r="X791" s="65" t="n"/>
      <c r="Y791" s="65" t="n"/>
      <c r="Z791" s="65" t="n"/>
      <c r="AA791" s="65" t="n"/>
      <c r="AB791" s="65" t="n"/>
      <c r="AC791" s="65" t="n"/>
      <c r="AD791" s="65" t="n"/>
      <c r="AE791" s="65" t="n"/>
      <c r="AF791" s="65" t="n"/>
      <c r="AG791" s="65" t="n"/>
      <c r="AH791" s="65" t="n"/>
      <c r="AI791" s="65" t="n"/>
      <c r="AJ791" s="65" t="n"/>
      <c r="AK791" s="65" t="n"/>
      <c r="AL791" s="65" t="n"/>
      <c r="AM791" s="65" t="n"/>
      <c r="AN791" s="65" t="n"/>
      <c r="AO791" s="65" t="n"/>
      <c r="AP791" s="65" t="n"/>
    </row>
    <row r="792">
      <c r="F792" s="68" t="n"/>
      <c r="G792" s="68">
        <f>IF(B792="","",F792-I792 )</f>
        <v/>
      </c>
      <c r="H792" s="5">
        <f>IF(G792="","",G792/F792)</f>
        <v/>
      </c>
      <c r="J792" s="65" t="n"/>
      <c r="K792" s="65" t="n"/>
      <c r="L792" s="65" t="n"/>
      <c r="M792" s="65" t="n"/>
      <c r="N792" s="65" t="n"/>
      <c r="O792" s="65" t="n"/>
      <c r="P792" s="65" t="n"/>
      <c r="Q792" s="65" t="n"/>
      <c r="R792" s="65" t="n"/>
      <c r="S792" s="65" t="n"/>
      <c r="T792" s="65" t="n"/>
      <c r="U792" s="65" t="n"/>
      <c r="V792" s="77" t="n"/>
      <c r="W792" s="65" t="n"/>
      <c r="X792" s="65" t="n"/>
      <c r="Y792" s="65" t="n"/>
      <c r="Z792" s="65" t="n"/>
      <c r="AA792" s="65" t="n"/>
      <c r="AB792" s="65" t="n"/>
      <c r="AC792" s="65" t="n"/>
      <c r="AD792" s="65" t="n"/>
      <c r="AE792" s="65" t="n"/>
      <c r="AF792" s="65" t="n"/>
      <c r="AG792" s="65" t="n"/>
      <c r="AH792" s="65" t="n"/>
      <c r="AI792" s="65" t="n"/>
      <c r="AJ792" s="65" t="n"/>
      <c r="AK792" s="65" t="n"/>
      <c r="AL792" s="65" t="n"/>
      <c r="AM792" s="65" t="n"/>
      <c r="AN792" s="65" t="n"/>
      <c r="AO792" s="65" t="n"/>
      <c r="AP792" s="65" t="n"/>
    </row>
    <row r="793">
      <c r="F793" s="68" t="n"/>
      <c r="G793" s="68">
        <f>IF(B793="","",F793-I793 )</f>
        <v/>
      </c>
      <c r="H793" s="5">
        <f>IF(G793="","",G793/F793)</f>
        <v/>
      </c>
      <c r="J793" s="65" t="n"/>
      <c r="K793" s="65" t="n"/>
      <c r="L793" s="65" t="n"/>
      <c r="M793" s="65" t="n"/>
      <c r="N793" s="65" t="n"/>
      <c r="O793" s="65" t="n"/>
      <c r="P793" s="65" t="n"/>
      <c r="Q793" s="65" t="n"/>
      <c r="R793" s="65" t="n"/>
      <c r="S793" s="65" t="n"/>
      <c r="T793" s="65" t="n"/>
      <c r="U793" s="65" t="n"/>
      <c r="V793" s="77" t="n"/>
      <c r="W793" s="65" t="n"/>
      <c r="X793" s="65" t="n"/>
      <c r="Y793" s="65" t="n"/>
      <c r="Z793" s="65" t="n"/>
      <c r="AA793" s="65" t="n"/>
      <c r="AB793" s="65" t="n"/>
      <c r="AC793" s="65" t="n"/>
      <c r="AD793" s="65" t="n"/>
      <c r="AE793" s="65" t="n"/>
      <c r="AF793" s="65" t="n"/>
      <c r="AG793" s="65" t="n"/>
      <c r="AH793" s="65" t="n"/>
      <c r="AI793" s="65" t="n"/>
      <c r="AJ793" s="65" t="n"/>
      <c r="AK793" s="65" t="n"/>
      <c r="AL793" s="65" t="n"/>
      <c r="AM793" s="65" t="n"/>
      <c r="AN793" s="65" t="n"/>
      <c r="AO793" s="65" t="n"/>
      <c r="AP793" s="65" t="n"/>
    </row>
    <row r="794">
      <c r="F794" s="68" t="n"/>
      <c r="G794" s="68">
        <f>IF(B794="","",F794-I794 )</f>
        <v/>
      </c>
      <c r="H794" s="5">
        <f>IF(G794="","",G794/F794)</f>
        <v/>
      </c>
      <c r="J794" s="65" t="n"/>
      <c r="K794" s="65" t="n"/>
      <c r="L794" s="65" t="n"/>
      <c r="M794" s="65" t="n"/>
      <c r="N794" s="65" t="n"/>
      <c r="O794" s="65" t="n"/>
      <c r="P794" s="65" t="n"/>
      <c r="Q794" s="65" t="n"/>
      <c r="R794" s="65" t="n"/>
      <c r="S794" s="65" t="n"/>
      <c r="T794" s="65" t="n"/>
      <c r="U794" s="65" t="n"/>
      <c r="V794" s="77" t="n"/>
      <c r="W794" s="65" t="n"/>
      <c r="X794" s="65" t="n"/>
      <c r="Y794" s="65" t="n"/>
      <c r="Z794" s="65" t="n"/>
      <c r="AA794" s="65" t="n"/>
      <c r="AB794" s="65" t="n"/>
      <c r="AC794" s="65" t="n"/>
      <c r="AD794" s="65" t="n"/>
      <c r="AE794" s="65" t="n"/>
      <c r="AF794" s="65" t="n"/>
      <c r="AG794" s="65" t="n"/>
      <c r="AH794" s="65" t="n"/>
      <c r="AI794" s="65" t="n"/>
      <c r="AJ794" s="65" t="n"/>
      <c r="AK794" s="65" t="n"/>
      <c r="AL794" s="65" t="n"/>
      <c r="AM794" s="65" t="n"/>
      <c r="AN794" s="65" t="n"/>
      <c r="AO794" s="65" t="n"/>
      <c r="AP794" s="65" t="n"/>
    </row>
    <row r="795">
      <c r="F795" s="68" t="n"/>
      <c r="G795" s="68">
        <f>IF(B795="","",F795-I795 )</f>
        <v/>
      </c>
      <c r="H795" s="5">
        <f>IF(G795="","",G795/F795)</f>
        <v/>
      </c>
      <c r="J795" s="65" t="n"/>
      <c r="K795" s="65" t="n"/>
      <c r="L795" s="65" t="n"/>
      <c r="M795" s="65" t="n"/>
      <c r="N795" s="65" t="n"/>
      <c r="O795" s="65" t="n"/>
      <c r="P795" s="65" t="n"/>
      <c r="Q795" s="65" t="n"/>
      <c r="R795" s="65" t="n"/>
      <c r="S795" s="65" t="n"/>
      <c r="T795" s="65" t="n"/>
      <c r="U795" s="65" t="n"/>
      <c r="V795" s="77" t="n"/>
      <c r="W795" s="65" t="n"/>
      <c r="X795" s="65" t="n"/>
      <c r="Y795" s="65" t="n"/>
      <c r="Z795" s="65" t="n"/>
      <c r="AA795" s="65" t="n"/>
      <c r="AB795" s="65" t="n"/>
      <c r="AC795" s="65" t="n"/>
      <c r="AD795" s="65" t="n"/>
      <c r="AE795" s="65" t="n"/>
      <c r="AF795" s="65" t="n"/>
      <c r="AG795" s="65" t="n"/>
      <c r="AH795" s="65" t="n"/>
      <c r="AI795" s="65" t="n"/>
      <c r="AJ795" s="65" t="n"/>
      <c r="AK795" s="65" t="n"/>
      <c r="AL795" s="65" t="n"/>
      <c r="AM795" s="65" t="n"/>
      <c r="AN795" s="65" t="n"/>
      <c r="AO795" s="65" t="n"/>
      <c r="AP795" s="65" t="n"/>
    </row>
    <row r="796">
      <c r="F796" s="68" t="n"/>
      <c r="G796" s="68">
        <f>IF(B796="","",F796-I796 )</f>
        <v/>
      </c>
      <c r="H796" s="5">
        <f>IF(G796="","",G796/F796)</f>
        <v/>
      </c>
      <c r="J796" s="65" t="n"/>
      <c r="K796" s="65" t="n"/>
      <c r="L796" s="65" t="n"/>
      <c r="M796" s="65" t="n"/>
      <c r="N796" s="65" t="n"/>
      <c r="O796" s="65" t="n"/>
      <c r="P796" s="65" t="n"/>
      <c r="Q796" s="65" t="n"/>
      <c r="R796" s="65" t="n"/>
      <c r="S796" s="65" t="n"/>
      <c r="T796" s="65" t="n"/>
      <c r="U796" s="65" t="n"/>
      <c r="V796" s="77" t="n"/>
      <c r="W796" s="65" t="n"/>
      <c r="X796" s="65" t="n"/>
      <c r="Y796" s="65" t="n"/>
      <c r="Z796" s="65" t="n"/>
      <c r="AA796" s="65" t="n"/>
      <c r="AB796" s="65" t="n"/>
      <c r="AC796" s="65" t="n"/>
      <c r="AD796" s="65" t="n"/>
      <c r="AE796" s="65" t="n"/>
      <c r="AF796" s="65" t="n"/>
      <c r="AG796" s="65" t="n"/>
      <c r="AH796" s="65" t="n"/>
      <c r="AI796" s="65" t="n"/>
      <c r="AJ796" s="65" t="n"/>
      <c r="AK796" s="65" t="n"/>
      <c r="AL796" s="65" t="n"/>
      <c r="AM796" s="65" t="n"/>
      <c r="AN796" s="65" t="n"/>
      <c r="AO796" s="65" t="n"/>
      <c r="AP796" s="65" t="n"/>
    </row>
    <row r="797">
      <c r="F797" s="68" t="n"/>
      <c r="G797" s="68">
        <f>IF(B797="","",F797-I797 )</f>
        <v/>
      </c>
      <c r="H797" s="5">
        <f>IF(G797="","",G797/F797)</f>
        <v/>
      </c>
      <c r="J797" s="65" t="n"/>
      <c r="K797" s="65" t="n"/>
      <c r="L797" s="65" t="n"/>
      <c r="M797" s="65" t="n"/>
      <c r="N797" s="65" t="n"/>
      <c r="O797" s="65" t="n"/>
      <c r="P797" s="65" t="n"/>
      <c r="Q797" s="65" t="n"/>
      <c r="R797" s="65" t="n"/>
      <c r="S797" s="65" t="n"/>
      <c r="T797" s="65" t="n"/>
      <c r="U797" s="65" t="n"/>
      <c r="V797" s="77" t="n"/>
      <c r="W797" s="65" t="n"/>
      <c r="X797" s="65" t="n"/>
      <c r="Y797" s="65" t="n"/>
      <c r="Z797" s="65" t="n"/>
      <c r="AA797" s="65" t="n"/>
      <c r="AB797" s="65" t="n"/>
      <c r="AC797" s="65" t="n"/>
      <c r="AD797" s="65" t="n"/>
      <c r="AE797" s="65" t="n"/>
      <c r="AF797" s="65" t="n"/>
      <c r="AG797" s="65" t="n"/>
      <c r="AH797" s="65" t="n"/>
      <c r="AI797" s="65" t="n"/>
      <c r="AJ797" s="65" t="n"/>
      <c r="AK797" s="65" t="n"/>
      <c r="AL797" s="65" t="n"/>
      <c r="AM797" s="65" t="n"/>
      <c r="AN797" s="65" t="n"/>
      <c r="AO797" s="65" t="n"/>
      <c r="AP797" s="65" t="n"/>
    </row>
    <row r="798">
      <c r="F798" s="68" t="n"/>
      <c r="G798" s="68">
        <f>IF(B798="","",F798-I798 )</f>
        <v/>
      </c>
      <c r="H798" s="5">
        <f>IF(G798="","",G798/F798)</f>
        <v/>
      </c>
      <c r="J798" s="65" t="n"/>
      <c r="K798" s="65" t="n"/>
      <c r="L798" s="65" t="n"/>
      <c r="M798" s="65" t="n"/>
      <c r="N798" s="65" t="n"/>
      <c r="O798" s="65" t="n"/>
      <c r="P798" s="65" t="n"/>
      <c r="Q798" s="65" t="n"/>
      <c r="R798" s="65" t="n"/>
      <c r="S798" s="65" t="n"/>
      <c r="T798" s="65" t="n"/>
      <c r="U798" s="65" t="n"/>
      <c r="V798" s="77" t="n"/>
      <c r="W798" s="65" t="n"/>
      <c r="X798" s="65" t="n"/>
      <c r="Y798" s="65" t="n"/>
      <c r="Z798" s="65" t="n"/>
      <c r="AA798" s="65" t="n"/>
      <c r="AB798" s="65" t="n"/>
      <c r="AC798" s="65" t="n"/>
      <c r="AD798" s="65" t="n"/>
      <c r="AE798" s="65" t="n"/>
      <c r="AF798" s="65" t="n"/>
      <c r="AG798" s="65" t="n"/>
      <c r="AH798" s="65" t="n"/>
      <c r="AI798" s="65" t="n"/>
      <c r="AJ798" s="65" t="n"/>
      <c r="AK798" s="65" t="n"/>
      <c r="AL798" s="65" t="n"/>
      <c r="AM798" s="65" t="n"/>
      <c r="AN798" s="65" t="n"/>
      <c r="AO798" s="65" t="n"/>
      <c r="AP798" s="65" t="n"/>
    </row>
    <row r="799">
      <c r="F799" s="68" t="n"/>
      <c r="G799" s="68">
        <f>IF(B799="","",F799-I799 )</f>
        <v/>
      </c>
      <c r="H799" s="5">
        <f>IF(G799="","",G799/F799)</f>
        <v/>
      </c>
      <c r="J799" s="65" t="n"/>
      <c r="K799" s="65" t="n"/>
      <c r="L799" s="65" t="n"/>
      <c r="M799" s="65" t="n"/>
      <c r="N799" s="65" t="n"/>
      <c r="O799" s="65" t="n"/>
      <c r="P799" s="65" t="n"/>
      <c r="Q799" s="65" t="n"/>
      <c r="R799" s="65" t="n"/>
      <c r="S799" s="65" t="n"/>
      <c r="T799" s="65" t="n"/>
      <c r="U799" s="65" t="n"/>
      <c r="V799" s="77" t="n"/>
      <c r="W799" s="65" t="n"/>
      <c r="X799" s="65" t="n"/>
      <c r="Y799" s="65" t="n"/>
      <c r="Z799" s="65" t="n"/>
      <c r="AA799" s="65" t="n"/>
      <c r="AB799" s="65" t="n"/>
      <c r="AC799" s="65" t="n"/>
      <c r="AD799" s="65" t="n"/>
      <c r="AE799" s="65" t="n"/>
      <c r="AF799" s="65" t="n"/>
      <c r="AG799" s="65" t="n"/>
      <c r="AH799" s="65" t="n"/>
      <c r="AI799" s="65" t="n"/>
      <c r="AJ799" s="65" t="n"/>
      <c r="AK799" s="65" t="n"/>
      <c r="AL799" s="65" t="n"/>
      <c r="AM799" s="65" t="n"/>
      <c r="AN799" s="65" t="n"/>
      <c r="AO799" s="65" t="n"/>
      <c r="AP799" s="65" t="n"/>
    </row>
    <row r="800">
      <c r="F800" s="68" t="n"/>
      <c r="G800" s="68">
        <f>IF(B800="","",F800-I800 )</f>
        <v/>
      </c>
      <c r="H800" s="5">
        <f>IF(G800="","",G800/F800)</f>
        <v/>
      </c>
      <c r="J800" s="65" t="n"/>
      <c r="K800" s="65" t="n"/>
      <c r="L800" s="65" t="n"/>
      <c r="M800" s="65" t="n"/>
      <c r="N800" s="65" t="n"/>
      <c r="O800" s="65" t="n"/>
      <c r="P800" s="65" t="n"/>
      <c r="Q800" s="65" t="n"/>
      <c r="R800" s="65" t="n"/>
      <c r="S800" s="65" t="n"/>
      <c r="T800" s="65" t="n"/>
      <c r="U800" s="65" t="n"/>
      <c r="V800" s="77" t="n"/>
      <c r="W800" s="65" t="n"/>
      <c r="X800" s="65" t="n"/>
      <c r="Y800" s="65" t="n"/>
      <c r="Z800" s="65" t="n"/>
      <c r="AA800" s="65" t="n"/>
      <c r="AB800" s="65" t="n"/>
      <c r="AC800" s="65" t="n"/>
      <c r="AD800" s="65" t="n"/>
      <c r="AE800" s="65" t="n"/>
      <c r="AF800" s="65" t="n"/>
      <c r="AG800" s="65" t="n"/>
      <c r="AH800" s="65" t="n"/>
      <c r="AI800" s="65" t="n"/>
      <c r="AJ800" s="65" t="n"/>
      <c r="AK800" s="65" t="n"/>
      <c r="AL800" s="65" t="n"/>
      <c r="AM800" s="65" t="n"/>
      <c r="AN800" s="65" t="n"/>
      <c r="AO800" s="65" t="n"/>
      <c r="AP800" s="65" t="n"/>
    </row>
    <row r="801">
      <c r="F801" s="68" t="n"/>
      <c r="G801" s="68">
        <f>IF(B801="","",F801-I801 )</f>
        <v/>
      </c>
      <c r="H801" s="5">
        <f>IF(G801="","",G801/F801)</f>
        <v/>
      </c>
      <c r="J801" s="65" t="n"/>
      <c r="K801" s="65" t="n"/>
      <c r="L801" s="65" t="n"/>
      <c r="M801" s="65" t="n"/>
      <c r="N801" s="65" t="n"/>
      <c r="O801" s="65" t="n"/>
      <c r="P801" s="65" t="n"/>
      <c r="Q801" s="65" t="n"/>
      <c r="R801" s="65" t="n"/>
      <c r="S801" s="65" t="n"/>
      <c r="T801" s="65" t="n"/>
      <c r="U801" s="65" t="n"/>
      <c r="V801" s="77" t="n"/>
      <c r="W801" s="65" t="n"/>
      <c r="X801" s="65" t="n"/>
      <c r="Y801" s="65" t="n"/>
      <c r="Z801" s="65" t="n"/>
      <c r="AA801" s="65" t="n"/>
      <c r="AB801" s="65" t="n"/>
      <c r="AC801" s="65" t="n"/>
      <c r="AD801" s="65" t="n"/>
      <c r="AE801" s="65" t="n"/>
      <c r="AF801" s="65" t="n"/>
      <c r="AG801" s="65" t="n"/>
      <c r="AH801" s="65" t="n"/>
      <c r="AI801" s="65" t="n"/>
      <c r="AJ801" s="65" t="n"/>
      <c r="AK801" s="65" t="n"/>
      <c r="AL801" s="65" t="n"/>
      <c r="AM801" s="65" t="n"/>
      <c r="AN801" s="65" t="n"/>
      <c r="AO801" s="65" t="n"/>
      <c r="AP801" s="65" t="n"/>
    </row>
    <row r="802">
      <c r="F802" s="68" t="n"/>
      <c r="G802" s="68">
        <f>IF(B802="","",F802-I802 )</f>
        <v/>
      </c>
      <c r="H802" s="5">
        <f>IF(G802="","",G802/F802)</f>
        <v/>
      </c>
      <c r="J802" s="65" t="n"/>
      <c r="K802" s="65" t="n"/>
      <c r="L802" s="65" t="n"/>
      <c r="M802" s="65" t="n"/>
      <c r="N802" s="65" t="n"/>
      <c r="O802" s="65" t="n"/>
      <c r="P802" s="65" t="n"/>
      <c r="Q802" s="65" t="n"/>
      <c r="R802" s="65" t="n"/>
      <c r="S802" s="65" t="n"/>
      <c r="T802" s="65" t="n"/>
      <c r="U802" s="65" t="n"/>
      <c r="V802" s="77" t="n"/>
      <c r="W802" s="65" t="n"/>
      <c r="X802" s="65" t="n"/>
      <c r="Y802" s="65" t="n"/>
      <c r="Z802" s="65" t="n"/>
      <c r="AA802" s="65" t="n"/>
      <c r="AB802" s="65" t="n"/>
      <c r="AC802" s="65" t="n"/>
      <c r="AD802" s="65" t="n"/>
      <c r="AE802" s="65" t="n"/>
      <c r="AF802" s="65" t="n"/>
      <c r="AG802" s="65" t="n"/>
      <c r="AH802" s="65" t="n"/>
      <c r="AI802" s="65" t="n"/>
      <c r="AJ802" s="65" t="n"/>
      <c r="AK802" s="65" t="n"/>
      <c r="AL802" s="65" t="n"/>
      <c r="AM802" s="65" t="n"/>
      <c r="AN802" s="65" t="n"/>
      <c r="AO802" s="65" t="n"/>
      <c r="AP802" s="65" t="n"/>
    </row>
    <row r="803">
      <c r="F803" s="68" t="n"/>
      <c r="G803" s="68">
        <f>IF(B803="","",F803-I803 )</f>
        <v/>
      </c>
      <c r="H803" s="5">
        <f>IF(G803="","",G803/F803)</f>
        <v/>
      </c>
      <c r="J803" s="65" t="n"/>
      <c r="K803" s="65" t="n"/>
      <c r="L803" s="65" t="n"/>
      <c r="M803" s="65" t="n"/>
      <c r="N803" s="65" t="n"/>
      <c r="O803" s="65" t="n"/>
      <c r="P803" s="65" t="n"/>
      <c r="Q803" s="65" t="n"/>
      <c r="R803" s="65" t="n"/>
      <c r="S803" s="65" t="n"/>
      <c r="T803" s="65" t="n"/>
      <c r="U803" s="65" t="n"/>
      <c r="V803" s="77" t="n"/>
      <c r="W803" s="65" t="n"/>
      <c r="X803" s="65" t="n"/>
      <c r="Y803" s="65" t="n"/>
      <c r="Z803" s="65" t="n"/>
      <c r="AA803" s="65" t="n"/>
      <c r="AB803" s="65" t="n"/>
      <c r="AC803" s="65" t="n"/>
      <c r="AD803" s="65" t="n"/>
      <c r="AE803" s="65" t="n"/>
      <c r="AF803" s="65" t="n"/>
      <c r="AG803" s="65" t="n"/>
      <c r="AH803" s="65" t="n"/>
      <c r="AI803" s="65" t="n"/>
      <c r="AJ803" s="65" t="n"/>
      <c r="AK803" s="65" t="n"/>
      <c r="AL803" s="65" t="n"/>
      <c r="AM803" s="65" t="n"/>
      <c r="AN803" s="65" t="n"/>
      <c r="AO803" s="65" t="n"/>
      <c r="AP803" s="65" t="n"/>
    </row>
    <row r="804">
      <c r="F804" s="68" t="n"/>
      <c r="G804" s="68">
        <f>IF(B804="","",F804-I804 )</f>
        <v/>
      </c>
      <c r="H804" s="5">
        <f>IF(G804="","",G804/F804)</f>
        <v/>
      </c>
      <c r="J804" s="65" t="n"/>
      <c r="K804" s="65" t="n"/>
      <c r="L804" s="65" t="n"/>
      <c r="M804" s="65" t="n"/>
      <c r="N804" s="65" t="n"/>
      <c r="O804" s="65" t="n"/>
      <c r="P804" s="65" t="n"/>
      <c r="Q804" s="65" t="n"/>
      <c r="R804" s="65" t="n"/>
      <c r="S804" s="65" t="n"/>
      <c r="T804" s="65" t="n"/>
      <c r="U804" s="65" t="n"/>
      <c r="V804" s="77" t="n"/>
      <c r="W804" s="65" t="n"/>
      <c r="X804" s="65" t="n"/>
      <c r="Y804" s="65" t="n"/>
      <c r="Z804" s="65" t="n"/>
      <c r="AA804" s="65" t="n"/>
      <c r="AB804" s="65" t="n"/>
      <c r="AC804" s="65" t="n"/>
      <c r="AD804" s="65" t="n"/>
      <c r="AE804" s="65" t="n"/>
      <c r="AF804" s="65" t="n"/>
      <c r="AG804" s="65" t="n"/>
      <c r="AH804" s="65" t="n"/>
      <c r="AI804" s="65" t="n"/>
      <c r="AJ804" s="65" t="n"/>
      <c r="AK804" s="65" t="n"/>
      <c r="AL804" s="65" t="n"/>
      <c r="AM804" s="65" t="n"/>
      <c r="AN804" s="65" t="n"/>
      <c r="AO804" s="65" t="n"/>
      <c r="AP804" s="65" t="n"/>
    </row>
    <row r="805">
      <c r="F805" s="68" t="n"/>
      <c r="G805" s="68">
        <f>IF(B805="","",F805-I805 )</f>
        <v/>
      </c>
      <c r="H805" s="5">
        <f>IF(G805="","",G805/F805)</f>
        <v/>
      </c>
      <c r="J805" s="65" t="n"/>
      <c r="K805" s="65" t="n"/>
      <c r="L805" s="65" t="n"/>
      <c r="M805" s="65" t="n"/>
      <c r="N805" s="65" t="n"/>
      <c r="O805" s="65" t="n"/>
      <c r="P805" s="65" t="n"/>
      <c r="Q805" s="65" t="n"/>
      <c r="R805" s="65" t="n"/>
      <c r="S805" s="65" t="n"/>
      <c r="T805" s="65" t="n"/>
      <c r="U805" s="65" t="n"/>
      <c r="V805" s="77" t="n"/>
      <c r="W805" s="65" t="n"/>
      <c r="X805" s="65" t="n"/>
      <c r="Y805" s="65" t="n"/>
      <c r="Z805" s="65" t="n"/>
      <c r="AA805" s="65" t="n"/>
      <c r="AB805" s="65" t="n"/>
      <c r="AC805" s="65" t="n"/>
      <c r="AD805" s="65" t="n"/>
      <c r="AE805" s="65" t="n"/>
      <c r="AF805" s="65" t="n"/>
      <c r="AG805" s="65" t="n"/>
      <c r="AH805" s="65" t="n"/>
      <c r="AI805" s="65" t="n"/>
      <c r="AJ805" s="65" t="n"/>
      <c r="AK805" s="65" t="n"/>
      <c r="AL805" s="65" t="n"/>
      <c r="AM805" s="65" t="n"/>
      <c r="AN805" s="65" t="n"/>
      <c r="AO805" s="65" t="n"/>
      <c r="AP805" s="65" t="n"/>
    </row>
    <row r="806">
      <c r="F806" s="68" t="n"/>
      <c r="G806" s="68">
        <f>IF(B806="","",F806-I806 )</f>
        <v/>
      </c>
      <c r="H806" s="5">
        <f>IF(G806="","",G806/F806)</f>
        <v/>
      </c>
      <c r="J806" s="65" t="n"/>
      <c r="K806" s="65" t="n"/>
      <c r="L806" s="65" t="n"/>
      <c r="M806" s="65" t="n"/>
      <c r="N806" s="65" t="n"/>
      <c r="O806" s="65" t="n"/>
      <c r="P806" s="65" t="n"/>
      <c r="Q806" s="65" t="n"/>
      <c r="R806" s="65" t="n"/>
      <c r="S806" s="65" t="n"/>
      <c r="T806" s="65" t="n"/>
      <c r="U806" s="65" t="n"/>
      <c r="V806" s="77" t="n"/>
      <c r="W806" s="65" t="n"/>
      <c r="X806" s="65" t="n"/>
      <c r="Y806" s="65" t="n"/>
      <c r="Z806" s="65" t="n"/>
      <c r="AA806" s="65" t="n"/>
      <c r="AB806" s="65" t="n"/>
      <c r="AC806" s="65" t="n"/>
      <c r="AD806" s="65" t="n"/>
      <c r="AE806" s="65" t="n"/>
      <c r="AF806" s="65" t="n"/>
      <c r="AG806" s="65" t="n"/>
      <c r="AH806" s="65" t="n"/>
      <c r="AI806" s="65" t="n"/>
      <c r="AJ806" s="65" t="n"/>
      <c r="AK806" s="65" t="n"/>
      <c r="AL806" s="65" t="n"/>
      <c r="AM806" s="65" t="n"/>
      <c r="AN806" s="65" t="n"/>
      <c r="AO806" s="65" t="n"/>
      <c r="AP806" s="65" t="n"/>
    </row>
    <row r="807">
      <c r="F807" s="68" t="n"/>
      <c r="G807" s="68">
        <f>IF(B807="","",F807-I807 )</f>
        <v/>
      </c>
      <c r="H807" s="5">
        <f>IF(G807="","",G807/F807)</f>
        <v/>
      </c>
      <c r="J807" s="65" t="n"/>
      <c r="K807" s="65" t="n"/>
      <c r="L807" s="65" t="n"/>
      <c r="M807" s="65" t="n"/>
      <c r="N807" s="65" t="n"/>
      <c r="O807" s="65" t="n"/>
      <c r="P807" s="65" t="n"/>
      <c r="Q807" s="65" t="n"/>
      <c r="R807" s="65" t="n"/>
      <c r="S807" s="65" t="n"/>
      <c r="T807" s="65" t="n"/>
      <c r="U807" s="65" t="n"/>
      <c r="V807" s="77" t="n"/>
      <c r="W807" s="65" t="n"/>
      <c r="X807" s="65" t="n"/>
      <c r="Y807" s="65" t="n"/>
      <c r="Z807" s="65" t="n"/>
      <c r="AA807" s="65" t="n"/>
      <c r="AB807" s="65" t="n"/>
      <c r="AC807" s="65" t="n"/>
      <c r="AD807" s="65" t="n"/>
      <c r="AE807" s="65" t="n"/>
      <c r="AF807" s="65" t="n"/>
      <c r="AG807" s="65" t="n"/>
      <c r="AH807" s="65" t="n"/>
      <c r="AI807" s="65" t="n"/>
      <c r="AJ807" s="65" t="n"/>
      <c r="AK807" s="65" t="n"/>
      <c r="AL807" s="65" t="n"/>
      <c r="AM807" s="65" t="n"/>
      <c r="AN807" s="65" t="n"/>
      <c r="AO807" s="65" t="n"/>
      <c r="AP807" s="65" t="n"/>
    </row>
    <row r="808">
      <c r="F808" s="68" t="n"/>
      <c r="G808" s="68">
        <f>IF(B808="","",F808-I808 )</f>
        <v/>
      </c>
      <c r="H808" s="5">
        <f>IF(G808="","",G808/F808)</f>
        <v/>
      </c>
      <c r="J808" s="65" t="n"/>
      <c r="K808" s="65" t="n"/>
      <c r="L808" s="65" t="n"/>
      <c r="M808" s="65" t="n"/>
      <c r="N808" s="65" t="n"/>
      <c r="O808" s="65" t="n"/>
      <c r="P808" s="65" t="n"/>
      <c r="Q808" s="65" t="n"/>
      <c r="R808" s="65" t="n"/>
      <c r="S808" s="65" t="n"/>
      <c r="T808" s="65" t="n"/>
      <c r="U808" s="65" t="n"/>
      <c r="V808" s="77" t="n"/>
      <c r="W808" s="65" t="n"/>
      <c r="X808" s="65" t="n"/>
      <c r="Y808" s="65" t="n"/>
      <c r="Z808" s="65" t="n"/>
      <c r="AA808" s="65" t="n"/>
      <c r="AB808" s="65" t="n"/>
      <c r="AC808" s="65" t="n"/>
      <c r="AD808" s="65" t="n"/>
      <c r="AE808" s="65" t="n"/>
      <c r="AF808" s="65" t="n"/>
      <c r="AG808" s="65" t="n"/>
      <c r="AH808" s="65" t="n"/>
      <c r="AI808" s="65" t="n"/>
      <c r="AJ808" s="65" t="n"/>
      <c r="AK808" s="65" t="n"/>
      <c r="AL808" s="65" t="n"/>
      <c r="AM808" s="65" t="n"/>
      <c r="AN808" s="65" t="n"/>
      <c r="AO808" s="65" t="n"/>
      <c r="AP808" s="65" t="n"/>
    </row>
    <row r="809">
      <c r="F809" s="68" t="n"/>
      <c r="G809" s="68">
        <f>IF(B809="","",F809-I809 )</f>
        <v/>
      </c>
      <c r="H809" s="5">
        <f>IF(G809="","",G809/F809)</f>
        <v/>
      </c>
      <c r="J809" s="65" t="n"/>
      <c r="K809" s="65" t="n"/>
      <c r="L809" s="65" t="n"/>
      <c r="M809" s="65" t="n"/>
      <c r="N809" s="65" t="n"/>
      <c r="O809" s="65" t="n"/>
      <c r="P809" s="65" t="n"/>
      <c r="Q809" s="65" t="n"/>
      <c r="R809" s="65" t="n"/>
      <c r="S809" s="65" t="n"/>
      <c r="T809" s="65" t="n"/>
      <c r="U809" s="65" t="n"/>
      <c r="V809" s="77" t="n"/>
      <c r="W809" s="65" t="n"/>
      <c r="X809" s="65" t="n"/>
      <c r="Y809" s="65" t="n"/>
      <c r="Z809" s="65" t="n"/>
      <c r="AA809" s="65" t="n"/>
      <c r="AB809" s="65" t="n"/>
      <c r="AC809" s="65" t="n"/>
      <c r="AD809" s="65" t="n"/>
      <c r="AE809" s="65" t="n"/>
      <c r="AF809" s="65" t="n"/>
      <c r="AG809" s="65" t="n"/>
      <c r="AH809" s="65" t="n"/>
      <c r="AI809" s="65" t="n"/>
      <c r="AJ809" s="65" t="n"/>
      <c r="AK809" s="65" t="n"/>
      <c r="AL809" s="65" t="n"/>
      <c r="AM809" s="65" t="n"/>
      <c r="AN809" s="65" t="n"/>
      <c r="AO809" s="65" t="n"/>
      <c r="AP809" s="65" t="n"/>
    </row>
    <row r="810">
      <c r="F810" s="68" t="n"/>
      <c r="G810" s="68">
        <f>IF(B810="","",F810-I810 )</f>
        <v/>
      </c>
      <c r="H810" s="5">
        <f>IF(G810="","",G810/F810)</f>
        <v/>
      </c>
      <c r="J810" s="65" t="n"/>
      <c r="K810" s="65" t="n"/>
      <c r="L810" s="65" t="n"/>
      <c r="M810" s="65" t="n"/>
      <c r="N810" s="65" t="n"/>
      <c r="O810" s="65" t="n"/>
      <c r="P810" s="65" t="n"/>
      <c r="Q810" s="65" t="n"/>
      <c r="R810" s="65" t="n"/>
      <c r="S810" s="65" t="n"/>
      <c r="T810" s="65" t="n"/>
      <c r="U810" s="65" t="n"/>
      <c r="V810" s="77" t="n"/>
      <c r="W810" s="65" t="n"/>
      <c r="X810" s="65" t="n"/>
      <c r="Y810" s="65" t="n"/>
      <c r="Z810" s="65" t="n"/>
      <c r="AA810" s="65" t="n"/>
      <c r="AB810" s="65" t="n"/>
      <c r="AC810" s="65" t="n"/>
      <c r="AD810" s="65" t="n"/>
      <c r="AE810" s="65" t="n"/>
      <c r="AF810" s="65" t="n"/>
      <c r="AG810" s="65" t="n"/>
      <c r="AH810" s="65" t="n"/>
      <c r="AI810" s="65" t="n"/>
      <c r="AJ810" s="65" t="n"/>
      <c r="AK810" s="65" t="n"/>
      <c r="AL810" s="65" t="n"/>
      <c r="AM810" s="65" t="n"/>
      <c r="AN810" s="65" t="n"/>
      <c r="AO810" s="65" t="n"/>
      <c r="AP810" s="65" t="n"/>
    </row>
    <row r="811">
      <c r="F811" s="68" t="n"/>
      <c r="G811" s="68">
        <f>IF(B811="","",F811-I811 )</f>
        <v/>
      </c>
      <c r="H811" s="5">
        <f>IF(G811="","",G811/F811)</f>
        <v/>
      </c>
      <c r="J811" s="65" t="n"/>
      <c r="K811" s="65" t="n"/>
      <c r="L811" s="65" t="n"/>
      <c r="M811" s="65" t="n"/>
      <c r="N811" s="65" t="n"/>
      <c r="O811" s="65" t="n"/>
      <c r="P811" s="65" t="n"/>
      <c r="Q811" s="65" t="n"/>
      <c r="R811" s="65" t="n"/>
      <c r="S811" s="65" t="n"/>
      <c r="T811" s="65" t="n"/>
      <c r="U811" s="65" t="n"/>
      <c r="V811" s="77" t="n"/>
      <c r="W811" s="65" t="n"/>
      <c r="X811" s="65" t="n"/>
      <c r="Y811" s="65" t="n"/>
      <c r="Z811" s="65" t="n"/>
      <c r="AA811" s="65" t="n"/>
      <c r="AB811" s="65" t="n"/>
      <c r="AC811" s="65" t="n"/>
      <c r="AD811" s="65" t="n"/>
      <c r="AE811" s="65" t="n"/>
      <c r="AF811" s="65" t="n"/>
      <c r="AG811" s="65" t="n"/>
      <c r="AH811" s="65" t="n"/>
      <c r="AI811" s="65" t="n"/>
      <c r="AJ811" s="65" t="n"/>
      <c r="AK811" s="65" t="n"/>
      <c r="AL811" s="65" t="n"/>
      <c r="AM811" s="65" t="n"/>
      <c r="AN811" s="65" t="n"/>
      <c r="AO811" s="65" t="n"/>
      <c r="AP811" s="65" t="n"/>
    </row>
    <row r="812">
      <c r="F812" s="68" t="n"/>
      <c r="G812" s="68">
        <f>IF(B812="","",F812-I812 )</f>
        <v/>
      </c>
      <c r="H812" s="5">
        <f>IF(G812="","",G812/F812)</f>
        <v/>
      </c>
      <c r="J812" s="65" t="n"/>
      <c r="K812" s="65" t="n"/>
      <c r="L812" s="65" t="n"/>
      <c r="M812" s="65" t="n"/>
      <c r="N812" s="65" t="n"/>
      <c r="O812" s="65" t="n"/>
      <c r="P812" s="65" t="n"/>
      <c r="Q812" s="65" t="n"/>
      <c r="R812" s="65" t="n"/>
      <c r="S812" s="65" t="n"/>
      <c r="T812" s="65" t="n"/>
      <c r="U812" s="65" t="n"/>
      <c r="V812" s="77" t="n"/>
      <c r="W812" s="65" t="n"/>
      <c r="X812" s="65" t="n"/>
      <c r="Y812" s="65" t="n"/>
      <c r="Z812" s="65" t="n"/>
      <c r="AA812" s="65" t="n"/>
      <c r="AB812" s="65" t="n"/>
      <c r="AC812" s="65" t="n"/>
      <c r="AD812" s="65" t="n"/>
      <c r="AE812" s="65" t="n"/>
      <c r="AF812" s="65" t="n"/>
      <c r="AG812" s="65" t="n"/>
      <c r="AH812" s="65" t="n"/>
      <c r="AI812" s="65" t="n"/>
      <c r="AJ812" s="65" t="n"/>
      <c r="AK812" s="65" t="n"/>
      <c r="AL812" s="65" t="n"/>
      <c r="AM812" s="65" t="n"/>
      <c r="AN812" s="65" t="n"/>
      <c r="AO812" s="65" t="n"/>
      <c r="AP812" s="65" t="n"/>
    </row>
    <row r="813">
      <c r="F813" s="68" t="n"/>
      <c r="G813" s="68">
        <f>IF(B813="","",F813-I813 )</f>
        <v/>
      </c>
      <c r="H813" s="5">
        <f>IF(G813="","",G813/F813)</f>
        <v/>
      </c>
      <c r="J813" s="65" t="n"/>
      <c r="K813" s="65" t="n"/>
      <c r="L813" s="65" t="n"/>
      <c r="M813" s="65" t="n"/>
      <c r="N813" s="65" t="n"/>
      <c r="O813" s="65" t="n"/>
      <c r="P813" s="65" t="n"/>
      <c r="Q813" s="65" t="n"/>
      <c r="R813" s="65" t="n"/>
      <c r="S813" s="65" t="n"/>
      <c r="T813" s="65" t="n"/>
      <c r="U813" s="65" t="n"/>
      <c r="V813" s="77" t="n"/>
      <c r="W813" s="65" t="n"/>
      <c r="X813" s="65" t="n"/>
      <c r="Y813" s="65" t="n"/>
      <c r="Z813" s="65" t="n"/>
      <c r="AA813" s="65" t="n"/>
      <c r="AB813" s="65" t="n"/>
      <c r="AC813" s="65" t="n"/>
      <c r="AD813" s="65" t="n"/>
      <c r="AE813" s="65" t="n"/>
      <c r="AF813" s="65" t="n"/>
      <c r="AG813" s="65" t="n"/>
      <c r="AH813" s="65" t="n"/>
      <c r="AI813" s="65" t="n"/>
      <c r="AJ813" s="65" t="n"/>
      <c r="AK813" s="65" t="n"/>
      <c r="AL813" s="65" t="n"/>
      <c r="AM813" s="65" t="n"/>
      <c r="AN813" s="65" t="n"/>
      <c r="AO813" s="65" t="n"/>
      <c r="AP813" s="65" t="n"/>
    </row>
    <row r="814">
      <c r="F814" s="68" t="n"/>
      <c r="G814" s="68">
        <f>IF(B814="","",F814-I814 )</f>
        <v/>
      </c>
      <c r="H814" s="5">
        <f>IF(G814="","",G814/F814)</f>
        <v/>
      </c>
      <c r="J814" s="65" t="n"/>
      <c r="K814" s="65" t="n"/>
      <c r="L814" s="65" t="n"/>
      <c r="M814" s="65" t="n"/>
      <c r="N814" s="65" t="n"/>
      <c r="O814" s="65" t="n"/>
      <c r="P814" s="65" t="n"/>
      <c r="Q814" s="65" t="n"/>
      <c r="R814" s="65" t="n"/>
      <c r="S814" s="65" t="n"/>
      <c r="T814" s="65" t="n"/>
      <c r="U814" s="65" t="n"/>
      <c r="V814" s="77" t="n"/>
      <c r="W814" s="65" t="n"/>
      <c r="X814" s="65" t="n"/>
      <c r="Y814" s="65" t="n"/>
      <c r="Z814" s="65" t="n"/>
      <c r="AA814" s="65" t="n"/>
      <c r="AB814" s="65" t="n"/>
      <c r="AC814" s="65" t="n"/>
      <c r="AD814" s="65" t="n"/>
      <c r="AE814" s="65" t="n"/>
      <c r="AF814" s="65" t="n"/>
      <c r="AG814" s="65" t="n"/>
      <c r="AH814" s="65" t="n"/>
      <c r="AI814" s="65" t="n"/>
      <c r="AJ814" s="65" t="n"/>
      <c r="AK814" s="65" t="n"/>
      <c r="AL814" s="65" t="n"/>
      <c r="AM814" s="65" t="n"/>
      <c r="AN814" s="65" t="n"/>
      <c r="AO814" s="65" t="n"/>
      <c r="AP814" s="65" t="n"/>
    </row>
    <row r="815">
      <c r="F815" s="68" t="n"/>
      <c r="G815" s="68">
        <f>IF(B815="","",F815-I815 )</f>
        <v/>
      </c>
      <c r="H815" s="5">
        <f>IF(G815="","",G815/F815)</f>
        <v/>
      </c>
      <c r="J815" s="65" t="n"/>
      <c r="K815" s="65" t="n"/>
      <c r="L815" s="65" t="n"/>
      <c r="M815" s="65" t="n"/>
      <c r="N815" s="65" t="n"/>
      <c r="O815" s="65" t="n"/>
      <c r="P815" s="65" t="n"/>
      <c r="Q815" s="65" t="n"/>
      <c r="R815" s="65" t="n"/>
      <c r="S815" s="65" t="n"/>
      <c r="T815" s="65" t="n"/>
      <c r="U815" s="65" t="n"/>
      <c r="V815" s="77" t="n"/>
      <c r="W815" s="65" t="n"/>
      <c r="X815" s="65" t="n"/>
      <c r="Y815" s="65" t="n"/>
      <c r="Z815" s="65" t="n"/>
      <c r="AA815" s="65" t="n"/>
      <c r="AB815" s="65" t="n"/>
      <c r="AC815" s="65" t="n"/>
      <c r="AD815" s="65" t="n"/>
      <c r="AE815" s="65" t="n"/>
      <c r="AF815" s="65" t="n"/>
      <c r="AG815" s="65" t="n"/>
      <c r="AH815" s="65" t="n"/>
      <c r="AI815" s="65" t="n"/>
      <c r="AJ815" s="65" t="n"/>
      <c r="AK815" s="65" t="n"/>
      <c r="AL815" s="65" t="n"/>
      <c r="AM815" s="65" t="n"/>
      <c r="AN815" s="65" t="n"/>
      <c r="AO815" s="65" t="n"/>
      <c r="AP815" s="65" t="n"/>
    </row>
    <row r="816">
      <c r="F816" s="68" t="n"/>
      <c r="G816" s="68">
        <f>IF(B816="","",F816-I816 )</f>
        <v/>
      </c>
      <c r="H816" s="5">
        <f>IF(G816="","",G816/F816)</f>
        <v/>
      </c>
      <c r="J816" s="65" t="n"/>
      <c r="K816" s="65" t="n"/>
      <c r="L816" s="65" t="n"/>
      <c r="M816" s="65" t="n"/>
      <c r="N816" s="65" t="n"/>
      <c r="O816" s="65" t="n"/>
      <c r="P816" s="65" t="n"/>
      <c r="Q816" s="65" t="n"/>
      <c r="R816" s="65" t="n"/>
      <c r="S816" s="65" t="n"/>
      <c r="T816" s="65" t="n"/>
      <c r="U816" s="65" t="n"/>
      <c r="V816" s="77" t="n"/>
      <c r="W816" s="65" t="n"/>
      <c r="X816" s="65" t="n"/>
      <c r="Y816" s="65" t="n"/>
      <c r="Z816" s="65" t="n"/>
      <c r="AA816" s="65" t="n"/>
      <c r="AB816" s="65" t="n"/>
      <c r="AC816" s="65" t="n"/>
      <c r="AD816" s="65" t="n"/>
      <c r="AE816" s="65" t="n"/>
      <c r="AF816" s="65" t="n"/>
      <c r="AG816" s="65" t="n"/>
      <c r="AH816" s="65" t="n"/>
      <c r="AI816" s="65" t="n"/>
      <c r="AJ816" s="65" t="n"/>
      <c r="AK816" s="65" t="n"/>
      <c r="AL816" s="65" t="n"/>
      <c r="AM816" s="65" t="n"/>
      <c r="AN816" s="65" t="n"/>
      <c r="AO816" s="65" t="n"/>
      <c r="AP816" s="65" t="n"/>
    </row>
    <row r="817">
      <c r="F817" s="68" t="n"/>
      <c r="G817" s="68">
        <f>IF(B817="","",F817-I817 )</f>
        <v/>
      </c>
      <c r="H817" s="5">
        <f>IF(G817="","",G817/F817)</f>
        <v/>
      </c>
      <c r="J817" s="65" t="n"/>
      <c r="K817" s="65" t="n"/>
      <c r="L817" s="65" t="n"/>
      <c r="M817" s="65" t="n"/>
      <c r="N817" s="65" t="n"/>
      <c r="O817" s="65" t="n"/>
      <c r="P817" s="65" t="n"/>
      <c r="Q817" s="65" t="n"/>
      <c r="R817" s="65" t="n"/>
      <c r="S817" s="65" t="n"/>
      <c r="T817" s="65" t="n"/>
      <c r="U817" s="65" t="n"/>
      <c r="V817" s="77" t="n"/>
      <c r="W817" s="65" t="n"/>
      <c r="X817" s="65" t="n"/>
      <c r="Y817" s="65" t="n"/>
      <c r="Z817" s="65" t="n"/>
      <c r="AA817" s="65" t="n"/>
      <c r="AB817" s="65" t="n"/>
      <c r="AC817" s="65" t="n"/>
      <c r="AD817" s="65" t="n"/>
      <c r="AE817" s="65" t="n"/>
      <c r="AF817" s="65" t="n"/>
      <c r="AG817" s="65" t="n"/>
      <c r="AH817" s="65" t="n"/>
      <c r="AI817" s="65" t="n"/>
      <c r="AJ817" s="65" t="n"/>
      <c r="AK817" s="65" t="n"/>
      <c r="AL817" s="65" t="n"/>
      <c r="AM817" s="65" t="n"/>
      <c r="AN817" s="65" t="n"/>
      <c r="AO817" s="65" t="n"/>
      <c r="AP817" s="65" t="n"/>
    </row>
    <row r="818">
      <c r="F818" s="68" t="n"/>
      <c r="G818" s="68">
        <f>IF(B818="","",F818-I818 )</f>
        <v/>
      </c>
      <c r="H818" s="5">
        <f>IF(G818="","",G818/F818)</f>
        <v/>
      </c>
      <c r="J818" s="65" t="n"/>
      <c r="K818" s="65" t="n"/>
      <c r="L818" s="65" t="n"/>
      <c r="M818" s="65" t="n"/>
      <c r="N818" s="65" t="n"/>
      <c r="O818" s="65" t="n"/>
      <c r="P818" s="65" t="n"/>
      <c r="Q818" s="65" t="n"/>
      <c r="R818" s="65" t="n"/>
      <c r="S818" s="65" t="n"/>
      <c r="T818" s="65" t="n"/>
      <c r="U818" s="65" t="n"/>
      <c r="V818" s="77" t="n"/>
      <c r="W818" s="65" t="n"/>
      <c r="X818" s="65" t="n"/>
      <c r="Y818" s="65" t="n"/>
      <c r="Z818" s="65" t="n"/>
      <c r="AA818" s="65" t="n"/>
      <c r="AB818" s="65" t="n"/>
      <c r="AC818" s="65" t="n"/>
      <c r="AD818" s="65" t="n"/>
      <c r="AE818" s="65" t="n"/>
      <c r="AF818" s="65" t="n"/>
      <c r="AG818" s="65" t="n"/>
      <c r="AH818" s="65" t="n"/>
      <c r="AI818" s="65" t="n"/>
      <c r="AJ818" s="65" t="n"/>
      <c r="AK818" s="65" t="n"/>
      <c r="AL818" s="65" t="n"/>
      <c r="AM818" s="65" t="n"/>
      <c r="AN818" s="65" t="n"/>
      <c r="AO818" s="65" t="n"/>
      <c r="AP818" s="65" t="n"/>
    </row>
    <row r="819">
      <c r="F819" s="68" t="n"/>
      <c r="G819" s="68">
        <f>IF(B819="","",F819-I819 )</f>
        <v/>
      </c>
      <c r="H819" s="5">
        <f>IF(G819="","",G819/F819)</f>
        <v/>
      </c>
      <c r="J819" s="65" t="n"/>
      <c r="K819" s="65" t="n"/>
      <c r="L819" s="65" t="n"/>
      <c r="M819" s="65" t="n"/>
      <c r="N819" s="65" t="n"/>
      <c r="O819" s="65" t="n"/>
      <c r="P819" s="65" t="n"/>
      <c r="Q819" s="65" t="n"/>
      <c r="R819" s="65" t="n"/>
      <c r="S819" s="65" t="n"/>
      <c r="T819" s="65" t="n"/>
      <c r="U819" s="65" t="n"/>
      <c r="V819" s="77" t="n"/>
      <c r="W819" s="65" t="n"/>
      <c r="X819" s="65" t="n"/>
      <c r="Y819" s="65" t="n"/>
      <c r="Z819" s="65" t="n"/>
      <c r="AA819" s="65" t="n"/>
      <c r="AB819" s="65" t="n"/>
      <c r="AC819" s="65" t="n"/>
      <c r="AD819" s="65" t="n"/>
      <c r="AE819" s="65" t="n"/>
      <c r="AF819" s="65" t="n"/>
      <c r="AG819" s="65" t="n"/>
      <c r="AH819" s="65" t="n"/>
      <c r="AI819" s="65" t="n"/>
      <c r="AJ819" s="65" t="n"/>
      <c r="AK819" s="65" t="n"/>
      <c r="AL819" s="65" t="n"/>
      <c r="AM819" s="65" t="n"/>
      <c r="AN819" s="65" t="n"/>
      <c r="AO819" s="65" t="n"/>
      <c r="AP819" s="65" t="n"/>
    </row>
    <row r="820">
      <c r="F820" s="68" t="n"/>
      <c r="G820" s="68">
        <f>IF(B820="","",F820-I820 )</f>
        <v/>
      </c>
      <c r="H820" s="5">
        <f>IF(G820="","",G820/F820)</f>
        <v/>
      </c>
      <c r="J820" s="65" t="n"/>
      <c r="K820" s="65" t="n"/>
      <c r="L820" s="65" t="n"/>
      <c r="M820" s="65" t="n"/>
      <c r="N820" s="65" t="n"/>
      <c r="O820" s="65" t="n"/>
      <c r="P820" s="65" t="n"/>
      <c r="Q820" s="65" t="n"/>
      <c r="R820" s="65" t="n"/>
      <c r="S820" s="65" t="n"/>
      <c r="T820" s="65" t="n"/>
      <c r="U820" s="65" t="n"/>
      <c r="V820" s="77" t="n"/>
      <c r="W820" s="65" t="n"/>
      <c r="X820" s="65" t="n"/>
      <c r="Y820" s="65" t="n"/>
      <c r="Z820" s="65" t="n"/>
      <c r="AA820" s="65" t="n"/>
      <c r="AB820" s="65" t="n"/>
      <c r="AC820" s="65" t="n"/>
      <c r="AD820" s="65" t="n"/>
      <c r="AE820" s="65" t="n"/>
      <c r="AF820" s="65" t="n"/>
      <c r="AG820" s="65" t="n"/>
      <c r="AH820" s="65" t="n"/>
      <c r="AI820" s="65" t="n"/>
      <c r="AJ820" s="65" t="n"/>
      <c r="AK820" s="65" t="n"/>
      <c r="AL820" s="65" t="n"/>
      <c r="AM820" s="65" t="n"/>
      <c r="AN820" s="65" t="n"/>
      <c r="AO820" s="65" t="n"/>
      <c r="AP820" s="65" t="n"/>
    </row>
    <row r="821">
      <c r="F821" s="68" t="n"/>
      <c r="G821" s="68">
        <f>IF(B821="","",F821-I821 )</f>
        <v/>
      </c>
      <c r="H821" s="5">
        <f>IF(G821="","",G821/F821)</f>
        <v/>
      </c>
      <c r="J821" s="65" t="n"/>
      <c r="K821" s="65" t="n"/>
      <c r="L821" s="65" t="n"/>
      <c r="M821" s="65" t="n"/>
      <c r="N821" s="65" t="n"/>
      <c r="O821" s="65" t="n"/>
      <c r="P821" s="65" t="n"/>
      <c r="Q821" s="65" t="n"/>
      <c r="R821" s="65" t="n"/>
      <c r="S821" s="65" t="n"/>
      <c r="T821" s="65" t="n"/>
      <c r="U821" s="65" t="n"/>
      <c r="V821" s="77" t="n"/>
      <c r="W821" s="65" t="n"/>
      <c r="X821" s="65" t="n"/>
      <c r="Y821" s="65" t="n"/>
      <c r="Z821" s="65" t="n"/>
      <c r="AA821" s="65" t="n"/>
      <c r="AB821" s="65" t="n"/>
      <c r="AC821" s="65" t="n"/>
      <c r="AD821" s="65" t="n"/>
      <c r="AE821" s="65" t="n"/>
      <c r="AF821" s="65" t="n"/>
      <c r="AG821" s="65" t="n"/>
      <c r="AH821" s="65" t="n"/>
      <c r="AI821" s="65" t="n"/>
      <c r="AJ821" s="65" t="n"/>
      <c r="AK821" s="65" t="n"/>
      <c r="AL821" s="65" t="n"/>
      <c r="AM821" s="65" t="n"/>
      <c r="AN821" s="65" t="n"/>
      <c r="AO821" s="65" t="n"/>
      <c r="AP821" s="65" t="n"/>
    </row>
    <row r="822">
      <c r="F822" s="68" t="n"/>
      <c r="G822" s="68">
        <f>IF(B822="","",F822-I822 )</f>
        <v/>
      </c>
      <c r="H822" s="5">
        <f>IF(G822="","",G822/F822)</f>
        <v/>
      </c>
      <c r="J822" s="65" t="n"/>
      <c r="K822" s="65" t="n"/>
      <c r="L822" s="65" t="n"/>
      <c r="M822" s="65" t="n"/>
      <c r="N822" s="65" t="n"/>
      <c r="O822" s="65" t="n"/>
      <c r="P822" s="65" t="n"/>
      <c r="Q822" s="65" t="n"/>
      <c r="R822" s="65" t="n"/>
      <c r="S822" s="65" t="n"/>
      <c r="T822" s="65" t="n"/>
      <c r="U822" s="65" t="n"/>
      <c r="V822" s="77" t="n"/>
      <c r="W822" s="65" t="n"/>
      <c r="X822" s="65" t="n"/>
      <c r="Y822" s="65" t="n"/>
      <c r="Z822" s="65" t="n"/>
      <c r="AA822" s="65" t="n"/>
      <c r="AB822" s="65" t="n"/>
      <c r="AC822" s="65" t="n"/>
      <c r="AD822" s="65" t="n"/>
      <c r="AE822" s="65" t="n"/>
      <c r="AF822" s="65" t="n"/>
      <c r="AG822" s="65" t="n"/>
      <c r="AH822" s="65" t="n"/>
      <c r="AI822" s="65" t="n"/>
      <c r="AJ822" s="65" t="n"/>
      <c r="AK822" s="65" t="n"/>
      <c r="AL822" s="65" t="n"/>
      <c r="AM822" s="65" t="n"/>
      <c r="AN822" s="65" t="n"/>
      <c r="AO822" s="65" t="n"/>
      <c r="AP822" s="65" t="n"/>
    </row>
    <row r="823">
      <c r="F823" s="68" t="n"/>
      <c r="G823" s="68">
        <f>IF(B823="","",F823-I823 )</f>
        <v/>
      </c>
      <c r="H823" s="5">
        <f>IF(G823="","",G823/F823)</f>
        <v/>
      </c>
      <c r="J823" s="65" t="n"/>
      <c r="K823" s="65" t="n"/>
      <c r="L823" s="65" t="n"/>
      <c r="M823" s="65" t="n"/>
      <c r="N823" s="65" t="n"/>
      <c r="O823" s="65" t="n"/>
      <c r="P823" s="65" t="n"/>
      <c r="Q823" s="65" t="n"/>
      <c r="R823" s="65" t="n"/>
      <c r="S823" s="65" t="n"/>
      <c r="T823" s="65" t="n"/>
      <c r="U823" s="65" t="n"/>
      <c r="V823" s="77" t="n"/>
      <c r="W823" s="65" t="n"/>
      <c r="X823" s="65" t="n"/>
      <c r="Y823" s="65" t="n"/>
      <c r="Z823" s="65" t="n"/>
      <c r="AA823" s="65" t="n"/>
      <c r="AB823" s="65" t="n"/>
      <c r="AC823" s="65" t="n"/>
      <c r="AD823" s="65" t="n"/>
      <c r="AE823" s="65" t="n"/>
      <c r="AF823" s="65" t="n"/>
      <c r="AG823" s="65" t="n"/>
      <c r="AH823" s="65" t="n"/>
      <c r="AI823" s="65" t="n"/>
      <c r="AJ823" s="65" t="n"/>
      <c r="AK823" s="65" t="n"/>
      <c r="AL823" s="65" t="n"/>
      <c r="AM823" s="65" t="n"/>
      <c r="AN823" s="65" t="n"/>
      <c r="AO823" s="65" t="n"/>
      <c r="AP823" s="65" t="n"/>
    </row>
    <row r="824">
      <c r="F824" s="68" t="n"/>
      <c r="G824" s="68">
        <f>IF(B824="","",F824-I824 )</f>
        <v/>
      </c>
      <c r="H824" s="5">
        <f>IF(G824="","",G824/F824)</f>
        <v/>
      </c>
      <c r="J824" s="65" t="n"/>
      <c r="K824" s="65" t="n"/>
      <c r="L824" s="65" t="n"/>
      <c r="M824" s="65" t="n"/>
      <c r="N824" s="65" t="n"/>
      <c r="O824" s="65" t="n"/>
      <c r="P824" s="65" t="n"/>
      <c r="Q824" s="65" t="n"/>
      <c r="R824" s="65" t="n"/>
      <c r="S824" s="65" t="n"/>
      <c r="T824" s="65" t="n"/>
      <c r="U824" s="65" t="n"/>
      <c r="V824" s="77" t="n"/>
      <c r="W824" s="65" t="n"/>
      <c r="X824" s="65" t="n"/>
      <c r="Y824" s="65" t="n"/>
      <c r="Z824" s="65" t="n"/>
      <c r="AA824" s="65" t="n"/>
      <c r="AB824" s="65" t="n"/>
      <c r="AC824" s="65" t="n"/>
      <c r="AD824" s="65" t="n"/>
      <c r="AE824" s="65" t="n"/>
      <c r="AF824" s="65" t="n"/>
      <c r="AG824" s="65" t="n"/>
      <c r="AH824" s="65" t="n"/>
      <c r="AI824" s="65" t="n"/>
      <c r="AJ824" s="65" t="n"/>
      <c r="AK824" s="65" t="n"/>
      <c r="AL824" s="65" t="n"/>
      <c r="AM824" s="65" t="n"/>
      <c r="AN824" s="65" t="n"/>
      <c r="AO824" s="65" t="n"/>
      <c r="AP824" s="65" t="n"/>
    </row>
    <row r="825">
      <c r="F825" s="68" t="n"/>
      <c r="G825" s="68">
        <f>IF(B825="","",F825-I825 )</f>
        <v/>
      </c>
      <c r="H825" s="5">
        <f>IF(G825="","",G825/F825)</f>
        <v/>
      </c>
      <c r="J825" s="65" t="n"/>
      <c r="K825" s="65" t="n"/>
      <c r="L825" s="65" t="n"/>
      <c r="M825" s="65" t="n"/>
      <c r="N825" s="65" t="n"/>
      <c r="O825" s="65" t="n"/>
      <c r="P825" s="65" t="n"/>
      <c r="Q825" s="65" t="n"/>
      <c r="R825" s="65" t="n"/>
      <c r="S825" s="65" t="n"/>
      <c r="T825" s="65" t="n"/>
      <c r="U825" s="65" t="n"/>
      <c r="V825" s="77" t="n"/>
      <c r="W825" s="65" t="n"/>
      <c r="X825" s="65" t="n"/>
      <c r="Y825" s="65" t="n"/>
      <c r="Z825" s="65" t="n"/>
      <c r="AA825" s="65" t="n"/>
      <c r="AB825" s="65" t="n"/>
      <c r="AC825" s="65" t="n"/>
      <c r="AD825" s="65" t="n"/>
      <c r="AE825" s="65" t="n"/>
      <c r="AF825" s="65" t="n"/>
      <c r="AG825" s="65" t="n"/>
      <c r="AH825" s="65" t="n"/>
      <c r="AI825" s="65" t="n"/>
      <c r="AJ825" s="65" t="n"/>
      <c r="AK825" s="65" t="n"/>
      <c r="AL825" s="65" t="n"/>
      <c r="AM825" s="65" t="n"/>
      <c r="AN825" s="65" t="n"/>
      <c r="AO825" s="65" t="n"/>
      <c r="AP825" s="65" t="n"/>
    </row>
    <row r="826">
      <c r="F826" s="68" t="n"/>
      <c r="G826" s="68">
        <f>IF(B826="","",F826-I826 )</f>
        <v/>
      </c>
      <c r="H826" s="5">
        <f>IF(G826="","",G826/F826)</f>
        <v/>
      </c>
      <c r="J826" s="65" t="n"/>
      <c r="K826" s="65" t="n"/>
      <c r="L826" s="65" t="n"/>
      <c r="M826" s="65" t="n"/>
      <c r="N826" s="65" t="n"/>
      <c r="O826" s="65" t="n"/>
      <c r="P826" s="65" t="n"/>
      <c r="Q826" s="65" t="n"/>
      <c r="R826" s="65" t="n"/>
      <c r="S826" s="65" t="n"/>
      <c r="T826" s="65" t="n"/>
      <c r="U826" s="65" t="n"/>
      <c r="V826" s="77" t="n"/>
      <c r="W826" s="65" t="n"/>
      <c r="X826" s="65" t="n"/>
      <c r="Y826" s="65" t="n"/>
      <c r="Z826" s="65" t="n"/>
      <c r="AA826" s="65" t="n"/>
      <c r="AB826" s="65" t="n"/>
      <c r="AC826" s="65" t="n"/>
      <c r="AD826" s="65" t="n"/>
      <c r="AE826" s="65" t="n"/>
      <c r="AF826" s="65" t="n"/>
      <c r="AG826" s="65" t="n"/>
      <c r="AH826" s="65" t="n"/>
      <c r="AI826" s="65" t="n"/>
      <c r="AJ826" s="65" t="n"/>
      <c r="AK826" s="65" t="n"/>
      <c r="AL826" s="65" t="n"/>
      <c r="AM826" s="65" t="n"/>
      <c r="AN826" s="65" t="n"/>
      <c r="AO826" s="65" t="n"/>
      <c r="AP826" s="65" t="n"/>
    </row>
    <row r="827">
      <c r="F827" s="68" t="n"/>
      <c r="G827" s="68">
        <f>IF(B827="","",F827-I827 )</f>
        <v/>
      </c>
      <c r="H827" s="5">
        <f>IF(G827="","",G827/F827)</f>
        <v/>
      </c>
      <c r="J827" s="65" t="n"/>
      <c r="K827" s="65" t="n"/>
      <c r="L827" s="65" t="n"/>
      <c r="M827" s="65" t="n"/>
      <c r="N827" s="65" t="n"/>
      <c r="O827" s="65" t="n"/>
      <c r="P827" s="65" t="n"/>
      <c r="Q827" s="65" t="n"/>
      <c r="R827" s="65" t="n"/>
      <c r="S827" s="65" t="n"/>
      <c r="T827" s="65" t="n"/>
      <c r="U827" s="65" t="n"/>
      <c r="V827" s="77" t="n"/>
      <c r="W827" s="65" t="n"/>
      <c r="X827" s="65" t="n"/>
      <c r="Y827" s="65" t="n"/>
      <c r="Z827" s="65" t="n"/>
      <c r="AA827" s="65" t="n"/>
      <c r="AB827" s="65" t="n"/>
      <c r="AC827" s="65" t="n"/>
      <c r="AD827" s="65" t="n"/>
      <c r="AE827" s="65" t="n"/>
      <c r="AF827" s="65" t="n"/>
      <c r="AG827" s="65" t="n"/>
      <c r="AH827" s="65" t="n"/>
      <c r="AI827" s="65" t="n"/>
      <c r="AJ827" s="65" t="n"/>
      <c r="AK827" s="65" t="n"/>
      <c r="AL827" s="65" t="n"/>
      <c r="AM827" s="65" t="n"/>
      <c r="AN827" s="65" t="n"/>
      <c r="AO827" s="65" t="n"/>
      <c r="AP827" s="65" t="n"/>
    </row>
    <row r="828">
      <c r="F828" s="68" t="n"/>
      <c r="G828" s="68">
        <f>IF(B828="","",F828-I828 )</f>
        <v/>
      </c>
      <c r="H828" s="5">
        <f>IF(G828="","",G828/F828)</f>
        <v/>
      </c>
      <c r="J828" s="65" t="n"/>
      <c r="K828" s="65" t="n"/>
      <c r="L828" s="65" t="n"/>
      <c r="M828" s="65" t="n"/>
      <c r="N828" s="65" t="n"/>
      <c r="O828" s="65" t="n"/>
      <c r="P828" s="65" t="n"/>
      <c r="Q828" s="65" t="n"/>
      <c r="R828" s="65" t="n"/>
      <c r="S828" s="65" t="n"/>
      <c r="T828" s="65" t="n"/>
      <c r="U828" s="65" t="n"/>
      <c r="V828" s="77" t="n"/>
      <c r="W828" s="65" t="n"/>
      <c r="X828" s="65" t="n"/>
      <c r="Y828" s="65" t="n"/>
      <c r="Z828" s="65" t="n"/>
      <c r="AA828" s="65" t="n"/>
      <c r="AB828" s="65" t="n"/>
      <c r="AC828" s="65" t="n"/>
      <c r="AD828" s="65" t="n"/>
      <c r="AE828" s="65" t="n"/>
      <c r="AF828" s="65" t="n"/>
      <c r="AG828" s="65" t="n"/>
      <c r="AH828" s="65" t="n"/>
      <c r="AI828" s="65" t="n"/>
      <c r="AJ828" s="65" t="n"/>
      <c r="AK828" s="65" t="n"/>
      <c r="AL828" s="65" t="n"/>
      <c r="AM828" s="65" t="n"/>
      <c r="AN828" s="65" t="n"/>
      <c r="AO828" s="65" t="n"/>
      <c r="AP828" s="65" t="n"/>
    </row>
    <row r="829">
      <c r="F829" s="68" t="n"/>
      <c r="G829" s="68">
        <f>IF(B829="","",F829-I829 )</f>
        <v/>
      </c>
      <c r="H829" s="5">
        <f>IF(G829="","",G829/F829)</f>
        <v/>
      </c>
      <c r="J829" s="65" t="n"/>
      <c r="K829" s="65" t="n"/>
      <c r="L829" s="65" t="n"/>
      <c r="M829" s="65" t="n"/>
      <c r="N829" s="65" t="n"/>
      <c r="O829" s="65" t="n"/>
      <c r="P829" s="65" t="n"/>
      <c r="Q829" s="65" t="n"/>
      <c r="R829" s="65" t="n"/>
      <c r="S829" s="65" t="n"/>
      <c r="T829" s="65" t="n"/>
      <c r="U829" s="65" t="n"/>
      <c r="V829" s="77" t="n"/>
      <c r="W829" s="65" t="n"/>
      <c r="X829" s="65" t="n"/>
      <c r="Y829" s="65" t="n"/>
      <c r="Z829" s="65" t="n"/>
      <c r="AA829" s="65" t="n"/>
      <c r="AB829" s="65" t="n"/>
      <c r="AC829" s="65" t="n"/>
      <c r="AD829" s="65" t="n"/>
      <c r="AE829" s="65" t="n"/>
      <c r="AF829" s="65" t="n"/>
      <c r="AG829" s="65" t="n"/>
      <c r="AH829" s="65" t="n"/>
      <c r="AI829" s="65" t="n"/>
      <c r="AJ829" s="65" t="n"/>
      <c r="AK829" s="65" t="n"/>
      <c r="AL829" s="65" t="n"/>
      <c r="AM829" s="65" t="n"/>
      <c r="AN829" s="65" t="n"/>
      <c r="AO829" s="65" t="n"/>
      <c r="AP829" s="65" t="n"/>
    </row>
    <row r="830">
      <c r="F830" s="68" t="n"/>
      <c r="G830" s="68">
        <f>IF(B830="","",F830-I830 )</f>
        <v/>
      </c>
      <c r="H830" s="5">
        <f>IF(G830="","",G830/F830)</f>
        <v/>
      </c>
      <c r="J830" s="65" t="n"/>
      <c r="K830" s="65" t="n"/>
      <c r="L830" s="65" t="n"/>
      <c r="M830" s="65" t="n"/>
      <c r="N830" s="65" t="n"/>
      <c r="O830" s="65" t="n"/>
      <c r="P830" s="65" t="n"/>
      <c r="Q830" s="65" t="n"/>
      <c r="R830" s="65" t="n"/>
      <c r="S830" s="65" t="n"/>
      <c r="T830" s="65" t="n"/>
      <c r="U830" s="65" t="n"/>
      <c r="V830" s="77" t="n"/>
      <c r="W830" s="65" t="n"/>
      <c r="X830" s="65" t="n"/>
      <c r="Y830" s="65" t="n"/>
      <c r="Z830" s="65" t="n"/>
      <c r="AA830" s="65" t="n"/>
      <c r="AB830" s="65" t="n"/>
      <c r="AC830" s="65" t="n"/>
      <c r="AD830" s="65" t="n"/>
      <c r="AE830" s="65" t="n"/>
      <c r="AF830" s="65" t="n"/>
      <c r="AG830" s="65" t="n"/>
      <c r="AH830" s="65" t="n"/>
      <c r="AI830" s="65" t="n"/>
      <c r="AJ830" s="65" t="n"/>
      <c r="AK830" s="65" t="n"/>
      <c r="AL830" s="65" t="n"/>
      <c r="AM830" s="65" t="n"/>
      <c r="AN830" s="65" t="n"/>
      <c r="AO830" s="65" t="n"/>
      <c r="AP830" s="65" t="n"/>
    </row>
    <row r="831">
      <c r="F831" s="68" t="n"/>
      <c r="G831" s="68">
        <f>IF(B831="","",F831-I831 )</f>
        <v/>
      </c>
      <c r="H831" s="5">
        <f>IF(G831="","",G831/F831)</f>
        <v/>
      </c>
      <c r="J831" s="65" t="n"/>
      <c r="K831" s="65" t="n"/>
      <c r="L831" s="65" t="n"/>
      <c r="M831" s="65" t="n"/>
      <c r="N831" s="65" t="n"/>
      <c r="O831" s="65" t="n"/>
      <c r="P831" s="65" t="n"/>
      <c r="Q831" s="65" t="n"/>
      <c r="R831" s="65" t="n"/>
      <c r="S831" s="65" t="n"/>
      <c r="T831" s="65" t="n"/>
      <c r="U831" s="65" t="n"/>
      <c r="V831" s="77" t="n"/>
      <c r="W831" s="65" t="n"/>
      <c r="X831" s="65" t="n"/>
      <c r="Y831" s="65" t="n"/>
      <c r="Z831" s="65" t="n"/>
      <c r="AA831" s="65" t="n"/>
      <c r="AB831" s="65" t="n"/>
      <c r="AC831" s="65" t="n"/>
      <c r="AD831" s="65" t="n"/>
      <c r="AE831" s="65" t="n"/>
      <c r="AF831" s="65" t="n"/>
      <c r="AG831" s="65" t="n"/>
      <c r="AH831" s="65" t="n"/>
      <c r="AI831" s="65" t="n"/>
      <c r="AJ831" s="65" t="n"/>
      <c r="AK831" s="65" t="n"/>
      <c r="AL831" s="65" t="n"/>
      <c r="AM831" s="65" t="n"/>
      <c r="AN831" s="65" t="n"/>
      <c r="AO831" s="65" t="n"/>
      <c r="AP831" s="65" t="n"/>
    </row>
    <row r="832">
      <c r="F832" s="68" t="n"/>
      <c r="G832" s="68">
        <f>IF(B832="","",F832-I832 )</f>
        <v/>
      </c>
      <c r="H832" s="5">
        <f>IF(G832="","",G832/F832)</f>
        <v/>
      </c>
      <c r="J832" s="65" t="n"/>
      <c r="K832" s="65" t="n"/>
      <c r="L832" s="65" t="n"/>
      <c r="M832" s="65" t="n"/>
      <c r="N832" s="65" t="n"/>
      <c r="O832" s="65" t="n"/>
      <c r="P832" s="65" t="n"/>
      <c r="Q832" s="65" t="n"/>
      <c r="R832" s="65" t="n"/>
      <c r="S832" s="65" t="n"/>
      <c r="T832" s="65" t="n"/>
      <c r="U832" s="65" t="n"/>
      <c r="V832" s="77" t="n"/>
      <c r="W832" s="65" t="n"/>
      <c r="X832" s="65" t="n"/>
      <c r="Y832" s="65" t="n"/>
      <c r="Z832" s="65" t="n"/>
      <c r="AA832" s="65" t="n"/>
      <c r="AB832" s="65" t="n"/>
      <c r="AC832" s="65" t="n"/>
      <c r="AD832" s="65" t="n"/>
      <c r="AE832" s="65" t="n"/>
      <c r="AF832" s="65" t="n"/>
      <c r="AG832" s="65" t="n"/>
      <c r="AH832" s="65" t="n"/>
      <c r="AI832" s="65" t="n"/>
      <c r="AJ832" s="65" t="n"/>
      <c r="AK832" s="65" t="n"/>
      <c r="AL832" s="65" t="n"/>
      <c r="AM832" s="65" t="n"/>
      <c r="AN832" s="65" t="n"/>
      <c r="AO832" s="65" t="n"/>
      <c r="AP832" s="65" t="n"/>
    </row>
    <row r="833">
      <c r="F833" s="68" t="n"/>
      <c r="G833" s="68">
        <f>IF(B833="","",F833-I833 )</f>
        <v/>
      </c>
      <c r="H833" s="5">
        <f>IF(G833="","",G833/F833)</f>
        <v/>
      </c>
      <c r="J833" s="65" t="n"/>
      <c r="K833" s="65" t="n"/>
      <c r="L833" s="65" t="n"/>
      <c r="M833" s="65" t="n"/>
      <c r="N833" s="65" t="n"/>
      <c r="O833" s="65" t="n"/>
      <c r="P833" s="65" t="n"/>
      <c r="Q833" s="65" t="n"/>
      <c r="R833" s="65" t="n"/>
      <c r="S833" s="65" t="n"/>
      <c r="T833" s="65" t="n"/>
      <c r="U833" s="65" t="n"/>
      <c r="V833" s="77" t="n"/>
      <c r="W833" s="65" t="n"/>
      <c r="X833" s="65" t="n"/>
      <c r="Y833" s="65" t="n"/>
      <c r="Z833" s="65" t="n"/>
      <c r="AA833" s="65" t="n"/>
      <c r="AB833" s="65" t="n"/>
      <c r="AC833" s="65" t="n"/>
      <c r="AD833" s="65" t="n"/>
      <c r="AE833" s="65" t="n"/>
      <c r="AF833" s="65" t="n"/>
      <c r="AG833" s="65" t="n"/>
      <c r="AH833" s="65" t="n"/>
      <c r="AI833" s="65" t="n"/>
      <c r="AJ833" s="65" t="n"/>
      <c r="AK833" s="65" t="n"/>
      <c r="AL833" s="65" t="n"/>
      <c r="AM833" s="65" t="n"/>
      <c r="AN833" s="65" t="n"/>
      <c r="AO833" s="65" t="n"/>
      <c r="AP833" s="65" t="n"/>
    </row>
    <row r="834">
      <c r="F834" s="68" t="n"/>
      <c r="G834" s="68">
        <f>IF(B834="","",F834-I834 )</f>
        <v/>
      </c>
      <c r="H834" s="5">
        <f>IF(G834="","",G834/F834)</f>
        <v/>
      </c>
      <c r="J834" s="65" t="n"/>
      <c r="K834" s="65" t="n"/>
      <c r="L834" s="65" t="n"/>
      <c r="M834" s="65" t="n"/>
      <c r="N834" s="65" t="n"/>
      <c r="O834" s="65" t="n"/>
      <c r="P834" s="65" t="n"/>
      <c r="Q834" s="65" t="n"/>
      <c r="R834" s="65" t="n"/>
      <c r="S834" s="65" t="n"/>
      <c r="T834" s="65" t="n"/>
      <c r="U834" s="65" t="n"/>
      <c r="V834" s="77" t="n"/>
      <c r="W834" s="65" t="n"/>
      <c r="X834" s="65" t="n"/>
      <c r="Y834" s="65" t="n"/>
      <c r="Z834" s="65" t="n"/>
      <c r="AA834" s="65" t="n"/>
      <c r="AB834" s="65" t="n"/>
      <c r="AC834" s="65" t="n"/>
      <c r="AD834" s="65" t="n"/>
      <c r="AE834" s="65" t="n"/>
      <c r="AF834" s="65" t="n"/>
      <c r="AG834" s="65" t="n"/>
      <c r="AH834" s="65" t="n"/>
      <c r="AI834" s="65" t="n"/>
      <c r="AJ834" s="65" t="n"/>
      <c r="AK834" s="65" t="n"/>
      <c r="AL834" s="65" t="n"/>
      <c r="AM834" s="65" t="n"/>
      <c r="AN834" s="65" t="n"/>
      <c r="AO834" s="65" t="n"/>
      <c r="AP834" s="65" t="n"/>
    </row>
    <row r="835">
      <c r="F835" s="68" t="n"/>
      <c r="G835" s="68">
        <f>IF(B835="","",F835-I835 )</f>
        <v/>
      </c>
      <c r="H835" s="5">
        <f>IF(G835="","",G835/F835)</f>
        <v/>
      </c>
      <c r="J835" s="65" t="n"/>
      <c r="K835" s="65" t="n"/>
      <c r="L835" s="65" t="n"/>
      <c r="M835" s="65" t="n"/>
      <c r="N835" s="65" t="n"/>
      <c r="O835" s="65" t="n"/>
      <c r="P835" s="65" t="n"/>
      <c r="Q835" s="65" t="n"/>
      <c r="R835" s="65" t="n"/>
      <c r="S835" s="65" t="n"/>
      <c r="T835" s="65" t="n"/>
      <c r="U835" s="65" t="n"/>
      <c r="V835" s="77" t="n"/>
      <c r="W835" s="65" t="n"/>
      <c r="X835" s="65" t="n"/>
      <c r="Y835" s="65" t="n"/>
      <c r="Z835" s="65" t="n"/>
      <c r="AA835" s="65" t="n"/>
      <c r="AB835" s="65" t="n"/>
      <c r="AC835" s="65" t="n"/>
      <c r="AD835" s="65" t="n"/>
      <c r="AE835" s="65" t="n"/>
      <c r="AF835" s="65" t="n"/>
      <c r="AG835" s="65" t="n"/>
      <c r="AH835" s="65" t="n"/>
      <c r="AI835" s="65" t="n"/>
      <c r="AJ835" s="65" t="n"/>
      <c r="AK835" s="65" t="n"/>
      <c r="AL835" s="65" t="n"/>
      <c r="AM835" s="65" t="n"/>
      <c r="AN835" s="65" t="n"/>
      <c r="AO835" s="65" t="n"/>
      <c r="AP835" s="65" t="n"/>
    </row>
    <row r="836">
      <c r="F836" s="68" t="n"/>
      <c r="G836" s="68">
        <f>IF(B836="","",F836-I836 )</f>
        <v/>
      </c>
      <c r="H836" s="5">
        <f>IF(G836="","",G836/F836)</f>
        <v/>
      </c>
      <c r="J836" s="65" t="n"/>
      <c r="K836" s="65" t="n"/>
      <c r="L836" s="65" t="n"/>
      <c r="M836" s="65" t="n"/>
      <c r="N836" s="65" t="n"/>
      <c r="O836" s="65" t="n"/>
      <c r="P836" s="65" t="n"/>
      <c r="Q836" s="65" t="n"/>
      <c r="R836" s="65" t="n"/>
      <c r="S836" s="65" t="n"/>
      <c r="T836" s="65" t="n"/>
      <c r="U836" s="65" t="n"/>
      <c r="V836" s="77" t="n"/>
      <c r="W836" s="65" t="n"/>
      <c r="X836" s="65" t="n"/>
      <c r="Y836" s="65" t="n"/>
      <c r="Z836" s="65" t="n"/>
      <c r="AA836" s="65" t="n"/>
      <c r="AB836" s="65" t="n"/>
      <c r="AC836" s="65" t="n"/>
      <c r="AD836" s="65" t="n"/>
      <c r="AE836" s="65" t="n"/>
      <c r="AF836" s="65" t="n"/>
      <c r="AG836" s="65" t="n"/>
      <c r="AH836" s="65" t="n"/>
      <c r="AI836" s="65" t="n"/>
      <c r="AJ836" s="65" t="n"/>
      <c r="AK836" s="65" t="n"/>
      <c r="AL836" s="65" t="n"/>
      <c r="AM836" s="65" t="n"/>
      <c r="AN836" s="65" t="n"/>
      <c r="AO836" s="65" t="n"/>
      <c r="AP836" s="65" t="n"/>
    </row>
    <row r="837">
      <c r="F837" s="68" t="n"/>
      <c r="G837" s="68">
        <f>IF(B837="","",F837-I837 )</f>
        <v/>
      </c>
      <c r="H837" s="5">
        <f>IF(G837="","",G837/F837)</f>
        <v/>
      </c>
      <c r="J837" s="65" t="n"/>
      <c r="K837" s="65" t="n"/>
      <c r="L837" s="65" t="n"/>
      <c r="M837" s="65" t="n"/>
      <c r="N837" s="65" t="n"/>
      <c r="O837" s="65" t="n"/>
      <c r="P837" s="65" t="n"/>
      <c r="Q837" s="65" t="n"/>
      <c r="R837" s="65" t="n"/>
      <c r="S837" s="65" t="n"/>
      <c r="T837" s="65" t="n"/>
      <c r="U837" s="65" t="n"/>
      <c r="V837" s="77" t="n"/>
      <c r="W837" s="65" t="n"/>
      <c r="X837" s="65" t="n"/>
      <c r="Y837" s="65" t="n"/>
      <c r="Z837" s="65" t="n"/>
      <c r="AA837" s="65" t="n"/>
      <c r="AB837" s="65" t="n"/>
      <c r="AC837" s="65" t="n"/>
      <c r="AD837" s="65" t="n"/>
      <c r="AE837" s="65" t="n"/>
      <c r="AF837" s="65" t="n"/>
      <c r="AG837" s="65" t="n"/>
      <c r="AH837" s="65" t="n"/>
      <c r="AI837" s="65" t="n"/>
      <c r="AJ837" s="65" t="n"/>
      <c r="AK837" s="65" t="n"/>
      <c r="AL837" s="65" t="n"/>
      <c r="AM837" s="65" t="n"/>
      <c r="AN837" s="65" t="n"/>
      <c r="AO837" s="65" t="n"/>
      <c r="AP837" s="65" t="n"/>
    </row>
    <row r="838">
      <c r="F838" s="68" t="n"/>
      <c r="G838" s="68">
        <f>IF(B838="","",F838-I838 )</f>
        <v/>
      </c>
      <c r="H838" s="5">
        <f>IF(G838="","",G838/F838)</f>
        <v/>
      </c>
      <c r="J838" s="65" t="n"/>
      <c r="K838" s="65" t="n"/>
      <c r="L838" s="65" t="n"/>
      <c r="M838" s="65" t="n"/>
      <c r="N838" s="65" t="n"/>
      <c r="O838" s="65" t="n"/>
      <c r="P838" s="65" t="n"/>
      <c r="Q838" s="65" t="n"/>
      <c r="R838" s="65" t="n"/>
      <c r="S838" s="65" t="n"/>
      <c r="T838" s="65" t="n"/>
      <c r="U838" s="65" t="n"/>
      <c r="V838" s="77" t="n"/>
      <c r="W838" s="65" t="n"/>
      <c r="X838" s="65" t="n"/>
      <c r="Y838" s="65" t="n"/>
      <c r="Z838" s="65" t="n"/>
      <c r="AA838" s="65" t="n"/>
      <c r="AB838" s="65" t="n"/>
      <c r="AC838" s="65" t="n"/>
      <c r="AD838" s="65" t="n"/>
      <c r="AE838" s="65" t="n"/>
      <c r="AF838" s="65" t="n"/>
      <c r="AG838" s="65" t="n"/>
      <c r="AH838" s="65" t="n"/>
      <c r="AI838" s="65" t="n"/>
      <c r="AJ838" s="65" t="n"/>
      <c r="AK838" s="65" t="n"/>
      <c r="AL838" s="65" t="n"/>
      <c r="AM838" s="65" t="n"/>
      <c r="AN838" s="65" t="n"/>
      <c r="AO838" s="65" t="n"/>
      <c r="AP838" s="65" t="n"/>
    </row>
    <row r="839">
      <c r="F839" s="68" t="n"/>
      <c r="G839" s="68">
        <f>IF(B839="","",F839-I839 )</f>
        <v/>
      </c>
      <c r="H839" s="5">
        <f>IF(G839="","",G839/F839)</f>
        <v/>
      </c>
      <c r="J839" s="65" t="n"/>
      <c r="K839" s="65" t="n"/>
      <c r="L839" s="65" t="n"/>
      <c r="M839" s="65" t="n"/>
      <c r="N839" s="65" t="n"/>
      <c r="O839" s="65" t="n"/>
      <c r="P839" s="65" t="n"/>
      <c r="Q839" s="65" t="n"/>
      <c r="R839" s="65" t="n"/>
      <c r="S839" s="65" t="n"/>
      <c r="T839" s="65" t="n"/>
      <c r="U839" s="65" t="n"/>
      <c r="V839" s="77" t="n"/>
      <c r="W839" s="65" t="n"/>
      <c r="X839" s="65" t="n"/>
      <c r="Y839" s="65" t="n"/>
      <c r="Z839" s="65" t="n"/>
      <c r="AA839" s="65" t="n"/>
      <c r="AB839" s="65" t="n"/>
      <c r="AC839" s="65" t="n"/>
      <c r="AD839" s="65" t="n"/>
      <c r="AE839" s="65" t="n"/>
      <c r="AF839" s="65" t="n"/>
      <c r="AG839" s="65" t="n"/>
      <c r="AH839" s="65" t="n"/>
      <c r="AI839" s="65" t="n"/>
      <c r="AJ839" s="65" t="n"/>
      <c r="AK839" s="65" t="n"/>
      <c r="AL839" s="65" t="n"/>
      <c r="AM839" s="65" t="n"/>
      <c r="AN839" s="65" t="n"/>
      <c r="AO839" s="65" t="n"/>
      <c r="AP839" s="65" t="n"/>
    </row>
    <row r="840">
      <c r="F840" s="68" t="n"/>
      <c r="G840" s="68">
        <f>IF(B840="","",F840-I840 )</f>
        <v/>
      </c>
      <c r="H840" s="5">
        <f>IF(G840="","",G840/F840)</f>
        <v/>
      </c>
      <c r="J840" s="65" t="n"/>
      <c r="K840" s="65" t="n"/>
      <c r="L840" s="65" t="n"/>
      <c r="M840" s="65" t="n"/>
      <c r="N840" s="65" t="n"/>
      <c r="O840" s="65" t="n"/>
      <c r="P840" s="65" t="n"/>
      <c r="Q840" s="65" t="n"/>
      <c r="R840" s="65" t="n"/>
      <c r="S840" s="65" t="n"/>
      <c r="T840" s="65" t="n"/>
      <c r="U840" s="65" t="n"/>
      <c r="V840" s="77" t="n"/>
      <c r="W840" s="65" t="n"/>
      <c r="X840" s="65" t="n"/>
      <c r="Y840" s="65" t="n"/>
      <c r="Z840" s="65" t="n"/>
      <c r="AA840" s="65" t="n"/>
      <c r="AB840" s="65" t="n"/>
      <c r="AC840" s="65" t="n"/>
      <c r="AD840" s="65" t="n"/>
      <c r="AE840" s="65" t="n"/>
      <c r="AF840" s="65" t="n"/>
      <c r="AG840" s="65" t="n"/>
      <c r="AH840" s="65" t="n"/>
      <c r="AI840" s="65" t="n"/>
      <c r="AJ840" s="65" t="n"/>
      <c r="AK840" s="65" t="n"/>
      <c r="AL840" s="65" t="n"/>
      <c r="AM840" s="65" t="n"/>
      <c r="AN840" s="65" t="n"/>
      <c r="AO840" s="65" t="n"/>
      <c r="AP840" s="65" t="n"/>
    </row>
    <row r="841">
      <c r="F841" s="68" t="n"/>
      <c r="G841" s="68">
        <f>IF(B841="","",F841-I841 )</f>
        <v/>
      </c>
      <c r="H841" s="5">
        <f>IF(G841="","",G841/F841)</f>
        <v/>
      </c>
      <c r="J841" s="65" t="n"/>
      <c r="K841" s="65" t="n"/>
      <c r="L841" s="65" t="n"/>
      <c r="M841" s="65" t="n"/>
      <c r="N841" s="65" t="n"/>
      <c r="O841" s="65" t="n"/>
      <c r="P841" s="65" t="n"/>
      <c r="Q841" s="65" t="n"/>
      <c r="R841" s="65" t="n"/>
      <c r="S841" s="65" t="n"/>
      <c r="T841" s="65" t="n"/>
      <c r="U841" s="65" t="n"/>
      <c r="V841" s="77" t="n"/>
      <c r="W841" s="65" t="n"/>
      <c r="X841" s="65" t="n"/>
      <c r="Y841" s="65" t="n"/>
      <c r="Z841" s="65" t="n"/>
      <c r="AA841" s="65" t="n"/>
      <c r="AB841" s="65" t="n"/>
      <c r="AC841" s="65" t="n"/>
      <c r="AD841" s="65" t="n"/>
      <c r="AE841" s="65" t="n"/>
      <c r="AF841" s="65" t="n"/>
      <c r="AG841" s="65" t="n"/>
      <c r="AH841" s="65" t="n"/>
      <c r="AI841" s="65" t="n"/>
      <c r="AJ841" s="65" t="n"/>
      <c r="AK841" s="65" t="n"/>
      <c r="AL841" s="65" t="n"/>
      <c r="AM841" s="65" t="n"/>
      <c r="AN841" s="65" t="n"/>
      <c r="AO841" s="65" t="n"/>
      <c r="AP841" s="65" t="n"/>
    </row>
    <row r="842">
      <c r="F842" s="68" t="n"/>
      <c r="G842" s="68">
        <f>IF(B842="","",F842-I842 )</f>
        <v/>
      </c>
      <c r="H842" s="5">
        <f>IF(G842="","",G842/F842)</f>
        <v/>
      </c>
      <c r="J842" s="65" t="n"/>
      <c r="K842" s="65" t="n"/>
      <c r="L842" s="65" t="n"/>
      <c r="M842" s="65" t="n"/>
      <c r="N842" s="65" t="n"/>
      <c r="O842" s="65" t="n"/>
      <c r="P842" s="65" t="n"/>
      <c r="Q842" s="65" t="n"/>
      <c r="R842" s="65" t="n"/>
      <c r="S842" s="65" t="n"/>
      <c r="T842" s="65" t="n"/>
      <c r="U842" s="65" t="n"/>
      <c r="V842" s="77" t="n"/>
      <c r="W842" s="65" t="n"/>
      <c r="X842" s="65" t="n"/>
      <c r="Y842" s="65" t="n"/>
      <c r="Z842" s="65" t="n"/>
      <c r="AA842" s="65" t="n"/>
      <c r="AB842" s="65" t="n"/>
      <c r="AC842" s="65" t="n"/>
      <c r="AD842" s="65" t="n"/>
      <c r="AE842" s="65" t="n"/>
      <c r="AF842" s="65" t="n"/>
      <c r="AG842" s="65" t="n"/>
      <c r="AH842" s="65" t="n"/>
      <c r="AI842" s="65" t="n"/>
      <c r="AJ842" s="65" t="n"/>
      <c r="AK842" s="65" t="n"/>
      <c r="AL842" s="65" t="n"/>
      <c r="AM842" s="65" t="n"/>
      <c r="AN842" s="65" t="n"/>
      <c r="AO842" s="65" t="n"/>
      <c r="AP842" s="65" t="n"/>
    </row>
    <row r="843">
      <c r="F843" s="68" t="n"/>
      <c r="G843" s="68">
        <f>IF(B843="","",F843-I843 )</f>
        <v/>
      </c>
      <c r="H843" s="5">
        <f>IF(G843="","",G843/F843)</f>
        <v/>
      </c>
      <c r="J843" s="65" t="n"/>
      <c r="K843" s="65" t="n"/>
      <c r="L843" s="65" t="n"/>
      <c r="M843" s="65" t="n"/>
      <c r="N843" s="65" t="n"/>
      <c r="O843" s="65" t="n"/>
      <c r="P843" s="65" t="n"/>
      <c r="Q843" s="65" t="n"/>
      <c r="R843" s="65" t="n"/>
      <c r="S843" s="65" t="n"/>
      <c r="T843" s="65" t="n"/>
      <c r="U843" s="65" t="n"/>
      <c r="V843" s="77" t="n"/>
      <c r="W843" s="65" t="n"/>
      <c r="X843" s="65" t="n"/>
      <c r="Y843" s="65" t="n"/>
      <c r="Z843" s="65" t="n"/>
      <c r="AA843" s="65" t="n"/>
      <c r="AB843" s="65" t="n"/>
      <c r="AC843" s="65" t="n"/>
      <c r="AD843" s="65" t="n"/>
      <c r="AE843" s="65" t="n"/>
      <c r="AF843" s="65" t="n"/>
      <c r="AG843" s="65" t="n"/>
      <c r="AH843" s="65" t="n"/>
      <c r="AI843" s="65" t="n"/>
      <c r="AJ843" s="65" t="n"/>
      <c r="AK843" s="65" t="n"/>
      <c r="AL843" s="65" t="n"/>
      <c r="AM843" s="65" t="n"/>
      <c r="AN843" s="65" t="n"/>
      <c r="AO843" s="65" t="n"/>
      <c r="AP843" s="65" t="n"/>
    </row>
    <row r="844">
      <c r="F844" s="68" t="n"/>
      <c r="G844" s="68">
        <f>IF(B844="","",F844-I844 )</f>
        <v/>
      </c>
      <c r="H844" s="5">
        <f>IF(G844="","",G844/F844)</f>
        <v/>
      </c>
      <c r="J844" s="65" t="n"/>
      <c r="K844" s="65" t="n"/>
      <c r="L844" s="65" t="n"/>
      <c r="M844" s="65" t="n"/>
      <c r="N844" s="65" t="n"/>
      <c r="O844" s="65" t="n"/>
      <c r="P844" s="65" t="n"/>
      <c r="Q844" s="65" t="n"/>
      <c r="R844" s="65" t="n"/>
      <c r="S844" s="65" t="n"/>
      <c r="T844" s="65" t="n"/>
      <c r="U844" s="65" t="n"/>
      <c r="V844" s="77" t="n"/>
      <c r="W844" s="65" t="n"/>
      <c r="X844" s="65" t="n"/>
      <c r="Y844" s="65" t="n"/>
      <c r="Z844" s="65" t="n"/>
      <c r="AA844" s="65" t="n"/>
      <c r="AB844" s="65" t="n"/>
      <c r="AC844" s="65" t="n"/>
      <c r="AD844" s="65" t="n"/>
      <c r="AE844" s="65" t="n"/>
      <c r="AF844" s="65" t="n"/>
      <c r="AG844" s="65" t="n"/>
      <c r="AH844" s="65" t="n"/>
      <c r="AI844" s="65" t="n"/>
      <c r="AJ844" s="65" t="n"/>
      <c r="AK844" s="65" t="n"/>
      <c r="AL844" s="65" t="n"/>
      <c r="AM844" s="65" t="n"/>
      <c r="AN844" s="65" t="n"/>
      <c r="AO844" s="65" t="n"/>
      <c r="AP844" s="65" t="n"/>
    </row>
    <row r="845">
      <c r="F845" s="68" t="n"/>
      <c r="G845" s="68">
        <f>IF(B845="","",F845-I845 )</f>
        <v/>
      </c>
      <c r="H845" s="5">
        <f>IF(G845="","",G845/F845)</f>
        <v/>
      </c>
      <c r="J845" s="65" t="n"/>
      <c r="K845" s="65" t="n"/>
      <c r="L845" s="65" t="n"/>
      <c r="M845" s="65" t="n"/>
      <c r="N845" s="65" t="n"/>
      <c r="O845" s="65" t="n"/>
      <c r="P845" s="65" t="n"/>
      <c r="Q845" s="65" t="n"/>
      <c r="R845" s="65" t="n"/>
      <c r="S845" s="65" t="n"/>
      <c r="T845" s="65" t="n"/>
      <c r="U845" s="65" t="n"/>
      <c r="V845" s="77" t="n"/>
      <c r="W845" s="65" t="n"/>
      <c r="X845" s="65" t="n"/>
      <c r="Y845" s="65" t="n"/>
      <c r="Z845" s="65" t="n"/>
      <c r="AA845" s="65" t="n"/>
      <c r="AB845" s="65" t="n"/>
      <c r="AC845" s="65" t="n"/>
      <c r="AD845" s="65" t="n"/>
      <c r="AE845" s="65" t="n"/>
      <c r="AF845" s="65" t="n"/>
      <c r="AG845" s="65" t="n"/>
      <c r="AH845" s="65" t="n"/>
      <c r="AI845" s="65" t="n"/>
      <c r="AJ845" s="65" t="n"/>
      <c r="AK845" s="65" t="n"/>
      <c r="AL845" s="65" t="n"/>
      <c r="AM845" s="65" t="n"/>
      <c r="AN845" s="65" t="n"/>
      <c r="AO845" s="65" t="n"/>
      <c r="AP845" s="65" t="n"/>
    </row>
    <row r="846">
      <c r="F846" s="68" t="n"/>
      <c r="G846" s="68">
        <f>IF(B846="","",F846-I846 )</f>
        <v/>
      </c>
      <c r="H846" s="5">
        <f>IF(G846="","",G846/F846)</f>
        <v/>
      </c>
      <c r="J846" s="65" t="n"/>
      <c r="K846" s="65" t="n"/>
      <c r="L846" s="65" t="n"/>
      <c r="M846" s="65" t="n"/>
      <c r="N846" s="65" t="n"/>
      <c r="O846" s="65" t="n"/>
      <c r="P846" s="65" t="n"/>
      <c r="Q846" s="65" t="n"/>
      <c r="R846" s="65" t="n"/>
      <c r="S846" s="65" t="n"/>
      <c r="T846" s="65" t="n"/>
      <c r="U846" s="65" t="n"/>
      <c r="V846" s="77" t="n"/>
      <c r="W846" s="65" t="n"/>
      <c r="X846" s="65" t="n"/>
      <c r="Y846" s="65" t="n"/>
      <c r="Z846" s="65" t="n"/>
      <c r="AA846" s="65" t="n"/>
      <c r="AB846" s="65" t="n"/>
      <c r="AC846" s="65" t="n"/>
      <c r="AD846" s="65" t="n"/>
      <c r="AE846" s="65" t="n"/>
      <c r="AF846" s="65" t="n"/>
      <c r="AG846" s="65" t="n"/>
      <c r="AH846" s="65" t="n"/>
      <c r="AI846" s="65" t="n"/>
      <c r="AJ846" s="65" t="n"/>
      <c r="AK846" s="65" t="n"/>
      <c r="AL846" s="65" t="n"/>
      <c r="AM846" s="65" t="n"/>
      <c r="AN846" s="65" t="n"/>
      <c r="AO846" s="65" t="n"/>
      <c r="AP846" s="65" t="n"/>
    </row>
    <row r="847">
      <c r="F847" s="68" t="n"/>
      <c r="G847" s="68">
        <f>IF(B847="","",F847-I847 )</f>
        <v/>
      </c>
      <c r="H847" s="5">
        <f>IF(G847="","",G847/F847)</f>
        <v/>
      </c>
      <c r="J847" s="65" t="n"/>
      <c r="K847" s="65" t="n"/>
      <c r="L847" s="65" t="n"/>
      <c r="M847" s="65" t="n"/>
      <c r="N847" s="65" t="n"/>
      <c r="O847" s="65" t="n"/>
      <c r="P847" s="65" t="n"/>
      <c r="Q847" s="65" t="n"/>
      <c r="R847" s="65" t="n"/>
      <c r="S847" s="65" t="n"/>
      <c r="T847" s="65" t="n"/>
      <c r="U847" s="65" t="n"/>
      <c r="V847" s="77" t="n"/>
      <c r="W847" s="65" t="n"/>
      <c r="X847" s="65" t="n"/>
      <c r="Y847" s="65" t="n"/>
      <c r="Z847" s="65" t="n"/>
      <c r="AA847" s="65" t="n"/>
      <c r="AB847" s="65" t="n"/>
      <c r="AC847" s="65" t="n"/>
      <c r="AD847" s="65" t="n"/>
      <c r="AE847" s="65" t="n"/>
      <c r="AF847" s="65" t="n"/>
      <c r="AG847" s="65" t="n"/>
      <c r="AH847" s="65" t="n"/>
      <c r="AI847" s="65" t="n"/>
      <c r="AJ847" s="65" t="n"/>
      <c r="AK847" s="65" t="n"/>
      <c r="AL847" s="65" t="n"/>
      <c r="AM847" s="65" t="n"/>
      <c r="AN847" s="65" t="n"/>
      <c r="AO847" s="65" t="n"/>
      <c r="AP847" s="65" t="n"/>
    </row>
    <row r="848">
      <c r="F848" s="68" t="n"/>
      <c r="G848" s="68">
        <f>IF(B848="","",F848-I848 )</f>
        <v/>
      </c>
      <c r="H848" s="5">
        <f>IF(G848="","",G848/F848)</f>
        <v/>
      </c>
      <c r="J848" s="65" t="n"/>
      <c r="K848" s="65" t="n"/>
      <c r="L848" s="65" t="n"/>
      <c r="M848" s="65" t="n"/>
      <c r="N848" s="65" t="n"/>
      <c r="O848" s="65" t="n"/>
      <c r="P848" s="65" t="n"/>
      <c r="Q848" s="65" t="n"/>
      <c r="R848" s="65" t="n"/>
      <c r="S848" s="65" t="n"/>
      <c r="T848" s="65" t="n"/>
      <c r="U848" s="65" t="n"/>
      <c r="V848" s="77" t="n"/>
      <c r="W848" s="65" t="n"/>
      <c r="X848" s="65" t="n"/>
      <c r="Y848" s="65" t="n"/>
      <c r="Z848" s="65" t="n"/>
      <c r="AA848" s="65" t="n"/>
      <c r="AB848" s="65" t="n"/>
      <c r="AC848" s="65" t="n"/>
      <c r="AD848" s="65" t="n"/>
      <c r="AE848" s="65" t="n"/>
      <c r="AF848" s="65" t="n"/>
      <c r="AG848" s="65" t="n"/>
      <c r="AH848" s="65" t="n"/>
      <c r="AI848" s="65" t="n"/>
      <c r="AJ848" s="65" t="n"/>
      <c r="AK848" s="65" t="n"/>
      <c r="AL848" s="65" t="n"/>
      <c r="AM848" s="65" t="n"/>
      <c r="AN848" s="65" t="n"/>
      <c r="AO848" s="65" t="n"/>
      <c r="AP848" s="65" t="n"/>
    </row>
    <row r="849">
      <c r="F849" s="68" t="n"/>
      <c r="G849" s="68">
        <f>IF(B849="","",F849-I849 )</f>
        <v/>
      </c>
      <c r="H849" s="5">
        <f>IF(G849="","",G849/F849)</f>
        <v/>
      </c>
      <c r="J849" s="65" t="n"/>
      <c r="K849" s="65" t="n"/>
      <c r="L849" s="65" t="n"/>
      <c r="M849" s="65" t="n"/>
      <c r="N849" s="65" t="n"/>
      <c r="O849" s="65" t="n"/>
      <c r="P849" s="65" t="n"/>
      <c r="Q849" s="65" t="n"/>
      <c r="R849" s="65" t="n"/>
      <c r="S849" s="65" t="n"/>
      <c r="T849" s="65" t="n"/>
      <c r="U849" s="65" t="n"/>
      <c r="V849" s="77" t="n"/>
      <c r="W849" s="65" t="n"/>
      <c r="X849" s="65" t="n"/>
      <c r="Y849" s="65" t="n"/>
      <c r="Z849" s="65" t="n"/>
      <c r="AA849" s="65" t="n"/>
      <c r="AB849" s="65" t="n"/>
      <c r="AC849" s="65" t="n"/>
      <c r="AD849" s="65" t="n"/>
      <c r="AE849" s="65" t="n"/>
      <c r="AF849" s="65" t="n"/>
      <c r="AG849" s="65" t="n"/>
      <c r="AH849" s="65" t="n"/>
      <c r="AI849" s="65" t="n"/>
      <c r="AJ849" s="65" t="n"/>
      <c r="AK849" s="65" t="n"/>
      <c r="AL849" s="65" t="n"/>
      <c r="AM849" s="65" t="n"/>
      <c r="AN849" s="65" t="n"/>
      <c r="AO849" s="65" t="n"/>
      <c r="AP849" s="65" t="n"/>
    </row>
    <row r="850">
      <c r="F850" s="68" t="n"/>
      <c r="G850" s="68">
        <f>IF(B850="","",F850-I850 )</f>
        <v/>
      </c>
      <c r="H850" s="5">
        <f>IF(G850="","",G850/F850)</f>
        <v/>
      </c>
      <c r="J850" s="65" t="n"/>
      <c r="K850" s="65" t="n"/>
      <c r="L850" s="65" t="n"/>
      <c r="M850" s="65" t="n"/>
      <c r="N850" s="65" t="n"/>
      <c r="O850" s="65" t="n"/>
      <c r="P850" s="65" t="n"/>
      <c r="Q850" s="65" t="n"/>
      <c r="R850" s="65" t="n"/>
      <c r="S850" s="65" t="n"/>
      <c r="T850" s="65" t="n"/>
      <c r="U850" s="65" t="n"/>
      <c r="V850" s="77" t="n"/>
      <c r="W850" s="65" t="n"/>
      <c r="X850" s="65" t="n"/>
      <c r="Y850" s="65" t="n"/>
      <c r="Z850" s="65" t="n"/>
      <c r="AA850" s="65" t="n"/>
      <c r="AB850" s="65" t="n"/>
      <c r="AC850" s="65" t="n"/>
      <c r="AD850" s="65" t="n"/>
      <c r="AE850" s="65" t="n"/>
      <c r="AF850" s="65" t="n"/>
      <c r="AG850" s="65" t="n"/>
      <c r="AH850" s="65" t="n"/>
      <c r="AI850" s="65" t="n"/>
      <c r="AJ850" s="65" t="n"/>
      <c r="AK850" s="65" t="n"/>
      <c r="AL850" s="65" t="n"/>
      <c r="AM850" s="65" t="n"/>
      <c r="AN850" s="65" t="n"/>
      <c r="AO850" s="65" t="n"/>
      <c r="AP850" s="65" t="n"/>
    </row>
    <row r="851">
      <c r="F851" s="68" t="n"/>
      <c r="G851" s="68">
        <f>IF(B851="","",F851-I851 )</f>
        <v/>
      </c>
      <c r="H851" s="5">
        <f>IF(G851="","",G851/F851)</f>
        <v/>
      </c>
      <c r="J851" s="65" t="n"/>
      <c r="K851" s="65" t="n"/>
      <c r="L851" s="65" t="n"/>
      <c r="M851" s="65" t="n"/>
      <c r="N851" s="65" t="n"/>
      <c r="O851" s="65" t="n"/>
      <c r="P851" s="65" t="n"/>
      <c r="Q851" s="65" t="n"/>
      <c r="R851" s="65" t="n"/>
      <c r="S851" s="65" t="n"/>
      <c r="T851" s="65" t="n"/>
      <c r="U851" s="65" t="n"/>
      <c r="V851" s="77" t="n"/>
      <c r="W851" s="65" t="n"/>
      <c r="X851" s="65" t="n"/>
      <c r="Y851" s="65" t="n"/>
      <c r="Z851" s="65" t="n"/>
      <c r="AA851" s="65" t="n"/>
      <c r="AB851" s="65" t="n"/>
      <c r="AC851" s="65" t="n"/>
      <c r="AD851" s="65" t="n"/>
      <c r="AE851" s="65" t="n"/>
      <c r="AF851" s="65" t="n"/>
      <c r="AG851" s="65" t="n"/>
      <c r="AH851" s="65" t="n"/>
      <c r="AI851" s="65" t="n"/>
      <c r="AJ851" s="65" t="n"/>
      <c r="AK851" s="65" t="n"/>
      <c r="AL851" s="65" t="n"/>
      <c r="AM851" s="65" t="n"/>
      <c r="AN851" s="65" t="n"/>
      <c r="AO851" s="65" t="n"/>
      <c r="AP851" s="65" t="n"/>
    </row>
    <row r="852">
      <c r="F852" s="68" t="n"/>
      <c r="G852" s="68">
        <f>IF(B852="","",F852-I852 )</f>
        <v/>
      </c>
      <c r="H852" s="5">
        <f>IF(G852="","",G852/F852)</f>
        <v/>
      </c>
      <c r="J852" s="65" t="n"/>
      <c r="K852" s="65" t="n"/>
      <c r="L852" s="65" t="n"/>
      <c r="M852" s="65" t="n"/>
      <c r="N852" s="65" t="n"/>
      <c r="O852" s="65" t="n"/>
      <c r="P852" s="65" t="n"/>
      <c r="Q852" s="65" t="n"/>
      <c r="R852" s="65" t="n"/>
      <c r="S852" s="65" t="n"/>
      <c r="T852" s="65" t="n"/>
      <c r="U852" s="65" t="n"/>
      <c r="V852" s="77" t="n"/>
      <c r="W852" s="65" t="n"/>
      <c r="X852" s="65" t="n"/>
      <c r="Y852" s="65" t="n"/>
      <c r="Z852" s="65" t="n"/>
      <c r="AA852" s="65" t="n"/>
      <c r="AB852" s="65" t="n"/>
      <c r="AC852" s="65" t="n"/>
      <c r="AD852" s="65" t="n"/>
      <c r="AE852" s="65" t="n"/>
      <c r="AF852" s="65" t="n"/>
      <c r="AG852" s="65" t="n"/>
      <c r="AH852" s="65" t="n"/>
      <c r="AI852" s="65" t="n"/>
      <c r="AJ852" s="65" t="n"/>
      <c r="AK852" s="65" t="n"/>
      <c r="AL852" s="65" t="n"/>
      <c r="AM852" s="65" t="n"/>
      <c r="AN852" s="65" t="n"/>
      <c r="AO852" s="65" t="n"/>
      <c r="AP852" s="65" t="n"/>
    </row>
    <row r="853">
      <c r="F853" s="68" t="n"/>
      <c r="G853" s="68">
        <f>IF(B853="","",F853-I853 )</f>
        <v/>
      </c>
      <c r="H853" s="5">
        <f>IF(G853="","",G853/F853)</f>
        <v/>
      </c>
      <c r="J853" s="65" t="n"/>
      <c r="K853" s="65" t="n"/>
      <c r="L853" s="65" t="n"/>
      <c r="M853" s="65" t="n"/>
      <c r="N853" s="65" t="n"/>
      <c r="O853" s="65" t="n"/>
      <c r="P853" s="65" t="n"/>
      <c r="Q853" s="65" t="n"/>
      <c r="R853" s="65" t="n"/>
      <c r="S853" s="65" t="n"/>
      <c r="T853" s="65" t="n"/>
      <c r="U853" s="65" t="n"/>
      <c r="V853" s="77" t="n"/>
      <c r="W853" s="65" t="n"/>
      <c r="X853" s="65" t="n"/>
      <c r="Y853" s="65" t="n"/>
      <c r="Z853" s="65" t="n"/>
      <c r="AA853" s="65" t="n"/>
      <c r="AB853" s="65" t="n"/>
      <c r="AC853" s="65" t="n"/>
      <c r="AD853" s="65" t="n"/>
      <c r="AE853" s="65" t="n"/>
      <c r="AF853" s="65" t="n"/>
      <c r="AG853" s="65" t="n"/>
      <c r="AH853" s="65" t="n"/>
      <c r="AI853" s="65" t="n"/>
      <c r="AJ853" s="65" t="n"/>
      <c r="AK853" s="65" t="n"/>
      <c r="AL853" s="65" t="n"/>
      <c r="AM853" s="65" t="n"/>
      <c r="AN853" s="65" t="n"/>
      <c r="AO853" s="65" t="n"/>
      <c r="AP853" s="65" t="n"/>
    </row>
    <row r="854">
      <c r="F854" s="68" t="n"/>
      <c r="G854" s="68">
        <f>IF(B854="","",F854-I854 )</f>
        <v/>
      </c>
      <c r="H854" s="5">
        <f>IF(G854="","",G854/F854)</f>
        <v/>
      </c>
      <c r="J854" s="65" t="n"/>
      <c r="K854" s="65" t="n"/>
      <c r="L854" s="65" t="n"/>
      <c r="M854" s="65" t="n"/>
      <c r="N854" s="65" t="n"/>
      <c r="O854" s="65" t="n"/>
      <c r="P854" s="65" t="n"/>
      <c r="Q854" s="65" t="n"/>
      <c r="R854" s="65" t="n"/>
      <c r="S854" s="65" t="n"/>
      <c r="T854" s="65" t="n"/>
      <c r="U854" s="65" t="n"/>
      <c r="V854" s="77" t="n"/>
      <c r="W854" s="65" t="n"/>
      <c r="X854" s="65" t="n"/>
      <c r="Y854" s="65" t="n"/>
      <c r="Z854" s="65" t="n"/>
      <c r="AA854" s="65" t="n"/>
      <c r="AB854" s="65" t="n"/>
      <c r="AC854" s="65" t="n"/>
      <c r="AD854" s="65" t="n"/>
      <c r="AE854" s="65" t="n"/>
      <c r="AF854" s="65" t="n"/>
      <c r="AG854" s="65" t="n"/>
      <c r="AH854" s="65" t="n"/>
      <c r="AI854" s="65" t="n"/>
      <c r="AJ854" s="65" t="n"/>
      <c r="AK854" s="65" t="n"/>
      <c r="AL854" s="65" t="n"/>
      <c r="AM854" s="65" t="n"/>
      <c r="AN854" s="65" t="n"/>
      <c r="AO854" s="65" t="n"/>
      <c r="AP854" s="65" t="n"/>
    </row>
    <row r="855">
      <c r="F855" s="68" t="n"/>
      <c r="G855" s="68">
        <f>IF(B855="","",F855-I855 )</f>
        <v/>
      </c>
      <c r="H855" s="5">
        <f>IF(G855="","",G855/F855)</f>
        <v/>
      </c>
      <c r="J855" s="65" t="n"/>
      <c r="K855" s="65" t="n"/>
      <c r="L855" s="65" t="n"/>
      <c r="M855" s="65" t="n"/>
      <c r="N855" s="65" t="n"/>
      <c r="O855" s="65" t="n"/>
      <c r="P855" s="65" t="n"/>
      <c r="Q855" s="65" t="n"/>
      <c r="R855" s="65" t="n"/>
      <c r="S855" s="65" t="n"/>
      <c r="T855" s="65" t="n"/>
      <c r="U855" s="65" t="n"/>
      <c r="V855" s="77" t="n"/>
      <c r="W855" s="65" t="n"/>
      <c r="X855" s="65" t="n"/>
      <c r="Y855" s="65" t="n"/>
      <c r="Z855" s="65" t="n"/>
      <c r="AA855" s="65" t="n"/>
      <c r="AB855" s="65" t="n"/>
      <c r="AC855" s="65" t="n"/>
      <c r="AD855" s="65" t="n"/>
      <c r="AE855" s="65" t="n"/>
      <c r="AF855" s="65" t="n"/>
      <c r="AG855" s="65" t="n"/>
      <c r="AH855" s="65" t="n"/>
      <c r="AI855" s="65" t="n"/>
      <c r="AJ855" s="65" t="n"/>
      <c r="AK855" s="65" t="n"/>
      <c r="AL855" s="65" t="n"/>
      <c r="AM855" s="65" t="n"/>
      <c r="AN855" s="65" t="n"/>
      <c r="AO855" s="65" t="n"/>
      <c r="AP855" s="65" t="n"/>
    </row>
    <row r="856">
      <c r="F856" s="68" t="n"/>
      <c r="G856" s="68">
        <f>IF(B856="","",F856-I856 )</f>
        <v/>
      </c>
      <c r="H856" s="5">
        <f>IF(G856="","",G856/F856)</f>
        <v/>
      </c>
      <c r="J856" s="65" t="n"/>
      <c r="K856" s="65" t="n"/>
      <c r="L856" s="65" t="n"/>
      <c r="M856" s="65" t="n"/>
      <c r="N856" s="65" t="n"/>
      <c r="O856" s="65" t="n"/>
      <c r="P856" s="65" t="n"/>
      <c r="Q856" s="65" t="n"/>
      <c r="R856" s="65" t="n"/>
      <c r="S856" s="65" t="n"/>
      <c r="T856" s="65" t="n"/>
      <c r="U856" s="65" t="n"/>
      <c r="V856" s="77" t="n"/>
      <c r="W856" s="65" t="n"/>
      <c r="X856" s="65" t="n"/>
      <c r="Y856" s="65" t="n"/>
      <c r="Z856" s="65" t="n"/>
      <c r="AA856" s="65" t="n"/>
      <c r="AB856" s="65" t="n"/>
      <c r="AC856" s="65" t="n"/>
      <c r="AD856" s="65" t="n"/>
      <c r="AE856" s="65" t="n"/>
      <c r="AF856" s="65" t="n"/>
      <c r="AG856" s="65" t="n"/>
      <c r="AH856" s="65" t="n"/>
      <c r="AI856" s="65" t="n"/>
      <c r="AJ856" s="65" t="n"/>
      <c r="AK856" s="65" t="n"/>
      <c r="AL856" s="65" t="n"/>
      <c r="AM856" s="65" t="n"/>
      <c r="AN856" s="65" t="n"/>
      <c r="AO856" s="65" t="n"/>
      <c r="AP856" s="65" t="n"/>
    </row>
    <row r="857">
      <c r="F857" s="68" t="n"/>
      <c r="G857" s="68">
        <f>IF(B857="","",F857-I857 )</f>
        <v/>
      </c>
      <c r="H857" s="5">
        <f>IF(G857="","",G857/F857)</f>
        <v/>
      </c>
      <c r="J857" s="65" t="n"/>
      <c r="K857" s="65" t="n"/>
      <c r="L857" s="65" t="n"/>
      <c r="M857" s="65" t="n"/>
      <c r="N857" s="65" t="n"/>
      <c r="O857" s="65" t="n"/>
      <c r="P857" s="65" t="n"/>
      <c r="Q857" s="65" t="n"/>
      <c r="R857" s="65" t="n"/>
      <c r="S857" s="65" t="n"/>
      <c r="T857" s="65" t="n"/>
      <c r="U857" s="65" t="n"/>
      <c r="V857" s="77" t="n"/>
      <c r="W857" s="65" t="n"/>
      <c r="X857" s="65" t="n"/>
      <c r="Y857" s="65" t="n"/>
      <c r="Z857" s="65" t="n"/>
      <c r="AA857" s="65" t="n"/>
      <c r="AB857" s="65" t="n"/>
      <c r="AC857" s="65" t="n"/>
      <c r="AD857" s="65" t="n"/>
      <c r="AE857" s="65" t="n"/>
      <c r="AF857" s="65" t="n"/>
      <c r="AG857" s="65" t="n"/>
      <c r="AH857" s="65" t="n"/>
      <c r="AI857" s="65" t="n"/>
      <c r="AJ857" s="65" t="n"/>
      <c r="AK857" s="65" t="n"/>
      <c r="AL857" s="65" t="n"/>
      <c r="AM857" s="65" t="n"/>
      <c r="AN857" s="65" t="n"/>
      <c r="AO857" s="65" t="n"/>
      <c r="AP857" s="65" t="n"/>
    </row>
    <row r="858">
      <c r="F858" s="68" t="n"/>
      <c r="G858" s="68">
        <f>IF(B858="","",F858-I858 )</f>
        <v/>
      </c>
      <c r="H858" s="5">
        <f>IF(G858="","",G858/F858)</f>
        <v/>
      </c>
      <c r="J858" s="65" t="n"/>
      <c r="K858" s="65" t="n"/>
      <c r="L858" s="65" t="n"/>
      <c r="M858" s="65" t="n"/>
      <c r="N858" s="65" t="n"/>
      <c r="O858" s="65" t="n"/>
      <c r="P858" s="65" t="n"/>
      <c r="Q858" s="65" t="n"/>
      <c r="R858" s="65" t="n"/>
      <c r="S858" s="65" t="n"/>
      <c r="T858" s="65" t="n"/>
      <c r="U858" s="65" t="n"/>
      <c r="V858" s="77" t="n"/>
      <c r="W858" s="65" t="n"/>
      <c r="X858" s="65" t="n"/>
      <c r="Y858" s="65" t="n"/>
      <c r="Z858" s="65" t="n"/>
      <c r="AA858" s="65" t="n"/>
      <c r="AB858" s="65" t="n"/>
      <c r="AC858" s="65" t="n"/>
      <c r="AD858" s="65" t="n"/>
      <c r="AE858" s="65" t="n"/>
      <c r="AF858" s="65" t="n"/>
      <c r="AG858" s="65" t="n"/>
      <c r="AH858" s="65" t="n"/>
      <c r="AI858" s="65" t="n"/>
      <c r="AJ858" s="65" t="n"/>
      <c r="AK858" s="65" t="n"/>
      <c r="AL858" s="65" t="n"/>
      <c r="AM858" s="65" t="n"/>
      <c r="AN858" s="65" t="n"/>
      <c r="AO858" s="65" t="n"/>
      <c r="AP858" s="65" t="n"/>
    </row>
    <row r="859">
      <c r="F859" s="68" t="n"/>
      <c r="G859" s="68">
        <f>IF(B859="","",F859-I859 )</f>
        <v/>
      </c>
      <c r="H859" s="5">
        <f>IF(G859="","",G859/F859)</f>
        <v/>
      </c>
      <c r="J859" s="65" t="n"/>
      <c r="K859" s="65" t="n"/>
      <c r="L859" s="65" t="n"/>
      <c r="M859" s="65" t="n"/>
      <c r="N859" s="65" t="n"/>
      <c r="O859" s="65" t="n"/>
      <c r="P859" s="65" t="n"/>
      <c r="Q859" s="65" t="n"/>
      <c r="R859" s="65" t="n"/>
      <c r="S859" s="65" t="n"/>
      <c r="T859" s="65" t="n"/>
      <c r="U859" s="65" t="n"/>
      <c r="V859" s="77" t="n"/>
      <c r="W859" s="65" t="n"/>
      <c r="X859" s="65" t="n"/>
      <c r="Y859" s="65" t="n"/>
      <c r="Z859" s="65" t="n"/>
      <c r="AA859" s="65" t="n"/>
      <c r="AB859" s="65" t="n"/>
      <c r="AC859" s="65" t="n"/>
      <c r="AD859" s="65" t="n"/>
      <c r="AE859" s="65" t="n"/>
      <c r="AF859" s="65" t="n"/>
      <c r="AG859" s="65" t="n"/>
      <c r="AH859" s="65" t="n"/>
      <c r="AI859" s="65" t="n"/>
      <c r="AJ859" s="65" t="n"/>
      <c r="AK859" s="65" t="n"/>
      <c r="AL859" s="65" t="n"/>
      <c r="AM859" s="65" t="n"/>
      <c r="AN859" s="65" t="n"/>
      <c r="AO859" s="65" t="n"/>
      <c r="AP859" s="65" t="n"/>
    </row>
    <row r="860">
      <c r="F860" s="68" t="n"/>
      <c r="G860" s="68">
        <f>IF(B860="","",F860-I860 )</f>
        <v/>
      </c>
      <c r="H860" s="5">
        <f>IF(G860="","",G860/F860)</f>
        <v/>
      </c>
      <c r="J860" s="65" t="n"/>
      <c r="K860" s="65" t="n"/>
      <c r="L860" s="65" t="n"/>
      <c r="M860" s="65" t="n"/>
      <c r="N860" s="65" t="n"/>
      <c r="O860" s="65" t="n"/>
      <c r="P860" s="65" t="n"/>
      <c r="Q860" s="65" t="n"/>
      <c r="R860" s="65" t="n"/>
      <c r="S860" s="65" t="n"/>
      <c r="T860" s="65" t="n"/>
      <c r="U860" s="65" t="n"/>
      <c r="V860" s="77" t="n"/>
      <c r="W860" s="65" t="n"/>
      <c r="X860" s="65" t="n"/>
      <c r="Y860" s="65" t="n"/>
      <c r="Z860" s="65" t="n"/>
      <c r="AA860" s="65" t="n"/>
      <c r="AB860" s="65" t="n"/>
      <c r="AC860" s="65" t="n"/>
      <c r="AD860" s="65" t="n"/>
      <c r="AE860" s="65" t="n"/>
      <c r="AF860" s="65" t="n"/>
      <c r="AG860" s="65" t="n"/>
      <c r="AH860" s="65" t="n"/>
      <c r="AI860" s="65" t="n"/>
      <c r="AJ860" s="65" t="n"/>
      <c r="AK860" s="65" t="n"/>
      <c r="AL860" s="65" t="n"/>
      <c r="AM860" s="65" t="n"/>
      <c r="AN860" s="65" t="n"/>
      <c r="AO860" s="65" t="n"/>
      <c r="AP860" s="65" t="n"/>
    </row>
    <row r="861">
      <c r="F861" s="68" t="n"/>
      <c r="G861" s="68">
        <f>IF(B861="","",F861-I861 )</f>
        <v/>
      </c>
      <c r="H861" s="5">
        <f>IF(G861="","",G861/F861)</f>
        <v/>
      </c>
      <c r="J861" s="65" t="n"/>
      <c r="K861" s="65" t="n"/>
      <c r="L861" s="65" t="n"/>
      <c r="M861" s="65" t="n"/>
      <c r="N861" s="65" t="n"/>
      <c r="O861" s="65" t="n"/>
      <c r="P861" s="65" t="n"/>
      <c r="Q861" s="65" t="n"/>
      <c r="R861" s="65" t="n"/>
      <c r="S861" s="65" t="n"/>
      <c r="T861" s="65" t="n"/>
      <c r="U861" s="65" t="n"/>
      <c r="V861" s="77" t="n"/>
      <c r="W861" s="65" t="n"/>
      <c r="X861" s="65" t="n"/>
      <c r="Y861" s="65" t="n"/>
      <c r="Z861" s="65" t="n"/>
      <c r="AA861" s="65" t="n"/>
      <c r="AB861" s="65" t="n"/>
      <c r="AC861" s="65" t="n"/>
      <c r="AD861" s="65" t="n"/>
      <c r="AE861" s="65" t="n"/>
      <c r="AF861" s="65" t="n"/>
      <c r="AG861" s="65" t="n"/>
      <c r="AH861" s="65" t="n"/>
      <c r="AI861" s="65" t="n"/>
      <c r="AJ861" s="65" t="n"/>
      <c r="AK861" s="65" t="n"/>
      <c r="AL861" s="65" t="n"/>
      <c r="AM861" s="65" t="n"/>
      <c r="AN861" s="65" t="n"/>
      <c r="AO861" s="65" t="n"/>
      <c r="AP861" s="65" t="n"/>
    </row>
    <row r="862">
      <c r="F862" s="68" t="n"/>
      <c r="G862" s="68">
        <f>IF(B862="","",F862-I862 )</f>
        <v/>
      </c>
      <c r="H862" s="5">
        <f>IF(G862="","",G862/F862)</f>
        <v/>
      </c>
      <c r="J862" s="65" t="n"/>
      <c r="K862" s="65" t="n"/>
      <c r="L862" s="65" t="n"/>
      <c r="M862" s="65" t="n"/>
      <c r="N862" s="65" t="n"/>
      <c r="O862" s="65" t="n"/>
      <c r="P862" s="65" t="n"/>
      <c r="Q862" s="65" t="n"/>
      <c r="R862" s="65" t="n"/>
      <c r="S862" s="65" t="n"/>
      <c r="T862" s="65" t="n"/>
      <c r="U862" s="65" t="n"/>
      <c r="V862" s="77" t="n"/>
      <c r="W862" s="65" t="n"/>
      <c r="X862" s="65" t="n"/>
      <c r="Y862" s="65" t="n"/>
      <c r="Z862" s="65" t="n"/>
      <c r="AA862" s="65" t="n"/>
      <c r="AB862" s="65" t="n"/>
      <c r="AC862" s="65" t="n"/>
      <c r="AD862" s="65" t="n"/>
      <c r="AE862" s="65" t="n"/>
      <c r="AF862" s="65" t="n"/>
      <c r="AG862" s="65" t="n"/>
      <c r="AH862" s="65" t="n"/>
      <c r="AI862" s="65" t="n"/>
      <c r="AJ862" s="65" t="n"/>
      <c r="AK862" s="65" t="n"/>
      <c r="AL862" s="65" t="n"/>
      <c r="AM862" s="65" t="n"/>
      <c r="AN862" s="65" t="n"/>
      <c r="AO862" s="65" t="n"/>
      <c r="AP862" s="65" t="n"/>
    </row>
    <row r="863">
      <c r="F863" s="68" t="n"/>
      <c r="G863" s="68">
        <f>IF(B863="","",F863-I863 )</f>
        <v/>
      </c>
      <c r="H863" s="5">
        <f>IF(G863="","",G863/F863)</f>
        <v/>
      </c>
      <c r="J863" s="65" t="n"/>
      <c r="K863" s="65" t="n"/>
      <c r="L863" s="65" t="n"/>
      <c r="M863" s="65" t="n"/>
      <c r="N863" s="65" t="n"/>
      <c r="O863" s="65" t="n"/>
      <c r="P863" s="65" t="n"/>
      <c r="Q863" s="65" t="n"/>
      <c r="R863" s="65" t="n"/>
      <c r="S863" s="65" t="n"/>
      <c r="T863" s="65" t="n"/>
      <c r="U863" s="65" t="n"/>
      <c r="V863" s="77" t="n"/>
      <c r="W863" s="65" t="n"/>
      <c r="X863" s="65" t="n"/>
      <c r="Y863" s="65" t="n"/>
      <c r="Z863" s="65" t="n"/>
      <c r="AA863" s="65" t="n"/>
      <c r="AB863" s="65" t="n"/>
      <c r="AC863" s="65" t="n"/>
      <c r="AD863" s="65" t="n"/>
      <c r="AE863" s="65" t="n"/>
      <c r="AF863" s="65" t="n"/>
      <c r="AG863" s="65" t="n"/>
      <c r="AH863" s="65" t="n"/>
      <c r="AI863" s="65" t="n"/>
      <c r="AJ863" s="65" t="n"/>
      <c r="AK863" s="65" t="n"/>
      <c r="AL863" s="65" t="n"/>
      <c r="AM863" s="65" t="n"/>
      <c r="AN863" s="65" t="n"/>
      <c r="AO863" s="65" t="n"/>
      <c r="AP863" s="65" t="n"/>
    </row>
    <row r="864">
      <c r="F864" s="68" t="n"/>
      <c r="G864" s="68">
        <f>IF(B864="","",F864-I864 )</f>
        <v/>
      </c>
      <c r="H864" s="5">
        <f>IF(G864="","",G864/F864)</f>
        <v/>
      </c>
      <c r="J864" s="65" t="n"/>
      <c r="K864" s="65" t="n"/>
      <c r="L864" s="65" t="n"/>
      <c r="M864" s="65" t="n"/>
      <c r="N864" s="65" t="n"/>
      <c r="O864" s="65" t="n"/>
      <c r="P864" s="65" t="n"/>
      <c r="Q864" s="65" t="n"/>
      <c r="R864" s="65" t="n"/>
      <c r="S864" s="65" t="n"/>
      <c r="T864" s="65" t="n"/>
      <c r="U864" s="65" t="n"/>
      <c r="V864" s="77" t="n"/>
      <c r="W864" s="65" t="n"/>
      <c r="X864" s="65" t="n"/>
      <c r="Y864" s="65" t="n"/>
      <c r="Z864" s="65" t="n"/>
      <c r="AA864" s="65" t="n"/>
      <c r="AB864" s="65" t="n"/>
      <c r="AC864" s="65" t="n"/>
      <c r="AD864" s="65" t="n"/>
      <c r="AE864" s="65" t="n"/>
      <c r="AF864" s="65" t="n"/>
      <c r="AG864" s="65" t="n"/>
      <c r="AH864" s="65" t="n"/>
      <c r="AI864" s="65" t="n"/>
      <c r="AJ864" s="65" t="n"/>
      <c r="AK864" s="65" t="n"/>
      <c r="AL864" s="65" t="n"/>
      <c r="AM864" s="65" t="n"/>
      <c r="AN864" s="65" t="n"/>
      <c r="AO864" s="65" t="n"/>
      <c r="AP864" s="65" t="n"/>
    </row>
    <row r="865">
      <c r="F865" s="68" t="n"/>
      <c r="G865" s="68">
        <f>IF(B865="","",F865-I865 )</f>
        <v/>
      </c>
      <c r="H865" s="5">
        <f>IF(G865="","",G865/F865)</f>
        <v/>
      </c>
      <c r="J865" s="65" t="n"/>
      <c r="K865" s="65" t="n"/>
      <c r="L865" s="65" t="n"/>
      <c r="M865" s="65" t="n"/>
      <c r="N865" s="65" t="n"/>
      <c r="O865" s="65" t="n"/>
      <c r="P865" s="65" t="n"/>
      <c r="Q865" s="65" t="n"/>
      <c r="R865" s="65" t="n"/>
      <c r="S865" s="65" t="n"/>
      <c r="T865" s="65" t="n"/>
      <c r="U865" s="65" t="n"/>
      <c r="V865" s="77" t="n"/>
      <c r="W865" s="65" t="n"/>
      <c r="X865" s="65" t="n"/>
      <c r="Y865" s="65" t="n"/>
      <c r="Z865" s="65" t="n"/>
      <c r="AA865" s="65" t="n"/>
      <c r="AB865" s="65" t="n"/>
      <c r="AC865" s="65" t="n"/>
      <c r="AD865" s="65" t="n"/>
      <c r="AE865" s="65" t="n"/>
      <c r="AF865" s="65" t="n"/>
      <c r="AG865" s="65" t="n"/>
      <c r="AH865" s="65" t="n"/>
      <c r="AI865" s="65" t="n"/>
      <c r="AJ865" s="65" t="n"/>
      <c r="AK865" s="65" t="n"/>
      <c r="AL865" s="65" t="n"/>
      <c r="AM865" s="65" t="n"/>
      <c r="AN865" s="65" t="n"/>
      <c r="AO865" s="65" t="n"/>
      <c r="AP865" s="65" t="n"/>
    </row>
    <row r="866">
      <c r="F866" s="68" t="n"/>
      <c r="G866" s="68">
        <f>IF(B866="","",F866-I866 )</f>
        <v/>
      </c>
      <c r="H866" s="5">
        <f>IF(G866="","",G866/F866)</f>
        <v/>
      </c>
      <c r="J866" s="65" t="n"/>
      <c r="K866" s="65" t="n"/>
      <c r="L866" s="65" t="n"/>
      <c r="M866" s="65" t="n"/>
      <c r="N866" s="65" t="n"/>
      <c r="O866" s="65" t="n"/>
      <c r="P866" s="65" t="n"/>
      <c r="Q866" s="65" t="n"/>
      <c r="R866" s="65" t="n"/>
      <c r="S866" s="65" t="n"/>
      <c r="T866" s="65" t="n"/>
      <c r="U866" s="65" t="n"/>
      <c r="V866" s="77" t="n"/>
      <c r="W866" s="65" t="n"/>
      <c r="X866" s="65" t="n"/>
      <c r="Y866" s="65" t="n"/>
      <c r="Z866" s="65" t="n"/>
      <c r="AA866" s="65" t="n"/>
      <c r="AB866" s="65" t="n"/>
      <c r="AC866" s="65" t="n"/>
      <c r="AD866" s="65" t="n"/>
      <c r="AE866" s="65" t="n"/>
      <c r="AF866" s="65" t="n"/>
      <c r="AG866" s="65" t="n"/>
      <c r="AH866" s="65" t="n"/>
      <c r="AI866" s="65" t="n"/>
      <c r="AJ866" s="65" t="n"/>
      <c r="AK866" s="65" t="n"/>
      <c r="AL866" s="65" t="n"/>
      <c r="AM866" s="65" t="n"/>
      <c r="AN866" s="65" t="n"/>
      <c r="AO866" s="65" t="n"/>
      <c r="AP866" s="65" t="n"/>
    </row>
    <row r="867">
      <c r="F867" s="68" t="n"/>
      <c r="G867" s="68">
        <f>IF(B867="","",F867-I867 )</f>
        <v/>
      </c>
      <c r="H867" s="5">
        <f>IF(G867="","",G867/F867)</f>
        <v/>
      </c>
      <c r="J867" s="65" t="n"/>
      <c r="K867" s="65" t="n"/>
      <c r="L867" s="65" t="n"/>
      <c r="M867" s="65" t="n"/>
      <c r="N867" s="65" t="n"/>
      <c r="O867" s="65" t="n"/>
      <c r="P867" s="65" t="n"/>
      <c r="Q867" s="65" t="n"/>
      <c r="R867" s="65" t="n"/>
      <c r="S867" s="65" t="n"/>
      <c r="T867" s="65" t="n"/>
      <c r="U867" s="65" t="n"/>
      <c r="V867" s="77" t="n"/>
      <c r="W867" s="65" t="n"/>
      <c r="X867" s="65" t="n"/>
      <c r="Y867" s="65" t="n"/>
      <c r="Z867" s="65" t="n"/>
      <c r="AA867" s="65" t="n"/>
      <c r="AB867" s="65" t="n"/>
      <c r="AC867" s="65" t="n"/>
      <c r="AD867" s="65" t="n"/>
      <c r="AE867" s="65" t="n"/>
      <c r="AF867" s="65" t="n"/>
      <c r="AG867" s="65" t="n"/>
      <c r="AH867" s="65" t="n"/>
      <c r="AI867" s="65" t="n"/>
      <c r="AJ867" s="65" t="n"/>
      <c r="AK867" s="65" t="n"/>
      <c r="AL867" s="65" t="n"/>
      <c r="AM867" s="65" t="n"/>
      <c r="AN867" s="65" t="n"/>
      <c r="AO867" s="65" t="n"/>
      <c r="AP867" s="65" t="n"/>
    </row>
    <row r="868">
      <c r="F868" s="68" t="n"/>
      <c r="G868" s="68">
        <f>IF(B868="","",F868-I868 )</f>
        <v/>
      </c>
      <c r="H868" s="5">
        <f>IF(G868="","",G868/F868)</f>
        <v/>
      </c>
      <c r="J868" s="65" t="n"/>
      <c r="K868" s="65" t="n"/>
      <c r="L868" s="65" t="n"/>
      <c r="M868" s="65" t="n"/>
      <c r="N868" s="65" t="n"/>
      <c r="O868" s="65" t="n"/>
      <c r="P868" s="65" t="n"/>
      <c r="Q868" s="65" t="n"/>
      <c r="R868" s="65" t="n"/>
      <c r="S868" s="65" t="n"/>
      <c r="T868" s="65" t="n"/>
      <c r="U868" s="65" t="n"/>
      <c r="V868" s="77" t="n"/>
      <c r="W868" s="65" t="n"/>
      <c r="X868" s="65" t="n"/>
      <c r="Y868" s="65" t="n"/>
      <c r="Z868" s="65" t="n"/>
      <c r="AA868" s="65" t="n"/>
      <c r="AB868" s="65" t="n"/>
      <c r="AC868" s="65" t="n"/>
      <c r="AD868" s="65" t="n"/>
      <c r="AE868" s="65" t="n"/>
      <c r="AF868" s="65" t="n"/>
      <c r="AG868" s="65" t="n"/>
      <c r="AH868" s="65" t="n"/>
      <c r="AI868" s="65" t="n"/>
      <c r="AJ868" s="65" t="n"/>
      <c r="AK868" s="65" t="n"/>
      <c r="AL868" s="65" t="n"/>
      <c r="AM868" s="65" t="n"/>
      <c r="AN868" s="65" t="n"/>
      <c r="AO868" s="65" t="n"/>
      <c r="AP868" s="65" t="n"/>
    </row>
    <row r="869">
      <c r="F869" s="68" t="n"/>
      <c r="G869" s="68">
        <f>IF(B869="","",F869-I869 )</f>
        <v/>
      </c>
      <c r="H869" s="5">
        <f>IF(G869="","",G869/F869)</f>
        <v/>
      </c>
      <c r="J869" s="65" t="n"/>
      <c r="K869" s="65" t="n"/>
      <c r="L869" s="65" t="n"/>
      <c r="M869" s="65" t="n"/>
      <c r="N869" s="65" t="n"/>
      <c r="O869" s="65" t="n"/>
      <c r="P869" s="65" t="n"/>
      <c r="Q869" s="65" t="n"/>
      <c r="R869" s="65" t="n"/>
      <c r="S869" s="65" t="n"/>
      <c r="T869" s="65" t="n"/>
      <c r="U869" s="65" t="n"/>
      <c r="V869" s="77" t="n"/>
      <c r="W869" s="65" t="n"/>
      <c r="X869" s="65" t="n"/>
      <c r="Y869" s="65" t="n"/>
      <c r="Z869" s="65" t="n"/>
      <c r="AA869" s="65" t="n"/>
      <c r="AB869" s="65" t="n"/>
      <c r="AC869" s="65" t="n"/>
      <c r="AD869" s="65" t="n"/>
      <c r="AE869" s="65" t="n"/>
      <c r="AF869" s="65" t="n"/>
      <c r="AG869" s="65" t="n"/>
      <c r="AH869" s="65" t="n"/>
      <c r="AI869" s="65" t="n"/>
      <c r="AJ869" s="65" t="n"/>
      <c r="AK869" s="65" t="n"/>
      <c r="AL869" s="65" t="n"/>
      <c r="AM869" s="65" t="n"/>
      <c r="AN869" s="65" t="n"/>
      <c r="AO869" s="65" t="n"/>
      <c r="AP869" s="65" t="n"/>
    </row>
    <row r="870">
      <c r="F870" s="68" t="n"/>
      <c r="G870" s="68">
        <f>IF(B870="","",F870-I870 )</f>
        <v/>
      </c>
      <c r="H870" s="5">
        <f>IF(G870="","",G870/F870)</f>
        <v/>
      </c>
      <c r="J870" s="65" t="n"/>
      <c r="K870" s="65" t="n"/>
      <c r="L870" s="65" t="n"/>
      <c r="M870" s="65" t="n"/>
      <c r="N870" s="65" t="n"/>
      <c r="O870" s="65" t="n"/>
      <c r="P870" s="65" t="n"/>
      <c r="Q870" s="65" t="n"/>
      <c r="R870" s="65" t="n"/>
      <c r="S870" s="65" t="n"/>
      <c r="T870" s="65" t="n"/>
      <c r="U870" s="65" t="n"/>
      <c r="V870" s="77" t="n"/>
      <c r="W870" s="65" t="n"/>
      <c r="X870" s="65" t="n"/>
      <c r="Y870" s="65" t="n"/>
      <c r="Z870" s="65" t="n"/>
      <c r="AA870" s="65" t="n"/>
      <c r="AB870" s="65" t="n"/>
      <c r="AC870" s="65" t="n"/>
      <c r="AD870" s="65" t="n"/>
      <c r="AE870" s="65" t="n"/>
      <c r="AF870" s="65" t="n"/>
      <c r="AG870" s="65" t="n"/>
      <c r="AH870" s="65" t="n"/>
      <c r="AI870" s="65" t="n"/>
      <c r="AJ870" s="65" t="n"/>
      <c r="AK870" s="65" t="n"/>
      <c r="AL870" s="65" t="n"/>
      <c r="AM870" s="65" t="n"/>
      <c r="AN870" s="65" t="n"/>
      <c r="AO870" s="65" t="n"/>
      <c r="AP870" s="65" t="n"/>
    </row>
    <row r="871">
      <c r="F871" s="68" t="n"/>
      <c r="G871" s="68">
        <f>IF(B871="","",F871-I871 )</f>
        <v/>
      </c>
      <c r="H871" s="5">
        <f>IF(G871="","",G871/F871)</f>
        <v/>
      </c>
      <c r="J871" s="65" t="n"/>
      <c r="K871" s="65" t="n"/>
      <c r="L871" s="65" t="n"/>
      <c r="M871" s="65" t="n"/>
      <c r="N871" s="65" t="n"/>
      <c r="O871" s="65" t="n"/>
      <c r="P871" s="65" t="n"/>
      <c r="Q871" s="65" t="n"/>
      <c r="R871" s="65" t="n"/>
      <c r="S871" s="65" t="n"/>
      <c r="T871" s="65" t="n"/>
      <c r="U871" s="65" t="n"/>
      <c r="V871" s="77" t="n"/>
      <c r="W871" s="65" t="n"/>
      <c r="X871" s="65" t="n"/>
      <c r="Y871" s="65" t="n"/>
      <c r="Z871" s="65" t="n"/>
      <c r="AA871" s="65" t="n"/>
      <c r="AB871" s="65" t="n"/>
      <c r="AC871" s="65" t="n"/>
      <c r="AD871" s="65" t="n"/>
      <c r="AE871" s="65" t="n"/>
      <c r="AF871" s="65" t="n"/>
      <c r="AG871" s="65" t="n"/>
      <c r="AH871" s="65" t="n"/>
      <c r="AI871" s="65" t="n"/>
      <c r="AJ871" s="65" t="n"/>
      <c r="AK871" s="65" t="n"/>
      <c r="AL871" s="65" t="n"/>
      <c r="AM871" s="65" t="n"/>
      <c r="AN871" s="65" t="n"/>
      <c r="AO871" s="65" t="n"/>
      <c r="AP871" s="65" t="n"/>
    </row>
    <row r="872">
      <c r="F872" s="68" t="n"/>
      <c r="G872" s="68">
        <f>IF(B872="","",F872-I872 )</f>
        <v/>
      </c>
      <c r="H872" s="5">
        <f>IF(G872="","",G872/F872)</f>
        <v/>
      </c>
      <c r="J872" s="65" t="n"/>
      <c r="K872" s="65" t="n"/>
      <c r="L872" s="65" t="n"/>
      <c r="M872" s="65" t="n"/>
      <c r="N872" s="65" t="n"/>
      <c r="O872" s="65" t="n"/>
      <c r="P872" s="65" t="n"/>
      <c r="Q872" s="65" t="n"/>
      <c r="R872" s="65" t="n"/>
      <c r="S872" s="65" t="n"/>
      <c r="T872" s="65" t="n"/>
      <c r="U872" s="65" t="n"/>
      <c r="V872" s="77" t="n"/>
      <c r="W872" s="65" t="n"/>
      <c r="X872" s="65" t="n"/>
      <c r="Y872" s="65" t="n"/>
      <c r="Z872" s="65" t="n"/>
      <c r="AA872" s="65" t="n"/>
      <c r="AB872" s="65" t="n"/>
      <c r="AC872" s="65" t="n"/>
      <c r="AD872" s="65" t="n"/>
      <c r="AE872" s="65" t="n"/>
      <c r="AF872" s="65" t="n"/>
      <c r="AG872" s="65" t="n"/>
      <c r="AH872" s="65" t="n"/>
      <c r="AI872" s="65" t="n"/>
      <c r="AJ872" s="65" t="n"/>
      <c r="AK872" s="65" t="n"/>
      <c r="AL872" s="65" t="n"/>
      <c r="AM872" s="65" t="n"/>
      <c r="AN872" s="65" t="n"/>
      <c r="AO872" s="65" t="n"/>
      <c r="AP872" s="65" t="n"/>
    </row>
    <row r="873">
      <c r="F873" s="68" t="n"/>
      <c r="G873" s="68">
        <f>IF(B873="","",F873-I873 )</f>
        <v/>
      </c>
      <c r="H873" s="5">
        <f>IF(G873="","",G873/F873)</f>
        <v/>
      </c>
      <c r="J873" s="65" t="n"/>
      <c r="K873" s="65" t="n"/>
      <c r="L873" s="65" t="n"/>
      <c r="M873" s="65" t="n"/>
      <c r="N873" s="65" t="n"/>
      <c r="O873" s="65" t="n"/>
      <c r="P873" s="65" t="n"/>
      <c r="Q873" s="65" t="n"/>
      <c r="R873" s="65" t="n"/>
      <c r="S873" s="65" t="n"/>
      <c r="T873" s="65" t="n"/>
      <c r="U873" s="65" t="n"/>
      <c r="V873" s="77" t="n"/>
      <c r="W873" s="65" t="n"/>
      <c r="X873" s="65" t="n"/>
      <c r="Y873" s="65" t="n"/>
      <c r="Z873" s="65" t="n"/>
      <c r="AA873" s="65" t="n"/>
      <c r="AB873" s="65" t="n"/>
      <c r="AC873" s="65" t="n"/>
      <c r="AD873" s="65" t="n"/>
      <c r="AE873" s="65" t="n"/>
      <c r="AF873" s="65" t="n"/>
      <c r="AG873" s="65" t="n"/>
      <c r="AH873" s="65" t="n"/>
      <c r="AI873" s="65" t="n"/>
      <c r="AJ873" s="65" t="n"/>
      <c r="AK873" s="65" t="n"/>
      <c r="AL873" s="65" t="n"/>
      <c r="AM873" s="65" t="n"/>
      <c r="AN873" s="65" t="n"/>
      <c r="AO873" s="65" t="n"/>
      <c r="AP873" s="65" t="n"/>
    </row>
    <row r="874">
      <c r="F874" s="68" t="n"/>
      <c r="G874" s="68">
        <f>IF(B874="","",F874-I874 )</f>
        <v/>
      </c>
      <c r="H874" s="5">
        <f>IF(G874="","",G874/F874)</f>
        <v/>
      </c>
      <c r="J874" s="65" t="n"/>
      <c r="K874" s="65" t="n"/>
      <c r="L874" s="65" t="n"/>
      <c r="M874" s="65" t="n"/>
      <c r="N874" s="65" t="n"/>
      <c r="O874" s="65" t="n"/>
      <c r="P874" s="65" t="n"/>
      <c r="Q874" s="65" t="n"/>
      <c r="R874" s="65" t="n"/>
      <c r="S874" s="65" t="n"/>
      <c r="T874" s="65" t="n"/>
      <c r="U874" s="65" t="n"/>
      <c r="V874" s="77" t="n"/>
      <c r="W874" s="65" t="n"/>
      <c r="X874" s="65" t="n"/>
      <c r="Y874" s="65" t="n"/>
      <c r="Z874" s="65" t="n"/>
      <c r="AA874" s="65" t="n"/>
      <c r="AB874" s="65" t="n"/>
      <c r="AC874" s="65" t="n"/>
      <c r="AD874" s="65" t="n"/>
      <c r="AE874" s="65" t="n"/>
      <c r="AF874" s="65" t="n"/>
      <c r="AG874" s="65" t="n"/>
      <c r="AH874" s="65" t="n"/>
      <c r="AI874" s="65" t="n"/>
      <c r="AJ874" s="65" t="n"/>
      <c r="AK874" s="65" t="n"/>
      <c r="AL874" s="65" t="n"/>
      <c r="AM874" s="65" t="n"/>
      <c r="AN874" s="65" t="n"/>
      <c r="AO874" s="65" t="n"/>
      <c r="AP874" s="65" t="n"/>
    </row>
    <row r="875">
      <c r="F875" s="68" t="n"/>
      <c r="G875" s="68">
        <f>IF(B875="","",F875-I875 )</f>
        <v/>
      </c>
      <c r="H875" s="5">
        <f>IF(G875="","",G875/F875)</f>
        <v/>
      </c>
      <c r="J875" s="65" t="n"/>
      <c r="K875" s="65" t="n"/>
      <c r="L875" s="65" t="n"/>
      <c r="M875" s="65" t="n"/>
      <c r="N875" s="65" t="n"/>
      <c r="O875" s="65" t="n"/>
      <c r="P875" s="65" t="n"/>
      <c r="Q875" s="65" t="n"/>
      <c r="R875" s="65" t="n"/>
      <c r="S875" s="65" t="n"/>
      <c r="T875" s="65" t="n"/>
      <c r="U875" s="65" t="n"/>
      <c r="V875" s="77" t="n"/>
      <c r="W875" s="65" t="n"/>
      <c r="X875" s="65" t="n"/>
      <c r="Y875" s="65" t="n"/>
      <c r="Z875" s="65" t="n"/>
      <c r="AA875" s="65" t="n"/>
      <c r="AB875" s="65" t="n"/>
      <c r="AC875" s="65" t="n"/>
      <c r="AD875" s="65" t="n"/>
      <c r="AE875" s="65" t="n"/>
      <c r="AF875" s="65" t="n"/>
      <c r="AG875" s="65" t="n"/>
      <c r="AH875" s="65" t="n"/>
      <c r="AI875" s="65" t="n"/>
      <c r="AJ875" s="65" t="n"/>
      <c r="AK875" s="65" t="n"/>
      <c r="AL875" s="65" t="n"/>
      <c r="AM875" s="65" t="n"/>
      <c r="AN875" s="65" t="n"/>
      <c r="AO875" s="65" t="n"/>
      <c r="AP875" s="65" t="n"/>
    </row>
    <row r="876">
      <c r="F876" s="68" t="n"/>
      <c r="G876" s="68">
        <f>IF(B876="","",F876-I876 )</f>
        <v/>
      </c>
      <c r="H876" s="5">
        <f>IF(G876="","",G876/F876)</f>
        <v/>
      </c>
      <c r="J876" s="65" t="n"/>
      <c r="K876" s="65" t="n"/>
      <c r="L876" s="65" t="n"/>
      <c r="M876" s="65" t="n"/>
      <c r="N876" s="65" t="n"/>
      <c r="O876" s="65" t="n"/>
      <c r="P876" s="65" t="n"/>
      <c r="Q876" s="65" t="n"/>
      <c r="R876" s="65" t="n"/>
      <c r="S876" s="65" t="n"/>
      <c r="T876" s="65" t="n"/>
      <c r="U876" s="65" t="n"/>
      <c r="V876" s="77" t="n"/>
      <c r="W876" s="65" t="n"/>
      <c r="X876" s="65" t="n"/>
      <c r="Y876" s="65" t="n"/>
      <c r="Z876" s="65" t="n"/>
      <c r="AA876" s="65" t="n"/>
      <c r="AB876" s="65" t="n"/>
      <c r="AC876" s="65" t="n"/>
      <c r="AD876" s="65" t="n"/>
      <c r="AE876" s="65" t="n"/>
      <c r="AF876" s="65" t="n"/>
      <c r="AG876" s="65" t="n"/>
      <c r="AH876" s="65" t="n"/>
      <c r="AI876" s="65" t="n"/>
      <c r="AJ876" s="65" t="n"/>
      <c r="AK876" s="65" t="n"/>
      <c r="AL876" s="65" t="n"/>
      <c r="AM876" s="65" t="n"/>
      <c r="AN876" s="65" t="n"/>
      <c r="AO876" s="65" t="n"/>
      <c r="AP876" s="65" t="n"/>
    </row>
    <row r="877">
      <c r="F877" s="68" t="n"/>
      <c r="G877" s="68">
        <f>IF(B877="","",F877-I877 )</f>
        <v/>
      </c>
      <c r="H877" s="5">
        <f>IF(G877="","",G877/F877)</f>
        <v/>
      </c>
      <c r="J877" s="65" t="n"/>
      <c r="K877" s="65" t="n"/>
      <c r="L877" s="65" t="n"/>
      <c r="M877" s="65" t="n"/>
      <c r="N877" s="65" t="n"/>
      <c r="O877" s="65" t="n"/>
      <c r="P877" s="65" t="n"/>
      <c r="Q877" s="65" t="n"/>
      <c r="R877" s="65" t="n"/>
      <c r="S877" s="65" t="n"/>
      <c r="T877" s="65" t="n"/>
      <c r="U877" s="65" t="n"/>
      <c r="V877" s="77" t="n"/>
      <c r="W877" s="65" t="n"/>
      <c r="X877" s="65" t="n"/>
      <c r="Y877" s="65" t="n"/>
      <c r="Z877" s="65" t="n"/>
      <c r="AA877" s="65" t="n"/>
      <c r="AB877" s="65" t="n"/>
      <c r="AC877" s="65" t="n"/>
      <c r="AD877" s="65" t="n"/>
      <c r="AE877" s="65" t="n"/>
      <c r="AF877" s="65" t="n"/>
      <c r="AG877" s="65" t="n"/>
      <c r="AH877" s="65" t="n"/>
      <c r="AI877" s="65" t="n"/>
      <c r="AJ877" s="65" t="n"/>
      <c r="AK877" s="65" t="n"/>
      <c r="AL877" s="65" t="n"/>
      <c r="AM877" s="65" t="n"/>
      <c r="AN877" s="65" t="n"/>
      <c r="AO877" s="65" t="n"/>
      <c r="AP877" s="65" t="n"/>
    </row>
    <row r="878">
      <c r="F878" s="68" t="n"/>
      <c r="G878" s="68">
        <f>IF(B878="","",F878-I878 )</f>
        <v/>
      </c>
      <c r="H878" s="5">
        <f>IF(G878="","",G878/F878)</f>
        <v/>
      </c>
      <c r="J878" s="65" t="n"/>
      <c r="K878" s="65" t="n"/>
      <c r="L878" s="65" t="n"/>
      <c r="M878" s="65" t="n"/>
      <c r="N878" s="65" t="n"/>
      <c r="O878" s="65" t="n"/>
      <c r="P878" s="65" t="n"/>
      <c r="Q878" s="65" t="n"/>
      <c r="R878" s="65" t="n"/>
      <c r="S878" s="65" t="n"/>
      <c r="T878" s="65" t="n"/>
      <c r="U878" s="65" t="n"/>
      <c r="V878" s="77" t="n"/>
      <c r="W878" s="65" t="n"/>
      <c r="X878" s="65" t="n"/>
      <c r="Y878" s="65" t="n"/>
      <c r="Z878" s="65" t="n"/>
      <c r="AA878" s="65" t="n"/>
      <c r="AB878" s="65" t="n"/>
      <c r="AC878" s="65" t="n"/>
      <c r="AD878" s="65" t="n"/>
      <c r="AE878" s="65" t="n"/>
      <c r="AF878" s="65" t="n"/>
      <c r="AG878" s="65" t="n"/>
      <c r="AH878" s="65" t="n"/>
      <c r="AI878" s="65" t="n"/>
      <c r="AJ878" s="65" t="n"/>
      <c r="AK878" s="65" t="n"/>
      <c r="AL878" s="65" t="n"/>
      <c r="AM878" s="65" t="n"/>
      <c r="AN878" s="65" t="n"/>
      <c r="AO878" s="65" t="n"/>
      <c r="AP878" s="65" t="n"/>
    </row>
    <row r="879">
      <c r="F879" s="68" t="n"/>
      <c r="G879" s="68">
        <f>IF(B879="","",F879-I879 )</f>
        <v/>
      </c>
      <c r="H879" s="5">
        <f>IF(G879="","",G879/F879)</f>
        <v/>
      </c>
      <c r="J879" s="65" t="n"/>
      <c r="K879" s="65" t="n"/>
      <c r="L879" s="65" t="n"/>
      <c r="M879" s="65" t="n"/>
      <c r="N879" s="65" t="n"/>
      <c r="O879" s="65" t="n"/>
      <c r="P879" s="65" t="n"/>
      <c r="Q879" s="65" t="n"/>
      <c r="R879" s="65" t="n"/>
      <c r="S879" s="65" t="n"/>
      <c r="T879" s="65" t="n"/>
      <c r="U879" s="65" t="n"/>
      <c r="V879" s="77" t="n"/>
      <c r="W879" s="65" t="n"/>
      <c r="X879" s="65" t="n"/>
      <c r="Y879" s="65" t="n"/>
      <c r="Z879" s="65" t="n"/>
      <c r="AA879" s="65" t="n"/>
      <c r="AB879" s="65" t="n"/>
      <c r="AC879" s="65" t="n"/>
      <c r="AD879" s="65" t="n"/>
      <c r="AE879" s="65" t="n"/>
      <c r="AF879" s="65" t="n"/>
      <c r="AG879" s="65" t="n"/>
      <c r="AH879" s="65" t="n"/>
      <c r="AI879" s="65" t="n"/>
      <c r="AJ879" s="65" t="n"/>
      <c r="AK879" s="65" t="n"/>
      <c r="AL879" s="65" t="n"/>
      <c r="AM879" s="65" t="n"/>
      <c r="AN879" s="65" t="n"/>
      <c r="AO879" s="65" t="n"/>
      <c r="AP879" s="65" t="n"/>
    </row>
    <row r="880">
      <c r="F880" s="68" t="n"/>
      <c r="G880" s="68">
        <f>IF(B880="","",F880-I880 )</f>
        <v/>
      </c>
      <c r="H880" s="5">
        <f>IF(G880="","",G880/F880)</f>
        <v/>
      </c>
      <c r="J880" s="65" t="n"/>
      <c r="K880" s="65" t="n"/>
      <c r="L880" s="65" t="n"/>
      <c r="M880" s="65" t="n"/>
      <c r="N880" s="65" t="n"/>
      <c r="O880" s="65" t="n"/>
      <c r="P880" s="65" t="n"/>
      <c r="Q880" s="65" t="n"/>
      <c r="R880" s="65" t="n"/>
      <c r="S880" s="65" t="n"/>
      <c r="T880" s="65" t="n"/>
      <c r="U880" s="65" t="n"/>
      <c r="V880" s="77" t="n"/>
      <c r="W880" s="65" t="n"/>
      <c r="X880" s="65" t="n"/>
      <c r="Y880" s="65" t="n"/>
      <c r="Z880" s="65" t="n"/>
      <c r="AA880" s="65" t="n"/>
      <c r="AB880" s="65" t="n"/>
      <c r="AC880" s="65" t="n"/>
      <c r="AD880" s="65" t="n"/>
      <c r="AE880" s="65" t="n"/>
      <c r="AF880" s="65" t="n"/>
      <c r="AG880" s="65" t="n"/>
      <c r="AH880" s="65" t="n"/>
      <c r="AI880" s="65" t="n"/>
      <c r="AJ880" s="65" t="n"/>
      <c r="AK880" s="65" t="n"/>
      <c r="AL880" s="65" t="n"/>
      <c r="AM880" s="65" t="n"/>
      <c r="AN880" s="65" t="n"/>
      <c r="AO880" s="65" t="n"/>
      <c r="AP880" s="65" t="n"/>
    </row>
    <row r="881">
      <c r="F881" s="68" t="n"/>
      <c r="G881" s="68">
        <f>IF(B881="","",F881-I881 )</f>
        <v/>
      </c>
      <c r="H881" s="5">
        <f>IF(G881="","",G881/F881)</f>
        <v/>
      </c>
      <c r="J881" s="65" t="n"/>
      <c r="K881" s="65" t="n"/>
      <c r="L881" s="65" t="n"/>
      <c r="M881" s="65" t="n"/>
      <c r="N881" s="65" t="n"/>
      <c r="O881" s="65" t="n"/>
      <c r="P881" s="65" t="n"/>
      <c r="Q881" s="65" t="n"/>
      <c r="R881" s="65" t="n"/>
      <c r="S881" s="65" t="n"/>
      <c r="T881" s="65" t="n"/>
      <c r="U881" s="65" t="n"/>
      <c r="V881" s="77" t="n"/>
      <c r="W881" s="65" t="n"/>
      <c r="X881" s="65" t="n"/>
      <c r="Y881" s="65" t="n"/>
      <c r="Z881" s="65" t="n"/>
      <c r="AA881" s="65" t="n"/>
      <c r="AB881" s="65" t="n"/>
      <c r="AC881" s="65" t="n"/>
      <c r="AD881" s="65" t="n"/>
      <c r="AE881" s="65" t="n"/>
      <c r="AF881" s="65" t="n"/>
      <c r="AG881" s="65" t="n"/>
      <c r="AH881" s="65" t="n"/>
      <c r="AI881" s="65" t="n"/>
      <c r="AJ881" s="65" t="n"/>
      <c r="AK881" s="65" t="n"/>
      <c r="AL881" s="65" t="n"/>
      <c r="AM881" s="65" t="n"/>
      <c r="AN881" s="65" t="n"/>
      <c r="AO881" s="65" t="n"/>
      <c r="AP881" s="65" t="n"/>
    </row>
    <row r="882">
      <c r="F882" s="68" t="n"/>
      <c r="G882" s="68">
        <f>IF(B882="","",F882-I882 )</f>
        <v/>
      </c>
      <c r="H882" s="5">
        <f>IF(G882="","",G882/F882)</f>
        <v/>
      </c>
      <c r="J882" s="65" t="n"/>
      <c r="K882" s="65" t="n"/>
      <c r="L882" s="65" t="n"/>
      <c r="M882" s="65" t="n"/>
      <c r="N882" s="65" t="n"/>
      <c r="O882" s="65" t="n"/>
      <c r="P882" s="65" t="n"/>
      <c r="Q882" s="65" t="n"/>
      <c r="R882" s="65" t="n"/>
      <c r="S882" s="65" t="n"/>
      <c r="T882" s="65" t="n"/>
      <c r="U882" s="65" t="n"/>
      <c r="V882" s="77" t="n"/>
      <c r="W882" s="65" t="n"/>
      <c r="X882" s="65" t="n"/>
      <c r="Y882" s="65" t="n"/>
      <c r="Z882" s="65" t="n"/>
      <c r="AA882" s="65" t="n"/>
      <c r="AB882" s="65" t="n"/>
      <c r="AC882" s="65" t="n"/>
      <c r="AD882" s="65" t="n"/>
      <c r="AE882" s="65" t="n"/>
      <c r="AF882" s="65" t="n"/>
      <c r="AG882" s="65" t="n"/>
      <c r="AH882" s="65" t="n"/>
      <c r="AI882" s="65" t="n"/>
      <c r="AJ882" s="65" t="n"/>
      <c r="AK882" s="65" t="n"/>
      <c r="AL882" s="65" t="n"/>
      <c r="AM882" s="65" t="n"/>
      <c r="AN882" s="65" t="n"/>
      <c r="AO882" s="65" t="n"/>
      <c r="AP882" s="65" t="n"/>
    </row>
    <row r="883">
      <c r="F883" s="68" t="n"/>
      <c r="G883" s="68">
        <f>IF(B883="","",F883-I883 )</f>
        <v/>
      </c>
      <c r="H883" s="5">
        <f>IF(G883="","",G883/F883)</f>
        <v/>
      </c>
      <c r="J883" s="65" t="n"/>
      <c r="K883" s="65" t="n"/>
      <c r="L883" s="65" t="n"/>
      <c r="M883" s="65" t="n"/>
      <c r="N883" s="65" t="n"/>
      <c r="O883" s="65" t="n"/>
      <c r="P883" s="65" t="n"/>
      <c r="Q883" s="65" t="n"/>
      <c r="R883" s="65" t="n"/>
      <c r="S883" s="65" t="n"/>
      <c r="T883" s="65" t="n"/>
      <c r="U883" s="65" t="n"/>
      <c r="V883" s="77" t="n"/>
      <c r="W883" s="65" t="n"/>
      <c r="X883" s="65" t="n"/>
      <c r="Y883" s="65" t="n"/>
      <c r="Z883" s="65" t="n"/>
      <c r="AA883" s="65" t="n"/>
      <c r="AB883" s="65" t="n"/>
      <c r="AC883" s="65" t="n"/>
      <c r="AD883" s="65" t="n"/>
      <c r="AE883" s="65" t="n"/>
      <c r="AF883" s="65" t="n"/>
      <c r="AG883" s="65" t="n"/>
      <c r="AH883" s="65" t="n"/>
      <c r="AI883" s="65" t="n"/>
      <c r="AJ883" s="65" t="n"/>
      <c r="AK883" s="65" t="n"/>
      <c r="AL883" s="65" t="n"/>
      <c r="AM883" s="65" t="n"/>
      <c r="AN883" s="65" t="n"/>
      <c r="AO883" s="65" t="n"/>
      <c r="AP883" s="65" t="n"/>
    </row>
    <row r="884">
      <c r="F884" s="68" t="n"/>
      <c r="G884" s="68">
        <f>IF(B884="","",F884-I884 )</f>
        <v/>
      </c>
      <c r="H884" s="5">
        <f>IF(G884="","",G884/F884)</f>
        <v/>
      </c>
      <c r="J884" s="65" t="n"/>
      <c r="K884" s="65" t="n"/>
      <c r="L884" s="65" t="n"/>
      <c r="M884" s="65" t="n"/>
      <c r="N884" s="65" t="n"/>
      <c r="O884" s="65" t="n"/>
      <c r="P884" s="65" t="n"/>
      <c r="Q884" s="65" t="n"/>
      <c r="R884" s="65" t="n"/>
      <c r="S884" s="65" t="n"/>
      <c r="T884" s="65" t="n"/>
      <c r="U884" s="65" t="n"/>
      <c r="V884" s="77" t="n"/>
      <c r="W884" s="65" t="n"/>
      <c r="X884" s="65" t="n"/>
      <c r="Y884" s="65" t="n"/>
      <c r="Z884" s="65" t="n"/>
      <c r="AA884" s="65" t="n"/>
      <c r="AB884" s="65" t="n"/>
      <c r="AC884" s="65" t="n"/>
      <c r="AD884" s="65" t="n"/>
      <c r="AE884" s="65" t="n"/>
      <c r="AF884" s="65" t="n"/>
      <c r="AG884" s="65" t="n"/>
      <c r="AH884" s="65" t="n"/>
      <c r="AI884" s="65" t="n"/>
      <c r="AJ884" s="65" t="n"/>
      <c r="AK884" s="65" t="n"/>
      <c r="AL884" s="65" t="n"/>
      <c r="AM884" s="65" t="n"/>
      <c r="AN884" s="65" t="n"/>
      <c r="AO884" s="65" t="n"/>
      <c r="AP884" s="65" t="n"/>
    </row>
    <row r="885">
      <c r="F885" s="68" t="n"/>
      <c r="G885" s="68">
        <f>IF(B885="","",F885-I885 )</f>
        <v/>
      </c>
      <c r="H885" s="5">
        <f>IF(G885="","",G885/F885)</f>
        <v/>
      </c>
      <c r="J885" s="65" t="n"/>
      <c r="K885" s="65" t="n"/>
      <c r="L885" s="65" t="n"/>
      <c r="M885" s="65" t="n"/>
      <c r="N885" s="65" t="n"/>
      <c r="O885" s="65" t="n"/>
      <c r="P885" s="65" t="n"/>
      <c r="Q885" s="65" t="n"/>
      <c r="R885" s="65" t="n"/>
      <c r="S885" s="65" t="n"/>
      <c r="T885" s="65" t="n"/>
      <c r="U885" s="65" t="n"/>
      <c r="V885" s="77" t="n"/>
      <c r="W885" s="65" t="n"/>
      <c r="X885" s="65" t="n"/>
      <c r="Y885" s="65" t="n"/>
      <c r="Z885" s="65" t="n"/>
      <c r="AA885" s="65" t="n"/>
      <c r="AB885" s="65" t="n"/>
      <c r="AC885" s="65" t="n"/>
      <c r="AD885" s="65" t="n"/>
      <c r="AE885" s="65" t="n"/>
      <c r="AF885" s="65" t="n"/>
      <c r="AG885" s="65" t="n"/>
      <c r="AH885" s="65" t="n"/>
      <c r="AI885" s="65" t="n"/>
      <c r="AJ885" s="65" t="n"/>
      <c r="AK885" s="65" t="n"/>
      <c r="AL885" s="65" t="n"/>
      <c r="AM885" s="65" t="n"/>
      <c r="AN885" s="65" t="n"/>
      <c r="AO885" s="65" t="n"/>
      <c r="AP885" s="65" t="n"/>
    </row>
    <row r="886">
      <c r="F886" s="68" t="n"/>
      <c r="G886" s="68">
        <f>IF(B886="","",F886-I886 )</f>
        <v/>
      </c>
      <c r="H886" s="5">
        <f>IF(G886="","",G886/F886)</f>
        <v/>
      </c>
      <c r="J886" s="65" t="n"/>
      <c r="K886" s="65" t="n"/>
      <c r="L886" s="65" t="n"/>
      <c r="M886" s="65" t="n"/>
      <c r="N886" s="65" t="n"/>
      <c r="O886" s="65" t="n"/>
      <c r="P886" s="65" t="n"/>
      <c r="Q886" s="65" t="n"/>
      <c r="R886" s="65" t="n"/>
      <c r="S886" s="65" t="n"/>
      <c r="T886" s="65" t="n"/>
      <c r="U886" s="65" t="n"/>
      <c r="V886" s="77" t="n"/>
      <c r="W886" s="65" t="n"/>
      <c r="X886" s="65" t="n"/>
      <c r="Y886" s="65" t="n"/>
      <c r="Z886" s="65" t="n"/>
      <c r="AA886" s="65" t="n"/>
      <c r="AB886" s="65" t="n"/>
      <c r="AC886" s="65" t="n"/>
      <c r="AD886" s="65" t="n"/>
      <c r="AE886" s="65" t="n"/>
      <c r="AF886" s="65" t="n"/>
      <c r="AG886" s="65" t="n"/>
      <c r="AH886" s="65" t="n"/>
      <c r="AI886" s="65" t="n"/>
      <c r="AJ886" s="65" t="n"/>
      <c r="AK886" s="65" t="n"/>
      <c r="AL886" s="65" t="n"/>
      <c r="AM886" s="65" t="n"/>
      <c r="AN886" s="65" t="n"/>
      <c r="AO886" s="65" t="n"/>
      <c r="AP886" s="65" t="n"/>
    </row>
    <row r="887">
      <c r="F887" s="68" t="n"/>
      <c r="G887" s="68">
        <f>IF(B887="","",F887-I887 )</f>
        <v/>
      </c>
      <c r="H887" s="5">
        <f>IF(G887="","",G887/F887)</f>
        <v/>
      </c>
      <c r="J887" s="65" t="n"/>
      <c r="K887" s="65" t="n"/>
      <c r="L887" s="65" t="n"/>
      <c r="M887" s="65" t="n"/>
      <c r="N887" s="65" t="n"/>
      <c r="O887" s="65" t="n"/>
      <c r="P887" s="65" t="n"/>
      <c r="Q887" s="65" t="n"/>
      <c r="R887" s="65" t="n"/>
      <c r="S887" s="65" t="n"/>
      <c r="T887" s="65" t="n"/>
      <c r="U887" s="65" t="n"/>
      <c r="V887" s="77" t="n"/>
      <c r="W887" s="65" t="n"/>
      <c r="X887" s="65" t="n"/>
      <c r="Y887" s="65" t="n"/>
      <c r="Z887" s="65" t="n"/>
      <c r="AA887" s="65" t="n"/>
      <c r="AB887" s="65" t="n"/>
      <c r="AC887" s="65" t="n"/>
      <c r="AD887" s="65" t="n"/>
      <c r="AE887" s="65" t="n"/>
      <c r="AF887" s="65" t="n"/>
      <c r="AG887" s="65" t="n"/>
      <c r="AH887" s="65" t="n"/>
      <c r="AI887" s="65" t="n"/>
      <c r="AJ887" s="65" t="n"/>
      <c r="AK887" s="65" t="n"/>
      <c r="AL887" s="65" t="n"/>
      <c r="AM887" s="65" t="n"/>
      <c r="AN887" s="65" t="n"/>
      <c r="AO887" s="65" t="n"/>
      <c r="AP887" s="65" t="n"/>
    </row>
    <row r="888">
      <c r="F888" s="68" t="n"/>
      <c r="G888" s="68">
        <f>IF(B888="","",F888-I888 )</f>
        <v/>
      </c>
      <c r="H888" s="5">
        <f>IF(G888="","",G888/F888)</f>
        <v/>
      </c>
      <c r="J888" s="65" t="n"/>
      <c r="K888" s="65" t="n"/>
      <c r="L888" s="65" t="n"/>
      <c r="M888" s="65" t="n"/>
      <c r="N888" s="65" t="n"/>
      <c r="O888" s="65" t="n"/>
      <c r="P888" s="65" t="n"/>
      <c r="Q888" s="65" t="n"/>
      <c r="R888" s="65" t="n"/>
      <c r="S888" s="65" t="n"/>
      <c r="T888" s="65" t="n"/>
      <c r="U888" s="65" t="n"/>
      <c r="V888" s="77" t="n"/>
      <c r="W888" s="65" t="n"/>
      <c r="X888" s="65" t="n"/>
      <c r="Y888" s="65" t="n"/>
      <c r="Z888" s="65" t="n"/>
      <c r="AA888" s="65" t="n"/>
      <c r="AB888" s="65" t="n"/>
      <c r="AC888" s="65" t="n"/>
      <c r="AD888" s="65" t="n"/>
      <c r="AE888" s="65" t="n"/>
      <c r="AF888" s="65" t="n"/>
      <c r="AG888" s="65" t="n"/>
      <c r="AH888" s="65" t="n"/>
      <c r="AI888" s="65" t="n"/>
      <c r="AJ888" s="65" t="n"/>
      <c r="AK888" s="65" t="n"/>
      <c r="AL888" s="65" t="n"/>
      <c r="AM888" s="65" t="n"/>
      <c r="AN888" s="65" t="n"/>
      <c r="AO888" s="65" t="n"/>
      <c r="AP888" s="65" t="n"/>
    </row>
    <row r="889">
      <c r="F889" s="68" t="n"/>
      <c r="G889" s="68">
        <f>IF(B889="","",F889-I889 )</f>
        <v/>
      </c>
      <c r="H889" s="5">
        <f>IF(G889="","",G889/F889)</f>
        <v/>
      </c>
      <c r="J889" s="65" t="n"/>
      <c r="K889" s="65" t="n"/>
      <c r="L889" s="65" t="n"/>
      <c r="M889" s="65" t="n"/>
      <c r="N889" s="65" t="n"/>
      <c r="O889" s="65" t="n"/>
      <c r="P889" s="65" t="n"/>
      <c r="Q889" s="65" t="n"/>
      <c r="R889" s="65" t="n"/>
      <c r="S889" s="65" t="n"/>
      <c r="T889" s="65" t="n"/>
      <c r="U889" s="65" t="n"/>
      <c r="V889" s="77" t="n"/>
      <c r="W889" s="65" t="n"/>
      <c r="X889" s="65" t="n"/>
      <c r="Y889" s="65" t="n"/>
      <c r="Z889" s="65" t="n"/>
      <c r="AA889" s="65" t="n"/>
      <c r="AB889" s="65" t="n"/>
      <c r="AC889" s="65" t="n"/>
      <c r="AD889" s="65" t="n"/>
      <c r="AE889" s="65" t="n"/>
      <c r="AF889" s="65" t="n"/>
      <c r="AG889" s="65" t="n"/>
      <c r="AH889" s="65" t="n"/>
      <c r="AI889" s="65" t="n"/>
      <c r="AJ889" s="65" t="n"/>
      <c r="AK889" s="65" t="n"/>
      <c r="AL889" s="65" t="n"/>
      <c r="AM889" s="65" t="n"/>
      <c r="AN889" s="65" t="n"/>
      <c r="AO889" s="65" t="n"/>
      <c r="AP889" s="65" t="n"/>
    </row>
    <row r="890">
      <c r="F890" s="68" t="n"/>
      <c r="G890" s="68">
        <f>IF(B890="","",F890-I890 )</f>
        <v/>
      </c>
      <c r="H890" s="5">
        <f>IF(G890="","",G890/F890)</f>
        <v/>
      </c>
      <c r="J890" s="65" t="n"/>
      <c r="K890" s="65" t="n"/>
      <c r="L890" s="65" t="n"/>
      <c r="M890" s="65" t="n"/>
      <c r="N890" s="65" t="n"/>
      <c r="O890" s="65" t="n"/>
      <c r="P890" s="65" t="n"/>
      <c r="Q890" s="65" t="n"/>
      <c r="R890" s="65" t="n"/>
      <c r="S890" s="65" t="n"/>
      <c r="T890" s="65" t="n"/>
      <c r="U890" s="65" t="n"/>
      <c r="V890" s="77" t="n"/>
      <c r="W890" s="65" t="n"/>
      <c r="X890" s="65" t="n"/>
      <c r="Y890" s="65" t="n"/>
      <c r="Z890" s="65" t="n"/>
      <c r="AA890" s="65" t="n"/>
      <c r="AB890" s="65" t="n"/>
      <c r="AC890" s="65" t="n"/>
      <c r="AD890" s="65" t="n"/>
      <c r="AE890" s="65" t="n"/>
      <c r="AF890" s="65" t="n"/>
      <c r="AG890" s="65" t="n"/>
      <c r="AH890" s="65" t="n"/>
      <c r="AI890" s="65" t="n"/>
      <c r="AJ890" s="65" t="n"/>
      <c r="AK890" s="65" t="n"/>
      <c r="AL890" s="65" t="n"/>
      <c r="AM890" s="65" t="n"/>
      <c r="AN890" s="65" t="n"/>
      <c r="AO890" s="65" t="n"/>
      <c r="AP890" s="65" t="n"/>
    </row>
    <row r="891">
      <c r="F891" s="68" t="n"/>
      <c r="G891" s="68">
        <f>IF(B891="","",F891-I891 )</f>
        <v/>
      </c>
      <c r="H891" s="5">
        <f>IF(G891="","",G891/F891)</f>
        <v/>
      </c>
      <c r="J891" s="65" t="n"/>
      <c r="K891" s="65" t="n"/>
      <c r="L891" s="65" t="n"/>
      <c r="M891" s="65" t="n"/>
      <c r="N891" s="65" t="n"/>
      <c r="O891" s="65" t="n"/>
      <c r="P891" s="65" t="n"/>
      <c r="Q891" s="65" t="n"/>
      <c r="R891" s="65" t="n"/>
      <c r="S891" s="65" t="n"/>
      <c r="T891" s="65" t="n"/>
      <c r="U891" s="65" t="n"/>
      <c r="V891" s="77" t="n"/>
      <c r="W891" s="65" t="n"/>
      <c r="X891" s="65" t="n"/>
      <c r="Y891" s="65" t="n"/>
      <c r="Z891" s="65" t="n"/>
      <c r="AA891" s="65" t="n"/>
      <c r="AB891" s="65" t="n"/>
      <c r="AC891" s="65" t="n"/>
      <c r="AD891" s="65" t="n"/>
      <c r="AE891" s="65" t="n"/>
      <c r="AF891" s="65" t="n"/>
      <c r="AG891" s="65" t="n"/>
      <c r="AH891" s="65" t="n"/>
      <c r="AI891" s="65" t="n"/>
      <c r="AJ891" s="65" t="n"/>
      <c r="AK891" s="65" t="n"/>
      <c r="AL891" s="65" t="n"/>
      <c r="AM891" s="65" t="n"/>
      <c r="AN891" s="65" t="n"/>
      <c r="AO891" s="65" t="n"/>
      <c r="AP891" s="65" t="n"/>
    </row>
    <row r="892">
      <c r="F892" s="68" t="n"/>
      <c r="G892" s="68">
        <f>IF(B892="","",F892-I892 )</f>
        <v/>
      </c>
      <c r="H892" s="5">
        <f>IF(G892="","",G892/F892)</f>
        <v/>
      </c>
      <c r="J892" s="65" t="n"/>
      <c r="K892" s="65" t="n"/>
      <c r="L892" s="65" t="n"/>
      <c r="M892" s="65" t="n"/>
      <c r="N892" s="65" t="n"/>
      <c r="O892" s="65" t="n"/>
      <c r="P892" s="65" t="n"/>
      <c r="Q892" s="65" t="n"/>
      <c r="R892" s="65" t="n"/>
      <c r="S892" s="65" t="n"/>
      <c r="T892" s="65" t="n"/>
      <c r="U892" s="65" t="n"/>
      <c r="V892" s="77" t="n"/>
      <c r="W892" s="65" t="n"/>
      <c r="X892" s="65" t="n"/>
      <c r="Y892" s="65" t="n"/>
      <c r="Z892" s="65" t="n"/>
      <c r="AA892" s="65" t="n"/>
      <c r="AB892" s="65" t="n"/>
      <c r="AC892" s="65" t="n"/>
      <c r="AD892" s="65" t="n"/>
      <c r="AE892" s="65" t="n"/>
      <c r="AF892" s="65" t="n"/>
      <c r="AG892" s="65" t="n"/>
      <c r="AH892" s="65" t="n"/>
      <c r="AI892" s="65" t="n"/>
      <c r="AJ892" s="65" t="n"/>
      <c r="AK892" s="65" t="n"/>
      <c r="AL892" s="65" t="n"/>
      <c r="AM892" s="65" t="n"/>
      <c r="AN892" s="65" t="n"/>
      <c r="AO892" s="65" t="n"/>
      <c r="AP892" s="65" t="n"/>
    </row>
    <row r="893">
      <c r="F893" s="68" t="n"/>
      <c r="G893" s="68">
        <f>IF(B893="","",F893-I893 )</f>
        <v/>
      </c>
      <c r="H893" s="5">
        <f>IF(G893="","",G893/F893)</f>
        <v/>
      </c>
      <c r="J893" s="65" t="n"/>
      <c r="K893" s="65" t="n"/>
      <c r="L893" s="65" t="n"/>
      <c r="M893" s="65" t="n"/>
      <c r="N893" s="65" t="n"/>
      <c r="O893" s="65" t="n"/>
      <c r="P893" s="65" t="n"/>
      <c r="Q893" s="65" t="n"/>
      <c r="R893" s="65" t="n"/>
      <c r="S893" s="65" t="n"/>
      <c r="T893" s="65" t="n"/>
      <c r="U893" s="65" t="n"/>
      <c r="V893" s="77" t="n"/>
      <c r="W893" s="65" t="n"/>
      <c r="X893" s="65" t="n"/>
      <c r="Y893" s="65" t="n"/>
      <c r="Z893" s="65" t="n"/>
      <c r="AA893" s="65" t="n"/>
      <c r="AB893" s="65" t="n"/>
      <c r="AC893" s="65" t="n"/>
      <c r="AD893" s="65" t="n"/>
      <c r="AE893" s="65" t="n"/>
      <c r="AF893" s="65" t="n"/>
      <c r="AG893" s="65" t="n"/>
      <c r="AH893" s="65" t="n"/>
      <c r="AI893" s="65" t="n"/>
      <c r="AJ893" s="65" t="n"/>
      <c r="AK893" s="65" t="n"/>
      <c r="AL893" s="65" t="n"/>
      <c r="AM893" s="65" t="n"/>
      <c r="AN893" s="65" t="n"/>
      <c r="AO893" s="65" t="n"/>
      <c r="AP893" s="65" t="n"/>
    </row>
    <row r="894">
      <c r="F894" s="68" t="n"/>
      <c r="G894" s="68">
        <f>IF(B894="","",F894-I894 )</f>
        <v/>
      </c>
      <c r="H894" s="5">
        <f>IF(G894="","",G894/F894)</f>
        <v/>
      </c>
      <c r="J894" s="65" t="n"/>
      <c r="K894" s="65" t="n"/>
      <c r="L894" s="65" t="n"/>
      <c r="M894" s="65" t="n"/>
      <c r="N894" s="65" t="n"/>
      <c r="O894" s="65" t="n"/>
      <c r="P894" s="65" t="n"/>
      <c r="Q894" s="65" t="n"/>
      <c r="R894" s="65" t="n"/>
      <c r="S894" s="65" t="n"/>
      <c r="T894" s="65" t="n"/>
      <c r="U894" s="65" t="n"/>
      <c r="V894" s="77" t="n"/>
      <c r="W894" s="65" t="n"/>
      <c r="X894" s="65" t="n"/>
      <c r="Y894" s="65" t="n"/>
      <c r="Z894" s="65" t="n"/>
      <c r="AA894" s="65" t="n"/>
      <c r="AB894" s="65" t="n"/>
      <c r="AC894" s="65" t="n"/>
      <c r="AD894" s="65" t="n"/>
      <c r="AE894" s="65" t="n"/>
      <c r="AF894" s="65" t="n"/>
      <c r="AG894" s="65" t="n"/>
      <c r="AH894" s="65" t="n"/>
      <c r="AI894" s="65" t="n"/>
      <c r="AJ894" s="65" t="n"/>
      <c r="AK894" s="65" t="n"/>
      <c r="AL894" s="65" t="n"/>
      <c r="AM894" s="65" t="n"/>
      <c r="AN894" s="65" t="n"/>
      <c r="AO894" s="65" t="n"/>
      <c r="AP894" s="65" t="n"/>
    </row>
    <row r="895">
      <c r="F895" s="68" t="n"/>
      <c r="G895" s="68">
        <f>IF(B895="","",F895-I895 )</f>
        <v/>
      </c>
      <c r="H895" s="5">
        <f>IF(G895="","",G895/F895)</f>
        <v/>
      </c>
      <c r="J895" s="65" t="n"/>
      <c r="K895" s="65" t="n"/>
      <c r="L895" s="65" t="n"/>
      <c r="M895" s="65" t="n"/>
      <c r="N895" s="65" t="n"/>
      <c r="O895" s="65" t="n"/>
      <c r="P895" s="65" t="n"/>
      <c r="Q895" s="65" t="n"/>
      <c r="R895" s="65" t="n"/>
      <c r="S895" s="65" t="n"/>
      <c r="T895" s="65" t="n"/>
      <c r="U895" s="65" t="n"/>
      <c r="V895" s="77" t="n"/>
      <c r="W895" s="65" t="n"/>
      <c r="X895" s="65" t="n"/>
      <c r="Y895" s="65" t="n"/>
      <c r="Z895" s="65" t="n"/>
      <c r="AA895" s="65" t="n"/>
      <c r="AB895" s="65" t="n"/>
      <c r="AC895" s="65" t="n"/>
      <c r="AD895" s="65" t="n"/>
      <c r="AE895" s="65" t="n"/>
      <c r="AF895" s="65" t="n"/>
      <c r="AG895" s="65" t="n"/>
      <c r="AH895" s="65" t="n"/>
      <c r="AI895" s="65" t="n"/>
      <c r="AJ895" s="65" t="n"/>
      <c r="AK895" s="65" t="n"/>
      <c r="AL895" s="65" t="n"/>
      <c r="AM895" s="65" t="n"/>
      <c r="AN895" s="65" t="n"/>
      <c r="AO895" s="65" t="n"/>
      <c r="AP895" s="65" t="n"/>
    </row>
    <row r="896">
      <c r="F896" s="68" t="n"/>
      <c r="G896" s="68">
        <f>IF(B896="","",F896-I896 )</f>
        <v/>
      </c>
      <c r="H896" s="5">
        <f>IF(G896="","",G896/F896)</f>
        <v/>
      </c>
      <c r="J896" s="65" t="n"/>
      <c r="K896" s="65" t="n"/>
      <c r="L896" s="65" t="n"/>
      <c r="M896" s="65" t="n"/>
      <c r="N896" s="65" t="n"/>
      <c r="O896" s="65" t="n"/>
      <c r="P896" s="65" t="n"/>
      <c r="Q896" s="65" t="n"/>
      <c r="R896" s="65" t="n"/>
      <c r="S896" s="65" t="n"/>
      <c r="T896" s="65" t="n"/>
      <c r="U896" s="65" t="n"/>
      <c r="V896" s="77" t="n"/>
      <c r="W896" s="65" t="n"/>
      <c r="X896" s="65" t="n"/>
      <c r="Y896" s="65" t="n"/>
      <c r="Z896" s="65" t="n"/>
      <c r="AA896" s="65" t="n"/>
      <c r="AB896" s="65" t="n"/>
      <c r="AC896" s="65" t="n"/>
      <c r="AD896" s="65" t="n"/>
      <c r="AE896" s="65" t="n"/>
      <c r="AF896" s="65" t="n"/>
      <c r="AG896" s="65" t="n"/>
      <c r="AH896" s="65" t="n"/>
      <c r="AI896" s="65" t="n"/>
      <c r="AJ896" s="65" t="n"/>
      <c r="AK896" s="65" t="n"/>
      <c r="AL896" s="65" t="n"/>
      <c r="AM896" s="65" t="n"/>
      <c r="AN896" s="65" t="n"/>
      <c r="AO896" s="65" t="n"/>
      <c r="AP896" s="65" t="n"/>
    </row>
    <row r="897">
      <c r="F897" s="68" t="n"/>
      <c r="G897" s="68">
        <f>IF(B897="","",F897-I897 )</f>
        <v/>
      </c>
      <c r="H897" s="5">
        <f>IF(G897="","",G897/F897)</f>
        <v/>
      </c>
      <c r="J897" s="65" t="n"/>
      <c r="K897" s="65" t="n"/>
      <c r="L897" s="65" t="n"/>
      <c r="M897" s="65" t="n"/>
      <c r="N897" s="65" t="n"/>
      <c r="O897" s="65" t="n"/>
      <c r="P897" s="65" t="n"/>
      <c r="Q897" s="65" t="n"/>
      <c r="R897" s="65" t="n"/>
      <c r="S897" s="65" t="n"/>
      <c r="T897" s="65" t="n"/>
      <c r="U897" s="65" t="n"/>
      <c r="V897" s="77" t="n"/>
      <c r="W897" s="65" t="n"/>
      <c r="X897" s="65" t="n"/>
      <c r="Y897" s="65" t="n"/>
      <c r="Z897" s="65" t="n"/>
      <c r="AA897" s="65" t="n"/>
      <c r="AB897" s="65" t="n"/>
      <c r="AC897" s="65" t="n"/>
      <c r="AD897" s="65" t="n"/>
      <c r="AE897" s="65" t="n"/>
      <c r="AF897" s="65" t="n"/>
      <c r="AG897" s="65" t="n"/>
      <c r="AH897" s="65" t="n"/>
      <c r="AI897" s="65" t="n"/>
      <c r="AJ897" s="65" t="n"/>
      <c r="AK897" s="65" t="n"/>
      <c r="AL897" s="65" t="n"/>
      <c r="AM897" s="65" t="n"/>
      <c r="AN897" s="65" t="n"/>
      <c r="AO897" s="65" t="n"/>
      <c r="AP897" s="65" t="n"/>
    </row>
    <row r="898">
      <c r="F898" s="68" t="n"/>
      <c r="G898" s="68">
        <f>IF(B898="","",F898-I898 )</f>
        <v/>
      </c>
      <c r="H898" s="5">
        <f>IF(G898="","",G898/F898)</f>
        <v/>
      </c>
      <c r="J898" s="65" t="n"/>
      <c r="K898" s="65" t="n"/>
      <c r="L898" s="65" t="n"/>
      <c r="M898" s="65" t="n"/>
      <c r="N898" s="65" t="n"/>
      <c r="O898" s="65" t="n"/>
      <c r="P898" s="65" t="n"/>
      <c r="Q898" s="65" t="n"/>
      <c r="R898" s="65" t="n"/>
      <c r="S898" s="65" t="n"/>
      <c r="T898" s="65" t="n"/>
      <c r="U898" s="65" t="n"/>
      <c r="V898" s="77" t="n"/>
      <c r="W898" s="65" t="n"/>
      <c r="X898" s="65" t="n"/>
      <c r="Y898" s="65" t="n"/>
      <c r="Z898" s="65" t="n"/>
      <c r="AA898" s="65" t="n"/>
      <c r="AB898" s="65" t="n"/>
      <c r="AC898" s="65" t="n"/>
      <c r="AD898" s="65" t="n"/>
      <c r="AE898" s="65" t="n"/>
      <c r="AF898" s="65" t="n"/>
      <c r="AG898" s="65" t="n"/>
      <c r="AH898" s="65" t="n"/>
      <c r="AI898" s="65" t="n"/>
      <c r="AJ898" s="65" t="n"/>
      <c r="AK898" s="65" t="n"/>
      <c r="AL898" s="65" t="n"/>
      <c r="AM898" s="65" t="n"/>
      <c r="AN898" s="65" t="n"/>
      <c r="AO898" s="65" t="n"/>
      <c r="AP898" s="65" t="n"/>
    </row>
    <row r="899">
      <c r="F899" s="68" t="n"/>
      <c r="G899" s="68">
        <f>IF(B899="","",F899-I899 )</f>
        <v/>
      </c>
      <c r="H899" s="5">
        <f>IF(G899="","",G899/F899)</f>
        <v/>
      </c>
      <c r="J899" s="65" t="n"/>
      <c r="K899" s="65" t="n"/>
      <c r="L899" s="65" t="n"/>
      <c r="M899" s="65" t="n"/>
      <c r="N899" s="65" t="n"/>
      <c r="O899" s="65" t="n"/>
      <c r="P899" s="65" t="n"/>
      <c r="Q899" s="65" t="n"/>
      <c r="R899" s="65" t="n"/>
      <c r="S899" s="65" t="n"/>
      <c r="T899" s="65" t="n"/>
      <c r="U899" s="65" t="n"/>
      <c r="V899" s="77" t="n"/>
      <c r="W899" s="65" t="n"/>
      <c r="X899" s="65" t="n"/>
      <c r="Y899" s="65" t="n"/>
      <c r="Z899" s="65" t="n"/>
      <c r="AA899" s="65" t="n"/>
      <c r="AB899" s="65" t="n"/>
      <c r="AC899" s="65" t="n"/>
      <c r="AD899" s="65" t="n"/>
      <c r="AE899" s="65" t="n"/>
      <c r="AF899" s="65" t="n"/>
      <c r="AG899" s="65" t="n"/>
      <c r="AH899" s="65" t="n"/>
      <c r="AI899" s="65" t="n"/>
      <c r="AJ899" s="65" t="n"/>
      <c r="AK899" s="65" t="n"/>
      <c r="AL899" s="65" t="n"/>
      <c r="AM899" s="65" t="n"/>
      <c r="AN899" s="65" t="n"/>
      <c r="AO899" s="65" t="n"/>
      <c r="AP899" s="65" t="n"/>
    </row>
    <row r="900">
      <c r="F900" s="68" t="n"/>
      <c r="G900" s="68">
        <f>IF(B900="","",F900-I900 )</f>
        <v/>
      </c>
      <c r="H900" s="5">
        <f>IF(G900="","",G900/F900)</f>
        <v/>
      </c>
      <c r="J900" s="65" t="n"/>
      <c r="K900" s="65" t="n"/>
      <c r="L900" s="65" t="n"/>
      <c r="M900" s="65" t="n"/>
      <c r="N900" s="65" t="n"/>
      <c r="O900" s="65" t="n"/>
      <c r="P900" s="65" t="n"/>
      <c r="Q900" s="65" t="n"/>
      <c r="R900" s="65" t="n"/>
      <c r="S900" s="65" t="n"/>
      <c r="T900" s="65" t="n"/>
      <c r="U900" s="65" t="n"/>
      <c r="V900" s="77" t="n"/>
      <c r="W900" s="65" t="n"/>
      <c r="X900" s="65" t="n"/>
      <c r="Y900" s="65" t="n"/>
      <c r="Z900" s="65" t="n"/>
      <c r="AA900" s="65" t="n"/>
      <c r="AB900" s="65" t="n"/>
      <c r="AC900" s="65" t="n"/>
      <c r="AD900" s="65" t="n"/>
      <c r="AE900" s="65" t="n"/>
      <c r="AF900" s="65" t="n"/>
      <c r="AG900" s="65" t="n"/>
      <c r="AH900" s="65" t="n"/>
      <c r="AI900" s="65" t="n"/>
      <c r="AJ900" s="65" t="n"/>
      <c r="AK900" s="65" t="n"/>
      <c r="AL900" s="65" t="n"/>
      <c r="AM900" s="65" t="n"/>
      <c r="AN900" s="65" t="n"/>
      <c r="AO900" s="65" t="n"/>
      <c r="AP900" s="65" t="n"/>
    </row>
    <row r="901">
      <c r="F901" s="68" t="n"/>
      <c r="G901" s="68">
        <f>IF(B901="","",F901-I901 )</f>
        <v/>
      </c>
      <c r="H901" s="5">
        <f>IF(G901="","",G901/F901)</f>
        <v/>
      </c>
      <c r="J901" s="65" t="n"/>
      <c r="K901" s="65" t="n"/>
      <c r="L901" s="65" t="n"/>
      <c r="M901" s="65" t="n"/>
      <c r="N901" s="65" t="n"/>
      <c r="O901" s="65" t="n"/>
      <c r="P901" s="65" t="n"/>
      <c r="Q901" s="65" t="n"/>
      <c r="R901" s="65" t="n"/>
      <c r="S901" s="65" t="n"/>
      <c r="T901" s="65" t="n"/>
      <c r="U901" s="65" t="n"/>
      <c r="V901" s="77" t="n"/>
      <c r="W901" s="65" t="n"/>
      <c r="X901" s="65" t="n"/>
      <c r="Y901" s="65" t="n"/>
      <c r="Z901" s="65" t="n"/>
      <c r="AA901" s="65" t="n"/>
      <c r="AB901" s="65" t="n"/>
      <c r="AC901" s="65" t="n"/>
      <c r="AD901" s="65" t="n"/>
      <c r="AE901" s="65" t="n"/>
      <c r="AF901" s="65" t="n"/>
      <c r="AG901" s="65" t="n"/>
      <c r="AH901" s="65" t="n"/>
      <c r="AI901" s="65" t="n"/>
      <c r="AJ901" s="65" t="n"/>
      <c r="AK901" s="65" t="n"/>
      <c r="AL901" s="65" t="n"/>
      <c r="AM901" s="65" t="n"/>
      <c r="AN901" s="65" t="n"/>
      <c r="AO901" s="65" t="n"/>
      <c r="AP901" s="65" t="n"/>
    </row>
    <row r="902">
      <c r="F902" s="68" t="n"/>
      <c r="G902" s="68">
        <f>IF(B902="","",F902-I902 )</f>
        <v/>
      </c>
      <c r="H902" s="5">
        <f>IF(G902="","",G902/F902)</f>
        <v/>
      </c>
      <c r="J902" s="65" t="n"/>
      <c r="K902" s="65" t="n"/>
      <c r="L902" s="65" t="n"/>
      <c r="M902" s="65" t="n"/>
      <c r="N902" s="65" t="n"/>
      <c r="O902" s="65" t="n"/>
      <c r="P902" s="65" t="n"/>
      <c r="Q902" s="65" t="n"/>
      <c r="R902" s="65" t="n"/>
      <c r="S902" s="65" t="n"/>
      <c r="T902" s="65" t="n"/>
      <c r="U902" s="65" t="n"/>
      <c r="V902" s="77" t="n"/>
      <c r="W902" s="65" t="n"/>
      <c r="X902" s="65" t="n"/>
      <c r="Y902" s="65" t="n"/>
      <c r="Z902" s="65" t="n"/>
      <c r="AA902" s="65" t="n"/>
      <c r="AB902" s="65" t="n"/>
      <c r="AC902" s="65" t="n"/>
      <c r="AD902" s="65" t="n"/>
      <c r="AE902" s="65" t="n"/>
      <c r="AF902" s="65" t="n"/>
      <c r="AG902" s="65" t="n"/>
      <c r="AH902" s="65" t="n"/>
      <c r="AI902" s="65" t="n"/>
      <c r="AJ902" s="65" t="n"/>
      <c r="AK902" s="65" t="n"/>
      <c r="AL902" s="65" t="n"/>
      <c r="AM902" s="65" t="n"/>
      <c r="AN902" s="65" t="n"/>
      <c r="AO902" s="65" t="n"/>
      <c r="AP902" s="65" t="n"/>
    </row>
    <row r="903">
      <c r="F903" s="68" t="n"/>
      <c r="G903" s="68">
        <f>IF(B903="","",F903-I903 )</f>
        <v/>
      </c>
      <c r="H903" s="5">
        <f>IF(G903="","",G903/F903)</f>
        <v/>
      </c>
      <c r="J903" s="65" t="n"/>
      <c r="K903" s="65" t="n"/>
      <c r="L903" s="65" t="n"/>
      <c r="M903" s="65" t="n"/>
      <c r="N903" s="65" t="n"/>
      <c r="O903" s="65" t="n"/>
      <c r="P903" s="65" t="n"/>
      <c r="Q903" s="65" t="n"/>
      <c r="R903" s="65" t="n"/>
      <c r="S903" s="65" t="n"/>
      <c r="T903" s="65" t="n"/>
      <c r="U903" s="65" t="n"/>
      <c r="V903" s="77" t="n"/>
      <c r="W903" s="65" t="n"/>
      <c r="X903" s="65" t="n"/>
      <c r="Y903" s="65" t="n"/>
      <c r="Z903" s="65" t="n"/>
      <c r="AA903" s="65" t="n"/>
      <c r="AB903" s="65" t="n"/>
      <c r="AC903" s="65" t="n"/>
      <c r="AD903" s="65" t="n"/>
      <c r="AE903" s="65" t="n"/>
      <c r="AF903" s="65" t="n"/>
      <c r="AG903" s="65" t="n"/>
      <c r="AH903" s="65" t="n"/>
      <c r="AI903" s="65" t="n"/>
      <c r="AJ903" s="65" t="n"/>
      <c r="AK903" s="65" t="n"/>
      <c r="AL903" s="65" t="n"/>
      <c r="AM903" s="65" t="n"/>
      <c r="AN903" s="65" t="n"/>
      <c r="AO903" s="65" t="n"/>
      <c r="AP903" s="65" t="n"/>
    </row>
    <row r="904">
      <c r="F904" s="68" t="n"/>
      <c r="G904" s="68">
        <f>IF(B904="","",F904-I904 )</f>
        <v/>
      </c>
      <c r="H904" s="5">
        <f>IF(G904="","",G904/F904)</f>
        <v/>
      </c>
      <c r="J904" s="65" t="n"/>
      <c r="K904" s="65" t="n"/>
      <c r="L904" s="65" t="n"/>
      <c r="M904" s="65" t="n"/>
      <c r="N904" s="65" t="n"/>
      <c r="O904" s="65" t="n"/>
      <c r="P904" s="65" t="n"/>
      <c r="Q904" s="65" t="n"/>
      <c r="R904" s="65" t="n"/>
      <c r="S904" s="65" t="n"/>
      <c r="T904" s="65" t="n"/>
      <c r="U904" s="65" t="n"/>
      <c r="V904" s="77" t="n"/>
      <c r="W904" s="65" t="n"/>
      <c r="X904" s="65" t="n"/>
      <c r="Y904" s="65" t="n"/>
      <c r="Z904" s="65" t="n"/>
      <c r="AA904" s="65" t="n"/>
      <c r="AB904" s="65" t="n"/>
      <c r="AC904" s="65" t="n"/>
      <c r="AD904" s="65" t="n"/>
      <c r="AE904" s="65" t="n"/>
      <c r="AF904" s="65" t="n"/>
      <c r="AG904" s="65" t="n"/>
      <c r="AH904" s="65" t="n"/>
      <c r="AI904" s="65" t="n"/>
      <c r="AJ904" s="65" t="n"/>
      <c r="AK904" s="65" t="n"/>
      <c r="AL904" s="65" t="n"/>
      <c r="AM904" s="65" t="n"/>
      <c r="AN904" s="65" t="n"/>
      <c r="AO904" s="65" t="n"/>
      <c r="AP904" s="65" t="n"/>
    </row>
    <row r="905">
      <c r="F905" s="68" t="n"/>
      <c r="G905" s="68">
        <f>IF(B905="","",F905-I905 )</f>
        <v/>
      </c>
      <c r="H905" s="5">
        <f>IF(G905="","",G905/F905)</f>
        <v/>
      </c>
      <c r="J905" s="65" t="n"/>
      <c r="K905" s="65" t="n"/>
      <c r="L905" s="65" t="n"/>
      <c r="M905" s="65" t="n"/>
      <c r="N905" s="65" t="n"/>
      <c r="O905" s="65" t="n"/>
      <c r="P905" s="65" t="n"/>
      <c r="Q905" s="65" t="n"/>
      <c r="R905" s="65" t="n"/>
      <c r="S905" s="65" t="n"/>
      <c r="T905" s="65" t="n"/>
      <c r="U905" s="65" t="n"/>
      <c r="V905" s="77" t="n"/>
      <c r="W905" s="65" t="n"/>
      <c r="X905" s="65" t="n"/>
      <c r="Y905" s="65" t="n"/>
      <c r="Z905" s="65" t="n"/>
      <c r="AA905" s="65" t="n"/>
      <c r="AB905" s="65" t="n"/>
      <c r="AC905" s="65" t="n"/>
      <c r="AD905" s="65" t="n"/>
      <c r="AE905" s="65" t="n"/>
      <c r="AF905" s="65" t="n"/>
      <c r="AG905" s="65" t="n"/>
      <c r="AH905" s="65" t="n"/>
      <c r="AI905" s="65" t="n"/>
      <c r="AJ905" s="65" t="n"/>
      <c r="AK905" s="65" t="n"/>
      <c r="AL905" s="65" t="n"/>
      <c r="AM905" s="65" t="n"/>
      <c r="AN905" s="65" t="n"/>
      <c r="AO905" s="65" t="n"/>
      <c r="AP905" s="65" t="n"/>
    </row>
    <row r="906">
      <c r="F906" s="68" t="n"/>
      <c r="G906" s="68">
        <f>IF(B906="","",F906-I906 )</f>
        <v/>
      </c>
      <c r="H906" s="5">
        <f>IF(G906="","",G906/F906)</f>
        <v/>
      </c>
      <c r="J906" s="65" t="n"/>
      <c r="K906" s="65" t="n"/>
      <c r="L906" s="65" t="n"/>
      <c r="M906" s="65" t="n"/>
      <c r="N906" s="65" t="n"/>
      <c r="O906" s="65" t="n"/>
      <c r="P906" s="65" t="n"/>
      <c r="Q906" s="65" t="n"/>
      <c r="R906" s="65" t="n"/>
      <c r="S906" s="65" t="n"/>
      <c r="T906" s="65" t="n"/>
      <c r="U906" s="65" t="n"/>
      <c r="V906" s="77" t="n"/>
      <c r="W906" s="65" t="n"/>
      <c r="X906" s="65" t="n"/>
      <c r="Y906" s="65" t="n"/>
      <c r="Z906" s="65" t="n"/>
      <c r="AA906" s="65" t="n"/>
      <c r="AB906" s="65" t="n"/>
      <c r="AC906" s="65" t="n"/>
      <c r="AD906" s="65" t="n"/>
      <c r="AE906" s="65" t="n"/>
      <c r="AF906" s="65" t="n"/>
      <c r="AG906" s="65" t="n"/>
      <c r="AH906" s="65" t="n"/>
      <c r="AI906" s="65" t="n"/>
      <c r="AJ906" s="65" t="n"/>
      <c r="AK906" s="65" t="n"/>
      <c r="AL906" s="65" t="n"/>
      <c r="AM906" s="65" t="n"/>
      <c r="AN906" s="65" t="n"/>
      <c r="AO906" s="65" t="n"/>
      <c r="AP906" s="65" t="n"/>
    </row>
    <row r="907">
      <c r="F907" s="68" t="n"/>
      <c r="G907" s="68">
        <f>IF(B907="","",F907-I907 )</f>
        <v/>
      </c>
      <c r="H907" s="5">
        <f>IF(G907="","",G907/F907)</f>
        <v/>
      </c>
      <c r="J907" s="65" t="n"/>
      <c r="K907" s="65" t="n"/>
      <c r="L907" s="65" t="n"/>
      <c r="M907" s="65" t="n"/>
      <c r="N907" s="65" t="n"/>
      <c r="O907" s="65" t="n"/>
      <c r="P907" s="65" t="n"/>
      <c r="Q907" s="65" t="n"/>
      <c r="R907" s="65" t="n"/>
      <c r="S907" s="65" t="n"/>
      <c r="T907" s="65" t="n"/>
      <c r="U907" s="65" t="n"/>
      <c r="V907" s="77" t="n"/>
      <c r="W907" s="65" t="n"/>
      <c r="X907" s="65" t="n"/>
      <c r="Y907" s="65" t="n"/>
      <c r="Z907" s="65" t="n"/>
      <c r="AA907" s="65" t="n"/>
      <c r="AB907" s="65" t="n"/>
      <c r="AC907" s="65" t="n"/>
      <c r="AD907" s="65" t="n"/>
      <c r="AE907" s="65" t="n"/>
      <c r="AF907" s="65" t="n"/>
      <c r="AG907" s="65" t="n"/>
      <c r="AH907" s="65" t="n"/>
      <c r="AI907" s="65" t="n"/>
      <c r="AJ907" s="65" t="n"/>
      <c r="AK907" s="65" t="n"/>
      <c r="AL907" s="65" t="n"/>
      <c r="AM907" s="65" t="n"/>
      <c r="AN907" s="65" t="n"/>
      <c r="AO907" s="65" t="n"/>
      <c r="AP907" s="65" t="n"/>
    </row>
    <row r="908">
      <c r="F908" s="68" t="n"/>
      <c r="G908" s="68">
        <f>IF(B908="","",F908-I908 )</f>
        <v/>
      </c>
      <c r="H908" s="5">
        <f>IF(G908="","",G908/F908)</f>
        <v/>
      </c>
      <c r="J908" s="65" t="n"/>
      <c r="K908" s="65" t="n"/>
      <c r="L908" s="65" t="n"/>
      <c r="M908" s="65" t="n"/>
      <c r="N908" s="65" t="n"/>
      <c r="O908" s="65" t="n"/>
      <c r="P908" s="65" t="n"/>
      <c r="Q908" s="65" t="n"/>
      <c r="R908" s="65" t="n"/>
      <c r="S908" s="65" t="n"/>
      <c r="T908" s="65" t="n"/>
      <c r="U908" s="65" t="n"/>
      <c r="V908" s="77" t="n"/>
      <c r="W908" s="65" t="n"/>
      <c r="X908" s="65" t="n"/>
      <c r="Y908" s="65" t="n"/>
      <c r="Z908" s="65" t="n"/>
      <c r="AA908" s="65" t="n"/>
      <c r="AB908" s="65" t="n"/>
      <c r="AC908" s="65" t="n"/>
      <c r="AD908" s="65" t="n"/>
      <c r="AE908" s="65" t="n"/>
      <c r="AF908" s="65" t="n"/>
      <c r="AG908" s="65" t="n"/>
      <c r="AH908" s="65" t="n"/>
      <c r="AI908" s="65" t="n"/>
      <c r="AJ908" s="65" t="n"/>
      <c r="AK908" s="65" t="n"/>
      <c r="AL908" s="65" t="n"/>
      <c r="AM908" s="65" t="n"/>
      <c r="AN908" s="65" t="n"/>
      <c r="AO908" s="65" t="n"/>
      <c r="AP908" s="65" t="n"/>
    </row>
    <row r="909">
      <c r="F909" s="68" t="n"/>
      <c r="G909" s="68">
        <f>IF(B909="","",F909-I909 )</f>
        <v/>
      </c>
      <c r="H909" s="5">
        <f>IF(G909="","",G909/F909)</f>
        <v/>
      </c>
      <c r="J909" s="65" t="n"/>
      <c r="K909" s="65" t="n"/>
      <c r="L909" s="65" t="n"/>
      <c r="M909" s="65" t="n"/>
      <c r="N909" s="65" t="n"/>
      <c r="O909" s="65" t="n"/>
      <c r="P909" s="65" t="n"/>
      <c r="Q909" s="65" t="n"/>
      <c r="R909" s="65" t="n"/>
      <c r="S909" s="65" t="n"/>
      <c r="T909" s="65" t="n"/>
      <c r="U909" s="65" t="n"/>
      <c r="V909" s="77" t="n"/>
      <c r="W909" s="65" t="n"/>
      <c r="X909" s="65" t="n"/>
      <c r="Y909" s="65" t="n"/>
      <c r="Z909" s="65" t="n"/>
      <c r="AA909" s="65" t="n"/>
      <c r="AB909" s="65" t="n"/>
      <c r="AC909" s="65" t="n"/>
      <c r="AD909" s="65" t="n"/>
      <c r="AE909" s="65" t="n"/>
      <c r="AF909" s="65" t="n"/>
      <c r="AG909" s="65" t="n"/>
      <c r="AH909" s="65" t="n"/>
      <c r="AI909" s="65" t="n"/>
      <c r="AJ909" s="65" t="n"/>
      <c r="AK909" s="65" t="n"/>
      <c r="AL909" s="65" t="n"/>
      <c r="AM909" s="65" t="n"/>
      <c r="AN909" s="65" t="n"/>
      <c r="AO909" s="65" t="n"/>
      <c r="AP909" s="65" t="n"/>
    </row>
    <row r="910">
      <c r="F910" s="68" t="n"/>
      <c r="G910" s="68">
        <f>IF(B910="","",F910-I910 )</f>
        <v/>
      </c>
      <c r="H910" s="5">
        <f>IF(G910="","",G910/F910)</f>
        <v/>
      </c>
      <c r="J910" s="65" t="n"/>
      <c r="K910" s="65" t="n"/>
      <c r="L910" s="65" t="n"/>
      <c r="M910" s="65" t="n"/>
      <c r="N910" s="65" t="n"/>
      <c r="O910" s="65" t="n"/>
      <c r="P910" s="65" t="n"/>
      <c r="Q910" s="65" t="n"/>
      <c r="R910" s="65" t="n"/>
      <c r="S910" s="65" t="n"/>
      <c r="T910" s="65" t="n"/>
      <c r="U910" s="65" t="n"/>
      <c r="V910" s="77" t="n"/>
      <c r="W910" s="65" t="n"/>
      <c r="X910" s="65" t="n"/>
      <c r="Y910" s="65" t="n"/>
      <c r="Z910" s="65" t="n"/>
      <c r="AA910" s="65" t="n"/>
      <c r="AB910" s="65" t="n"/>
      <c r="AC910" s="65" t="n"/>
      <c r="AD910" s="65" t="n"/>
      <c r="AE910" s="65" t="n"/>
      <c r="AF910" s="65" t="n"/>
      <c r="AG910" s="65" t="n"/>
      <c r="AH910" s="65" t="n"/>
      <c r="AI910" s="65" t="n"/>
      <c r="AJ910" s="65" t="n"/>
      <c r="AK910" s="65" t="n"/>
      <c r="AL910" s="65" t="n"/>
      <c r="AM910" s="65" t="n"/>
      <c r="AN910" s="65" t="n"/>
      <c r="AO910" s="65" t="n"/>
      <c r="AP910" s="65" t="n"/>
    </row>
    <row r="911">
      <c r="F911" s="68" t="n"/>
      <c r="G911" s="68">
        <f>IF(B911="","",F911-I911 )</f>
        <v/>
      </c>
      <c r="H911" s="5">
        <f>IF(G911="","",G911/F911)</f>
        <v/>
      </c>
      <c r="J911" s="65" t="n"/>
      <c r="K911" s="65" t="n"/>
      <c r="L911" s="65" t="n"/>
      <c r="M911" s="65" t="n"/>
      <c r="N911" s="65" t="n"/>
      <c r="O911" s="65" t="n"/>
      <c r="P911" s="65" t="n"/>
      <c r="Q911" s="65" t="n"/>
      <c r="R911" s="65" t="n"/>
      <c r="S911" s="65" t="n"/>
      <c r="T911" s="65" t="n"/>
      <c r="U911" s="65" t="n"/>
      <c r="V911" s="77" t="n"/>
      <c r="W911" s="65" t="n"/>
      <c r="X911" s="65" t="n"/>
      <c r="Y911" s="65" t="n"/>
      <c r="Z911" s="65" t="n"/>
      <c r="AA911" s="65" t="n"/>
      <c r="AB911" s="65" t="n"/>
      <c r="AC911" s="65" t="n"/>
      <c r="AD911" s="65" t="n"/>
      <c r="AE911" s="65" t="n"/>
      <c r="AF911" s="65" t="n"/>
      <c r="AG911" s="65" t="n"/>
      <c r="AH911" s="65" t="n"/>
      <c r="AI911" s="65" t="n"/>
      <c r="AJ911" s="65" t="n"/>
      <c r="AK911" s="65" t="n"/>
      <c r="AL911" s="65" t="n"/>
      <c r="AM911" s="65" t="n"/>
      <c r="AN911" s="65" t="n"/>
      <c r="AO911" s="65" t="n"/>
      <c r="AP911" s="65" t="n"/>
    </row>
    <row r="912">
      <c r="F912" s="68" t="n"/>
      <c r="G912" s="68">
        <f>IF(B912="","",F912-I912 )</f>
        <v/>
      </c>
      <c r="H912" s="5">
        <f>IF(G912="","",G912/F912)</f>
        <v/>
      </c>
      <c r="J912" s="65" t="n"/>
      <c r="K912" s="65" t="n"/>
      <c r="L912" s="65" t="n"/>
      <c r="M912" s="65" t="n"/>
      <c r="N912" s="65" t="n"/>
      <c r="O912" s="65" t="n"/>
      <c r="P912" s="65" t="n"/>
      <c r="Q912" s="65" t="n"/>
      <c r="R912" s="65" t="n"/>
      <c r="S912" s="65" t="n"/>
      <c r="T912" s="65" t="n"/>
      <c r="U912" s="65" t="n"/>
      <c r="V912" s="77" t="n"/>
      <c r="W912" s="65" t="n"/>
      <c r="X912" s="65" t="n"/>
      <c r="Y912" s="65" t="n"/>
      <c r="Z912" s="65" t="n"/>
      <c r="AA912" s="65" t="n"/>
      <c r="AB912" s="65" t="n"/>
      <c r="AC912" s="65" t="n"/>
      <c r="AD912" s="65" t="n"/>
      <c r="AE912" s="65" t="n"/>
      <c r="AF912" s="65" t="n"/>
      <c r="AG912" s="65" t="n"/>
      <c r="AH912" s="65" t="n"/>
      <c r="AI912" s="65" t="n"/>
      <c r="AJ912" s="65" t="n"/>
      <c r="AK912" s="65" t="n"/>
      <c r="AL912" s="65" t="n"/>
      <c r="AM912" s="65" t="n"/>
      <c r="AN912" s="65" t="n"/>
      <c r="AO912" s="65" t="n"/>
      <c r="AP912" s="65" t="n"/>
    </row>
    <row r="913">
      <c r="F913" s="68" t="n"/>
      <c r="G913" s="68">
        <f>IF(B913="","",F913-I913 )</f>
        <v/>
      </c>
      <c r="H913" s="5">
        <f>IF(G913="","",G913/F913)</f>
        <v/>
      </c>
      <c r="J913" s="65" t="n"/>
      <c r="K913" s="65" t="n"/>
      <c r="L913" s="65" t="n"/>
      <c r="M913" s="65" t="n"/>
      <c r="N913" s="65" t="n"/>
      <c r="O913" s="65" t="n"/>
      <c r="P913" s="65" t="n"/>
      <c r="Q913" s="65" t="n"/>
      <c r="R913" s="65" t="n"/>
      <c r="S913" s="65" t="n"/>
      <c r="T913" s="65" t="n"/>
      <c r="U913" s="65" t="n"/>
      <c r="V913" s="77" t="n"/>
      <c r="W913" s="65" t="n"/>
      <c r="X913" s="65" t="n"/>
      <c r="Y913" s="65" t="n"/>
      <c r="Z913" s="65" t="n"/>
      <c r="AA913" s="65" t="n"/>
      <c r="AB913" s="65" t="n"/>
      <c r="AC913" s="65" t="n"/>
      <c r="AD913" s="65" t="n"/>
      <c r="AE913" s="65" t="n"/>
      <c r="AF913" s="65" t="n"/>
      <c r="AG913" s="65" t="n"/>
      <c r="AH913" s="65" t="n"/>
      <c r="AI913" s="65" t="n"/>
      <c r="AJ913" s="65" t="n"/>
      <c r="AK913" s="65" t="n"/>
      <c r="AL913" s="65" t="n"/>
      <c r="AM913" s="65" t="n"/>
      <c r="AN913" s="65" t="n"/>
      <c r="AO913" s="65" t="n"/>
      <c r="AP913" s="65" t="n"/>
    </row>
    <row r="914">
      <c r="F914" s="68" t="n"/>
      <c r="G914" s="68">
        <f>IF(B914="","",F914-I914 )</f>
        <v/>
      </c>
      <c r="H914" s="5">
        <f>IF(G914="","",G914/F914)</f>
        <v/>
      </c>
      <c r="J914" s="65" t="n"/>
      <c r="K914" s="65" t="n"/>
      <c r="L914" s="65" t="n"/>
      <c r="M914" s="65" t="n"/>
      <c r="N914" s="65" t="n"/>
      <c r="O914" s="65" t="n"/>
      <c r="P914" s="65" t="n"/>
      <c r="Q914" s="65" t="n"/>
      <c r="R914" s="65" t="n"/>
      <c r="S914" s="65" t="n"/>
      <c r="T914" s="65" t="n"/>
      <c r="U914" s="65" t="n"/>
      <c r="V914" s="77" t="n"/>
      <c r="W914" s="65" t="n"/>
      <c r="X914" s="65" t="n"/>
      <c r="Y914" s="65" t="n"/>
      <c r="Z914" s="65" t="n"/>
      <c r="AA914" s="65" t="n"/>
      <c r="AB914" s="65" t="n"/>
      <c r="AC914" s="65" t="n"/>
      <c r="AD914" s="65" t="n"/>
      <c r="AE914" s="65" t="n"/>
      <c r="AF914" s="65" t="n"/>
      <c r="AG914" s="65" t="n"/>
      <c r="AH914" s="65" t="n"/>
      <c r="AI914" s="65" t="n"/>
      <c r="AJ914" s="65" t="n"/>
      <c r="AK914" s="65" t="n"/>
      <c r="AL914" s="65" t="n"/>
      <c r="AM914" s="65" t="n"/>
      <c r="AN914" s="65" t="n"/>
      <c r="AO914" s="65" t="n"/>
      <c r="AP914" s="65" t="n"/>
    </row>
    <row r="915">
      <c r="F915" s="68" t="n"/>
      <c r="G915" s="68">
        <f>IF(B915="","",F915-I915 )</f>
        <v/>
      </c>
      <c r="H915" s="5">
        <f>IF(G915="","",G915/F915)</f>
        <v/>
      </c>
      <c r="J915" s="65" t="n"/>
      <c r="K915" s="65" t="n"/>
      <c r="L915" s="65" t="n"/>
      <c r="M915" s="65" t="n"/>
      <c r="N915" s="65" t="n"/>
      <c r="O915" s="65" t="n"/>
      <c r="P915" s="65" t="n"/>
      <c r="Q915" s="65" t="n"/>
      <c r="R915" s="65" t="n"/>
      <c r="S915" s="65" t="n"/>
      <c r="T915" s="65" t="n"/>
      <c r="U915" s="65" t="n"/>
      <c r="V915" s="77" t="n"/>
      <c r="W915" s="65" t="n"/>
      <c r="X915" s="65" t="n"/>
      <c r="Y915" s="65" t="n"/>
      <c r="Z915" s="65" t="n"/>
      <c r="AA915" s="65" t="n"/>
      <c r="AB915" s="65" t="n"/>
      <c r="AC915" s="65" t="n"/>
      <c r="AD915" s="65" t="n"/>
      <c r="AE915" s="65" t="n"/>
      <c r="AF915" s="65" t="n"/>
      <c r="AG915" s="65" t="n"/>
      <c r="AH915" s="65" t="n"/>
      <c r="AI915" s="65" t="n"/>
      <c r="AJ915" s="65" t="n"/>
      <c r="AK915" s="65" t="n"/>
      <c r="AL915" s="65" t="n"/>
      <c r="AM915" s="65" t="n"/>
      <c r="AN915" s="65" t="n"/>
      <c r="AO915" s="65" t="n"/>
      <c r="AP915" s="65" t="n"/>
    </row>
    <row r="916">
      <c r="F916" s="68" t="n"/>
      <c r="G916" s="68">
        <f>IF(B916="","",F916-I916 )</f>
        <v/>
      </c>
      <c r="H916" s="5">
        <f>IF(G916="","",G916/F916)</f>
        <v/>
      </c>
      <c r="J916" s="65" t="n"/>
      <c r="K916" s="65" t="n"/>
      <c r="L916" s="65" t="n"/>
      <c r="M916" s="65" t="n"/>
      <c r="N916" s="65" t="n"/>
      <c r="O916" s="65" t="n"/>
      <c r="P916" s="65" t="n"/>
      <c r="Q916" s="65" t="n"/>
      <c r="R916" s="65" t="n"/>
      <c r="S916" s="65" t="n"/>
      <c r="T916" s="65" t="n"/>
      <c r="U916" s="65" t="n"/>
      <c r="V916" s="77" t="n"/>
      <c r="W916" s="65" t="n"/>
      <c r="X916" s="65" t="n"/>
      <c r="Y916" s="65" t="n"/>
      <c r="Z916" s="65" t="n"/>
      <c r="AA916" s="65" t="n"/>
      <c r="AB916" s="65" t="n"/>
      <c r="AC916" s="65" t="n"/>
      <c r="AD916" s="65" t="n"/>
      <c r="AE916" s="65" t="n"/>
      <c r="AF916" s="65" t="n"/>
      <c r="AG916" s="65" t="n"/>
      <c r="AH916" s="65" t="n"/>
      <c r="AI916" s="65" t="n"/>
      <c r="AJ916" s="65" t="n"/>
      <c r="AK916" s="65" t="n"/>
      <c r="AL916" s="65" t="n"/>
      <c r="AM916" s="65" t="n"/>
      <c r="AN916" s="65" t="n"/>
      <c r="AO916" s="65" t="n"/>
      <c r="AP916" s="65" t="n"/>
    </row>
    <row r="917">
      <c r="F917" s="68" t="n"/>
      <c r="G917" s="68">
        <f>IF(B917="","",F917-I917 )</f>
        <v/>
      </c>
      <c r="H917" s="5">
        <f>IF(G917="","",G917/F917)</f>
        <v/>
      </c>
      <c r="J917" s="65" t="n"/>
      <c r="K917" s="65" t="n"/>
      <c r="L917" s="65" t="n"/>
      <c r="M917" s="65" t="n"/>
      <c r="N917" s="65" t="n"/>
      <c r="O917" s="65" t="n"/>
      <c r="P917" s="65" t="n"/>
      <c r="Q917" s="65" t="n"/>
      <c r="R917" s="65" t="n"/>
      <c r="S917" s="65" t="n"/>
      <c r="T917" s="65" t="n"/>
      <c r="U917" s="65" t="n"/>
      <c r="V917" s="77" t="n"/>
      <c r="W917" s="65" t="n"/>
      <c r="X917" s="65" t="n"/>
      <c r="Y917" s="65" t="n"/>
      <c r="Z917" s="65" t="n"/>
      <c r="AA917" s="65" t="n"/>
      <c r="AB917" s="65" t="n"/>
      <c r="AC917" s="65" t="n"/>
      <c r="AD917" s="65" t="n"/>
      <c r="AE917" s="65" t="n"/>
      <c r="AF917" s="65" t="n"/>
      <c r="AG917" s="65" t="n"/>
      <c r="AH917" s="65" t="n"/>
      <c r="AI917" s="65" t="n"/>
      <c r="AJ917" s="65" t="n"/>
      <c r="AK917" s="65" t="n"/>
      <c r="AL917" s="65" t="n"/>
      <c r="AM917" s="65" t="n"/>
      <c r="AN917" s="65" t="n"/>
      <c r="AO917" s="65" t="n"/>
      <c r="AP917" s="65" t="n"/>
    </row>
    <row r="918">
      <c r="F918" s="68" t="n"/>
      <c r="G918" s="68">
        <f>IF(B918="","",F918-I918 )</f>
        <v/>
      </c>
      <c r="H918" s="5">
        <f>IF(G918="","",G918/F918)</f>
        <v/>
      </c>
      <c r="J918" s="65" t="n"/>
      <c r="K918" s="65" t="n"/>
      <c r="L918" s="65" t="n"/>
      <c r="M918" s="65" t="n"/>
      <c r="N918" s="65" t="n"/>
      <c r="O918" s="65" t="n"/>
      <c r="P918" s="65" t="n"/>
      <c r="Q918" s="65" t="n"/>
      <c r="R918" s="65" t="n"/>
      <c r="S918" s="65" t="n"/>
      <c r="T918" s="65" t="n"/>
      <c r="U918" s="65" t="n"/>
      <c r="V918" s="77" t="n"/>
      <c r="W918" s="65" t="n"/>
      <c r="X918" s="65" t="n"/>
      <c r="Y918" s="65" t="n"/>
      <c r="Z918" s="65" t="n"/>
      <c r="AA918" s="65" t="n"/>
      <c r="AB918" s="65" t="n"/>
      <c r="AC918" s="65" t="n"/>
      <c r="AD918" s="65" t="n"/>
      <c r="AE918" s="65" t="n"/>
      <c r="AF918" s="65" t="n"/>
      <c r="AG918" s="65" t="n"/>
      <c r="AH918" s="65" t="n"/>
      <c r="AI918" s="65" t="n"/>
      <c r="AJ918" s="65" t="n"/>
      <c r="AK918" s="65" t="n"/>
      <c r="AL918" s="65" t="n"/>
      <c r="AM918" s="65" t="n"/>
      <c r="AN918" s="65" t="n"/>
      <c r="AO918" s="65" t="n"/>
      <c r="AP918" s="65" t="n"/>
    </row>
    <row r="919">
      <c r="F919" s="68" t="n"/>
      <c r="G919" s="68">
        <f>IF(B919="","",F919-I919 )</f>
        <v/>
      </c>
      <c r="H919" s="5">
        <f>IF(G919="","",G919/F919)</f>
        <v/>
      </c>
      <c r="J919" s="65" t="n"/>
      <c r="K919" s="65" t="n"/>
      <c r="L919" s="65" t="n"/>
      <c r="M919" s="65" t="n"/>
      <c r="N919" s="65" t="n"/>
      <c r="O919" s="65" t="n"/>
      <c r="P919" s="65" t="n"/>
      <c r="Q919" s="65" t="n"/>
      <c r="R919" s="65" t="n"/>
      <c r="S919" s="65" t="n"/>
      <c r="T919" s="65" t="n"/>
      <c r="U919" s="65" t="n"/>
      <c r="V919" s="77" t="n"/>
      <c r="W919" s="65" t="n"/>
      <c r="X919" s="65" t="n"/>
      <c r="Y919" s="65" t="n"/>
      <c r="Z919" s="65" t="n"/>
      <c r="AA919" s="65" t="n"/>
      <c r="AB919" s="65" t="n"/>
      <c r="AC919" s="65" t="n"/>
      <c r="AD919" s="65" t="n"/>
      <c r="AE919" s="65" t="n"/>
      <c r="AF919" s="65" t="n"/>
      <c r="AG919" s="65" t="n"/>
      <c r="AH919" s="65" t="n"/>
      <c r="AI919" s="65" t="n"/>
      <c r="AJ919" s="65" t="n"/>
      <c r="AK919" s="65" t="n"/>
      <c r="AL919" s="65" t="n"/>
      <c r="AM919" s="65" t="n"/>
      <c r="AN919" s="65" t="n"/>
      <c r="AO919" s="65" t="n"/>
      <c r="AP919" s="65" t="n"/>
    </row>
    <row r="920">
      <c r="F920" s="68" t="n"/>
      <c r="G920" s="68">
        <f>IF(B920="","",F920-I920 )</f>
        <v/>
      </c>
      <c r="H920" s="5">
        <f>IF(G920="","",G920/F920)</f>
        <v/>
      </c>
      <c r="J920" s="65" t="n"/>
      <c r="K920" s="65" t="n"/>
      <c r="L920" s="65" t="n"/>
      <c r="M920" s="65" t="n"/>
      <c r="N920" s="65" t="n"/>
      <c r="O920" s="65" t="n"/>
      <c r="P920" s="65" t="n"/>
      <c r="Q920" s="65" t="n"/>
      <c r="R920" s="65" t="n"/>
      <c r="S920" s="65" t="n"/>
      <c r="T920" s="65" t="n"/>
      <c r="U920" s="65" t="n"/>
      <c r="V920" s="77" t="n"/>
      <c r="W920" s="65" t="n"/>
      <c r="X920" s="65" t="n"/>
      <c r="Y920" s="65" t="n"/>
      <c r="Z920" s="65" t="n"/>
      <c r="AA920" s="65" t="n"/>
      <c r="AB920" s="65" t="n"/>
      <c r="AC920" s="65" t="n"/>
      <c r="AD920" s="65" t="n"/>
      <c r="AE920" s="65" t="n"/>
      <c r="AF920" s="65" t="n"/>
      <c r="AG920" s="65" t="n"/>
      <c r="AH920" s="65" t="n"/>
      <c r="AI920" s="65" t="n"/>
      <c r="AJ920" s="65" t="n"/>
      <c r="AK920" s="65" t="n"/>
      <c r="AL920" s="65" t="n"/>
      <c r="AM920" s="65" t="n"/>
      <c r="AN920" s="65" t="n"/>
      <c r="AO920" s="65" t="n"/>
      <c r="AP920" s="65" t="n"/>
    </row>
    <row r="921">
      <c r="F921" s="68" t="n"/>
      <c r="G921" s="68">
        <f>IF(B921="","",F921-I921 )</f>
        <v/>
      </c>
      <c r="H921" s="5">
        <f>IF(G921="","",G921/F921)</f>
        <v/>
      </c>
      <c r="J921" s="65" t="n"/>
      <c r="K921" s="65" t="n"/>
      <c r="L921" s="65" t="n"/>
      <c r="M921" s="65" t="n"/>
      <c r="N921" s="65" t="n"/>
      <c r="O921" s="65" t="n"/>
      <c r="P921" s="65" t="n"/>
      <c r="Q921" s="65" t="n"/>
      <c r="R921" s="65" t="n"/>
      <c r="S921" s="65" t="n"/>
      <c r="T921" s="65" t="n"/>
      <c r="U921" s="65" t="n"/>
      <c r="V921" s="77" t="n"/>
      <c r="W921" s="65" t="n"/>
      <c r="X921" s="65" t="n"/>
      <c r="Y921" s="65" t="n"/>
      <c r="Z921" s="65" t="n"/>
      <c r="AA921" s="65" t="n"/>
      <c r="AB921" s="65" t="n"/>
      <c r="AC921" s="65" t="n"/>
      <c r="AD921" s="65" t="n"/>
      <c r="AE921" s="65" t="n"/>
      <c r="AF921" s="65" t="n"/>
      <c r="AG921" s="65" t="n"/>
      <c r="AH921" s="65" t="n"/>
      <c r="AI921" s="65" t="n"/>
      <c r="AJ921" s="65" t="n"/>
      <c r="AK921" s="65" t="n"/>
      <c r="AL921" s="65" t="n"/>
      <c r="AM921" s="65" t="n"/>
      <c r="AN921" s="65" t="n"/>
      <c r="AO921" s="65" t="n"/>
      <c r="AP921" s="65" t="n"/>
    </row>
    <row r="922">
      <c r="F922" s="68" t="n"/>
      <c r="G922" s="68">
        <f>IF(B922="","",F922-I922 )</f>
        <v/>
      </c>
      <c r="H922" s="5">
        <f>IF(G922="","",G922/F922)</f>
        <v/>
      </c>
      <c r="J922" s="65" t="n"/>
      <c r="K922" s="65" t="n"/>
      <c r="L922" s="65" t="n"/>
      <c r="M922" s="65" t="n"/>
      <c r="N922" s="65" t="n"/>
      <c r="O922" s="65" t="n"/>
      <c r="P922" s="65" t="n"/>
      <c r="Q922" s="65" t="n"/>
      <c r="R922" s="65" t="n"/>
      <c r="S922" s="65" t="n"/>
      <c r="T922" s="65" t="n"/>
      <c r="U922" s="65" t="n"/>
      <c r="V922" s="77" t="n"/>
      <c r="W922" s="65" t="n"/>
      <c r="X922" s="65" t="n"/>
      <c r="Y922" s="65" t="n"/>
      <c r="Z922" s="65" t="n"/>
      <c r="AA922" s="65" t="n"/>
      <c r="AB922" s="65" t="n"/>
      <c r="AC922" s="65" t="n"/>
      <c r="AD922" s="65" t="n"/>
      <c r="AE922" s="65" t="n"/>
      <c r="AF922" s="65" t="n"/>
      <c r="AG922" s="65" t="n"/>
      <c r="AH922" s="65" t="n"/>
      <c r="AI922" s="65" t="n"/>
      <c r="AJ922" s="65" t="n"/>
      <c r="AK922" s="65" t="n"/>
      <c r="AL922" s="65" t="n"/>
      <c r="AM922" s="65" t="n"/>
      <c r="AN922" s="65" t="n"/>
      <c r="AO922" s="65" t="n"/>
      <c r="AP922" s="65" t="n"/>
    </row>
    <row r="923">
      <c r="F923" s="68" t="n"/>
      <c r="G923" s="68">
        <f>IF(B923="","",F923-I923 )</f>
        <v/>
      </c>
      <c r="H923" s="5">
        <f>IF(G923="","",G923/F923)</f>
        <v/>
      </c>
      <c r="J923" s="65" t="n"/>
      <c r="K923" s="65" t="n"/>
      <c r="L923" s="65" t="n"/>
      <c r="M923" s="65" t="n"/>
      <c r="N923" s="65" t="n"/>
      <c r="O923" s="65" t="n"/>
      <c r="P923" s="65" t="n"/>
      <c r="Q923" s="65" t="n"/>
      <c r="R923" s="65" t="n"/>
      <c r="S923" s="65" t="n"/>
      <c r="T923" s="65" t="n"/>
      <c r="U923" s="65" t="n"/>
      <c r="V923" s="77" t="n"/>
      <c r="W923" s="65" t="n"/>
      <c r="X923" s="65" t="n"/>
      <c r="Y923" s="65" t="n"/>
      <c r="Z923" s="65" t="n"/>
      <c r="AA923" s="65" t="n"/>
      <c r="AB923" s="65" t="n"/>
      <c r="AC923" s="65" t="n"/>
      <c r="AD923" s="65" t="n"/>
      <c r="AE923" s="65" t="n"/>
      <c r="AF923" s="65" t="n"/>
      <c r="AG923" s="65" t="n"/>
      <c r="AH923" s="65" t="n"/>
      <c r="AI923" s="65" t="n"/>
      <c r="AJ923" s="65" t="n"/>
      <c r="AK923" s="65" t="n"/>
      <c r="AL923" s="65" t="n"/>
      <c r="AM923" s="65" t="n"/>
      <c r="AN923" s="65" t="n"/>
      <c r="AO923" s="65" t="n"/>
      <c r="AP923" s="65" t="n"/>
    </row>
    <row r="924">
      <c r="F924" s="68" t="n"/>
      <c r="G924" s="68">
        <f>IF(B924="","",F924-I924 )</f>
        <v/>
      </c>
      <c r="H924" s="5">
        <f>IF(G924="","",G924/F924)</f>
        <v/>
      </c>
      <c r="J924" s="65" t="n"/>
      <c r="K924" s="65" t="n"/>
      <c r="L924" s="65" t="n"/>
      <c r="M924" s="65" t="n"/>
      <c r="N924" s="65" t="n"/>
      <c r="O924" s="65" t="n"/>
      <c r="P924" s="65" t="n"/>
      <c r="Q924" s="65" t="n"/>
      <c r="R924" s="65" t="n"/>
      <c r="S924" s="65" t="n"/>
      <c r="T924" s="65" t="n"/>
      <c r="U924" s="65" t="n"/>
      <c r="V924" s="77" t="n"/>
      <c r="W924" s="65" t="n"/>
      <c r="X924" s="65" t="n"/>
      <c r="Y924" s="65" t="n"/>
      <c r="Z924" s="65" t="n"/>
      <c r="AA924" s="65" t="n"/>
      <c r="AB924" s="65" t="n"/>
      <c r="AC924" s="65" t="n"/>
      <c r="AD924" s="65" t="n"/>
      <c r="AE924" s="65" t="n"/>
      <c r="AF924" s="65" t="n"/>
      <c r="AG924" s="65" t="n"/>
      <c r="AH924" s="65" t="n"/>
      <c r="AI924" s="65" t="n"/>
      <c r="AJ924" s="65" t="n"/>
      <c r="AK924" s="65" t="n"/>
      <c r="AL924" s="65" t="n"/>
      <c r="AM924" s="65" t="n"/>
      <c r="AN924" s="65" t="n"/>
      <c r="AO924" s="65" t="n"/>
      <c r="AP924" s="65" t="n"/>
    </row>
    <row r="925">
      <c r="F925" s="68" t="n"/>
      <c r="G925" s="68">
        <f>IF(B925="","",F925-I925 )</f>
        <v/>
      </c>
      <c r="H925" s="5">
        <f>IF(G925="","",G925/F925)</f>
        <v/>
      </c>
      <c r="J925" s="65" t="n"/>
      <c r="K925" s="65" t="n"/>
      <c r="L925" s="65" t="n"/>
      <c r="M925" s="65" t="n"/>
      <c r="N925" s="65" t="n"/>
      <c r="O925" s="65" t="n"/>
      <c r="P925" s="65" t="n"/>
      <c r="Q925" s="65" t="n"/>
      <c r="R925" s="65" t="n"/>
      <c r="S925" s="65" t="n"/>
      <c r="T925" s="65" t="n"/>
      <c r="U925" s="65" t="n"/>
      <c r="V925" s="77" t="n"/>
      <c r="W925" s="65" t="n"/>
      <c r="X925" s="65" t="n"/>
      <c r="Y925" s="65" t="n"/>
      <c r="Z925" s="65" t="n"/>
      <c r="AA925" s="65" t="n"/>
      <c r="AB925" s="65" t="n"/>
      <c r="AC925" s="65" t="n"/>
      <c r="AD925" s="65" t="n"/>
      <c r="AE925" s="65" t="n"/>
      <c r="AF925" s="65" t="n"/>
      <c r="AG925" s="65" t="n"/>
      <c r="AH925" s="65" t="n"/>
      <c r="AI925" s="65" t="n"/>
      <c r="AJ925" s="65" t="n"/>
      <c r="AK925" s="65" t="n"/>
      <c r="AL925" s="65" t="n"/>
      <c r="AM925" s="65" t="n"/>
      <c r="AN925" s="65" t="n"/>
      <c r="AO925" s="65" t="n"/>
      <c r="AP925" s="65" t="n"/>
    </row>
    <row r="926">
      <c r="F926" s="68" t="n"/>
      <c r="G926" s="68">
        <f>IF(B926="","",F926-I926 )</f>
        <v/>
      </c>
      <c r="H926" s="5">
        <f>IF(G926="","",G926/F926)</f>
        <v/>
      </c>
      <c r="J926" s="65" t="n"/>
      <c r="K926" s="65" t="n"/>
      <c r="L926" s="65" t="n"/>
      <c r="M926" s="65" t="n"/>
      <c r="N926" s="65" t="n"/>
      <c r="O926" s="65" t="n"/>
      <c r="P926" s="65" t="n"/>
      <c r="Q926" s="65" t="n"/>
      <c r="R926" s="65" t="n"/>
      <c r="S926" s="65" t="n"/>
      <c r="T926" s="65" t="n"/>
      <c r="U926" s="65" t="n"/>
      <c r="V926" s="77" t="n"/>
      <c r="W926" s="65" t="n"/>
      <c r="X926" s="65" t="n"/>
      <c r="Y926" s="65" t="n"/>
      <c r="Z926" s="65" t="n"/>
      <c r="AA926" s="65" t="n"/>
      <c r="AB926" s="65" t="n"/>
      <c r="AC926" s="65" t="n"/>
      <c r="AD926" s="65" t="n"/>
      <c r="AE926" s="65" t="n"/>
      <c r="AF926" s="65" t="n"/>
      <c r="AG926" s="65" t="n"/>
      <c r="AH926" s="65" t="n"/>
      <c r="AI926" s="65" t="n"/>
      <c r="AJ926" s="65" t="n"/>
      <c r="AK926" s="65" t="n"/>
      <c r="AL926" s="65" t="n"/>
      <c r="AM926" s="65" t="n"/>
      <c r="AN926" s="65" t="n"/>
      <c r="AO926" s="65" t="n"/>
      <c r="AP926" s="65" t="n"/>
    </row>
    <row r="927">
      <c r="F927" s="68" t="n"/>
      <c r="G927" s="68">
        <f>IF(B927="","",F927-I927 )</f>
        <v/>
      </c>
      <c r="H927" s="5">
        <f>IF(G927="","",G927/F927)</f>
        <v/>
      </c>
      <c r="J927" s="65" t="n"/>
      <c r="K927" s="65" t="n"/>
      <c r="L927" s="65" t="n"/>
      <c r="M927" s="65" t="n"/>
      <c r="N927" s="65" t="n"/>
      <c r="O927" s="65" t="n"/>
      <c r="P927" s="65" t="n"/>
      <c r="Q927" s="65" t="n"/>
      <c r="R927" s="65" t="n"/>
      <c r="S927" s="65" t="n"/>
      <c r="T927" s="65" t="n"/>
      <c r="U927" s="65" t="n"/>
      <c r="V927" s="77" t="n"/>
      <c r="W927" s="65" t="n"/>
      <c r="X927" s="65" t="n"/>
      <c r="Y927" s="65" t="n"/>
      <c r="Z927" s="65" t="n"/>
      <c r="AA927" s="65" t="n"/>
      <c r="AB927" s="65" t="n"/>
      <c r="AC927" s="65" t="n"/>
      <c r="AD927" s="65" t="n"/>
      <c r="AE927" s="65" t="n"/>
      <c r="AF927" s="65" t="n"/>
      <c r="AG927" s="65" t="n"/>
      <c r="AH927" s="65" t="n"/>
      <c r="AI927" s="65" t="n"/>
      <c r="AJ927" s="65" t="n"/>
      <c r="AK927" s="65" t="n"/>
      <c r="AL927" s="65" t="n"/>
      <c r="AM927" s="65" t="n"/>
      <c r="AN927" s="65" t="n"/>
      <c r="AO927" s="65" t="n"/>
      <c r="AP927" s="65" t="n"/>
    </row>
    <row r="928">
      <c r="F928" s="68" t="n"/>
      <c r="G928" s="68">
        <f>IF(B928="","",F928-I928 )</f>
        <v/>
      </c>
      <c r="H928" s="5">
        <f>IF(G928="","",G928/F928)</f>
        <v/>
      </c>
      <c r="J928" s="65" t="n"/>
      <c r="K928" s="65" t="n"/>
      <c r="L928" s="65" t="n"/>
      <c r="M928" s="65" t="n"/>
      <c r="N928" s="65" t="n"/>
      <c r="O928" s="65" t="n"/>
      <c r="P928" s="65" t="n"/>
      <c r="Q928" s="65" t="n"/>
      <c r="R928" s="65" t="n"/>
      <c r="S928" s="65" t="n"/>
      <c r="T928" s="65" t="n"/>
      <c r="U928" s="65" t="n"/>
      <c r="V928" s="77" t="n"/>
      <c r="W928" s="65" t="n"/>
      <c r="X928" s="65" t="n"/>
      <c r="Y928" s="65" t="n"/>
      <c r="Z928" s="65" t="n"/>
      <c r="AA928" s="65" t="n"/>
      <c r="AB928" s="65" t="n"/>
      <c r="AC928" s="65" t="n"/>
      <c r="AD928" s="65" t="n"/>
      <c r="AE928" s="65" t="n"/>
      <c r="AF928" s="65" t="n"/>
      <c r="AG928" s="65" t="n"/>
      <c r="AH928" s="65" t="n"/>
      <c r="AI928" s="65" t="n"/>
      <c r="AJ928" s="65" t="n"/>
      <c r="AK928" s="65" t="n"/>
      <c r="AL928" s="65" t="n"/>
      <c r="AM928" s="65" t="n"/>
      <c r="AN928" s="65" t="n"/>
      <c r="AO928" s="65" t="n"/>
      <c r="AP928" s="65" t="n"/>
    </row>
    <row r="929">
      <c r="F929" s="68" t="n"/>
      <c r="G929" s="68">
        <f>IF(B929="","",F929-I929 )</f>
        <v/>
      </c>
      <c r="H929" s="5">
        <f>IF(G929="","",G929/F929)</f>
        <v/>
      </c>
      <c r="J929" s="65" t="n"/>
      <c r="K929" s="65" t="n"/>
      <c r="L929" s="65" t="n"/>
      <c r="M929" s="65" t="n"/>
      <c r="N929" s="65" t="n"/>
      <c r="O929" s="65" t="n"/>
      <c r="P929" s="65" t="n"/>
      <c r="Q929" s="65" t="n"/>
      <c r="R929" s="65" t="n"/>
      <c r="S929" s="65" t="n"/>
      <c r="T929" s="65" t="n"/>
      <c r="U929" s="65" t="n"/>
      <c r="V929" s="77" t="n"/>
      <c r="W929" s="65" t="n"/>
      <c r="X929" s="65" t="n"/>
      <c r="Y929" s="65" t="n"/>
      <c r="Z929" s="65" t="n"/>
      <c r="AA929" s="65" t="n"/>
      <c r="AB929" s="65" t="n"/>
      <c r="AC929" s="65" t="n"/>
      <c r="AD929" s="65" t="n"/>
      <c r="AE929" s="65" t="n"/>
      <c r="AF929" s="65" t="n"/>
      <c r="AG929" s="65" t="n"/>
      <c r="AH929" s="65" t="n"/>
      <c r="AI929" s="65" t="n"/>
      <c r="AJ929" s="65" t="n"/>
      <c r="AK929" s="65" t="n"/>
      <c r="AL929" s="65" t="n"/>
      <c r="AM929" s="65" t="n"/>
      <c r="AN929" s="65" t="n"/>
      <c r="AO929" s="65" t="n"/>
      <c r="AP929" s="65" t="n"/>
    </row>
    <row r="930">
      <c r="F930" s="68" t="n"/>
      <c r="G930" s="68">
        <f>IF(B930="","",F930-I930 )</f>
        <v/>
      </c>
      <c r="H930" s="5">
        <f>IF(G930="","",G930/F930)</f>
        <v/>
      </c>
      <c r="J930" s="65" t="n"/>
      <c r="K930" s="65" t="n"/>
      <c r="L930" s="65" t="n"/>
      <c r="M930" s="65" t="n"/>
      <c r="N930" s="65" t="n"/>
      <c r="O930" s="65" t="n"/>
      <c r="P930" s="65" t="n"/>
      <c r="Q930" s="65" t="n"/>
      <c r="R930" s="65" t="n"/>
      <c r="S930" s="65" t="n"/>
      <c r="T930" s="65" t="n"/>
      <c r="U930" s="65" t="n"/>
      <c r="V930" s="77" t="n"/>
      <c r="W930" s="65" t="n"/>
      <c r="X930" s="65" t="n"/>
      <c r="Y930" s="65" t="n"/>
      <c r="Z930" s="65" t="n"/>
      <c r="AA930" s="65" t="n"/>
      <c r="AB930" s="65" t="n"/>
      <c r="AC930" s="65" t="n"/>
      <c r="AD930" s="65" t="n"/>
      <c r="AE930" s="65" t="n"/>
      <c r="AF930" s="65" t="n"/>
      <c r="AG930" s="65" t="n"/>
      <c r="AH930" s="65" t="n"/>
      <c r="AI930" s="65" t="n"/>
      <c r="AJ930" s="65" t="n"/>
      <c r="AK930" s="65" t="n"/>
      <c r="AL930" s="65" t="n"/>
      <c r="AM930" s="65" t="n"/>
      <c r="AN930" s="65" t="n"/>
      <c r="AO930" s="65" t="n"/>
      <c r="AP930" s="65" t="n"/>
    </row>
    <row r="931">
      <c r="F931" s="68" t="n"/>
      <c r="G931" s="68">
        <f>IF(B931="","",F931-I931 )</f>
        <v/>
      </c>
      <c r="H931" s="5">
        <f>IF(G931="","",G931/F931)</f>
        <v/>
      </c>
      <c r="J931" s="65" t="n"/>
      <c r="K931" s="65" t="n"/>
      <c r="L931" s="65" t="n"/>
      <c r="M931" s="65" t="n"/>
      <c r="N931" s="65" t="n"/>
      <c r="O931" s="65" t="n"/>
      <c r="P931" s="65" t="n"/>
      <c r="Q931" s="65" t="n"/>
      <c r="R931" s="65" t="n"/>
      <c r="S931" s="65" t="n"/>
      <c r="T931" s="65" t="n"/>
      <c r="U931" s="65" t="n"/>
      <c r="V931" s="77" t="n"/>
      <c r="W931" s="65" t="n"/>
      <c r="X931" s="65" t="n"/>
      <c r="Y931" s="65" t="n"/>
      <c r="Z931" s="65" t="n"/>
      <c r="AA931" s="65" t="n"/>
      <c r="AB931" s="65" t="n"/>
      <c r="AC931" s="65" t="n"/>
      <c r="AD931" s="65" t="n"/>
      <c r="AE931" s="65" t="n"/>
      <c r="AF931" s="65" t="n"/>
      <c r="AG931" s="65" t="n"/>
      <c r="AH931" s="65" t="n"/>
      <c r="AI931" s="65" t="n"/>
      <c r="AJ931" s="65" t="n"/>
      <c r="AK931" s="65" t="n"/>
      <c r="AL931" s="65" t="n"/>
      <c r="AM931" s="65" t="n"/>
      <c r="AN931" s="65" t="n"/>
      <c r="AO931" s="65" t="n"/>
      <c r="AP931" s="65" t="n"/>
    </row>
    <row r="932">
      <c r="F932" s="68" t="n"/>
      <c r="G932" s="68">
        <f>IF(B932="","",F932-I932 )</f>
        <v/>
      </c>
      <c r="H932" s="5">
        <f>IF(G932="","",G932/F932)</f>
        <v/>
      </c>
      <c r="J932" s="65" t="n"/>
      <c r="K932" s="65" t="n"/>
      <c r="L932" s="65" t="n"/>
      <c r="M932" s="65" t="n"/>
      <c r="N932" s="65" t="n"/>
      <c r="O932" s="65" t="n"/>
      <c r="P932" s="65" t="n"/>
      <c r="Q932" s="65" t="n"/>
      <c r="R932" s="65" t="n"/>
      <c r="S932" s="65" t="n"/>
      <c r="T932" s="65" t="n"/>
      <c r="U932" s="65" t="n"/>
      <c r="V932" s="77" t="n"/>
      <c r="W932" s="65" t="n"/>
      <c r="X932" s="65" t="n"/>
      <c r="Y932" s="65" t="n"/>
      <c r="Z932" s="65" t="n"/>
      <c r="AA932" s="65" t="n"/>
      <c r="AB932" s="65" t="n"/>
      <c r="AC932" s="65" t="n"/>
      <c r="AD932" s="65" t="n"/>
      <c r="AE932" s="65" t="n"/>
      <c r="AF932" s="65" t="n"/>
      <c r="AG932" s="65" t="n"/>
      <c r="AH932" s="65" t="n"/>
      <c r="AI932" s="65" t="n"/>
      <c r="AJ932" s="65" t="n"/>
      <c r="AK932" s="65" t="n"/>
      <c r="AL932" s="65" t="n"/>
      <c r="AM932" s="65" t="n"/>
      <c r="AN932" s="65" t="n"/>
      <c r="AO932" s="65" t="n"/>
      <c r="AP932" s="65" t="n"/>
    </row>
    <row r="933">
      <c r="F933" s="68" t="n"/>
      <c r="G933" s="68">
        <f>IF(B933="","",F933-I933 )</f>
        <v/>
      </c>
      <c r="H933" s="5">
        <f>IF(G933="","",G933/F933)</f>
        <v/>
      </c>
      <c r="J933" s="65" t="n"/>
      <c r="K933" s="65" t="n"/>
      <c r="L933" s="65" t="n"/>
      <c r="M933" s="65" t="n"/>
      <c r="N933" s="65" t="n"/>
      <c r="O933" s="65" t="n"/>
      <c r="P933" s="65" t="n"/>
      <c r="Q933" s="65" t="n"/>
      <c r="R933" s="65" t="n"/>
      <c r="S933" s="65" t="n"/>
      <c r="T933" s="65" t="n"/>
      <c r="U933" s="65" t="n"/>
      <c r="V933" s="77" t="n"/>
      <c r="W933" s="65" t="n"/>
      <c r="X933" s="65" t="n"/>
      <c r="Y933" s="65" t="n"/>
      <c r="Z933" s="65" t="n"/>
      <c r="AA933" s="65" t="n"/>
      <c r="AB933" s="65" t="n"/>
      <c r="AC933" s="65" t="n"/>
      <c r="AD933" s="65" t="n"/>
      <c r="AE933" s="65" t="n"/>
      <c r="AF933" s="65" t="n"/>
      <c r="AG933" s="65" t="n"/>
      <c r="AH933" s="65" t="n"/>
      <c r="AI933" s="65" t="n"/>
      <c r="AJ933" s="65" t="n"/>
      <c r="AK933" s="65" t="n"/>
      <c r="AL933" s="65" t="n"/>
      <c r="AM933" s="65" t="n"/>
      <c r="AN933" s="65" t="n"/>
      <c r="AO933" s="65" t="n"/>
      <c r="AP933" s="65" t="n"/>
    </row>
    <row r="934">
      <c r="F934" s="68" t="n"/>
      <c r="G934" s="68">
        <f>IF(B934="","",F934-I934 )</f>
        <v/>
      </c>
      <c r="H934" s="5">
        <f>IF(G934="","",G934/F934)</f>
        <v/>
      </c>
      <c r="J934" s="65" t="n"/>
      <c r="K934" s="65" t="n"/>
      <c r="L934" s="65" t="n"/>
      <c r="M934" s="65" t="n"/>
      <c r="N934" s="65" t="n"/>
      <c r="O934" s="65" t="n"/>
      <c r="P934" s="65" t="n"/>
      <c r="Q934" s="65" t="n"/>
      <c r="R934" s="65" t="n"/>
      <c r="S934" s="65" t="n"/>
      <c r="T934" s="65" t="n"/>
      <c r="U934" s="65" t="n"/>
      <c r="V934" s="77" t="n"/>
      <c r="W934" s="65" t="n"/>
      <c r="X934" s="65" t="n"/>
      <c r="Y934" s="65" t="n"/>
      <c r="Z934" s="65" t="n"/>
      <c r="AA934" s="65" t="n"/>
      <c r="AB934" s="65" t="n"/>
      <c r="AC934" s="65" t="n"/>
      <c r="AD934" s="65" t="n"/>
      <c r="AE934" s="65" t="n"/>
      <c r="AF934" s="65" t="n"/>
      <c r="AG934" s="65" t="n"/>
      <c r="AH934" s="65" t="n"/>
      <c r="AI934" s="65" t="n"/>
      <c r="AJ934" s="65" t="n"/>
      <c r="AK934" s="65" t="n"/>
      <c r="AL934" s="65" t="n"/>
      <c r="AM934" s="65" t="n"/>
      <c r="AN934" s="65" t="n"/>
      <c r="AO934" s="65" t="n"/>
      <c r="AP934" s="65" t="n"/>
    </row>
    <row r="935">
      <c r="F935" s="68" t="n"/>
      <c r="G935" s="68">
        <f>IF(B935="","",F935-I935 )</f>
        <v/>
      </c>
      <c r="H935" s="5">
        <f>IF(G935="","",G935/F935)</f>
        <v/>
      </c>
      <c r="J935" s="65" t="n"/>
      <c r="K935" s="65" t="n"/>
      <c r="L935" s="65" t="n"/>
      <c r="M935" s="65" t="n"/>
      <c r="N935" s="65" t="n"/>
      <c r="O935" s="65" t="n"/>
      <c r="P935" s="65" t="n"/>
      <c r="Q935" s="65" t="n"/>
      <c r="R935" s="65" t="n"/>
      <c r="S935" s="65" t="n"/>
      <c r="T935" s="65" t="n"/>
      <c r="U935" s="65" t="n"/>
      <c r="V935" s="77" t="n"/>
      <c r="W935" s="65" t="n"/>
      <c r="X935" s="65" t="n"/>
      <c r="Y935" s="65" t="n"/>
      <c r="Z935" s="65" t="n"/>
      <c r="AA935" s="65" t="n"/>
      <c r="AB935" s="65" t="n"/>
      <c r="AC935" s="65" t="n"/>
      <c r="AD935" s="65" t="n"/>
      <c r="AE935" s="65" t="n"/>
      <c r="AF935" s="65" t="n"/>
      <c r="AG935" s="65" t="n"/>
      <c r="AH935" s="65" t="n"/>
      <c r="AI935" s="65" t="n"/>
      <c r="AJ935" s="65" t="n"/>
      <c r="AK935" s="65" t="n"/>
      <c r="AL935" s="65" t="n"/>
      <c r="AM935" s="65" t="n"/>
      <c r="AN935" s="65" t="n"/>
      <c r="AO935" s="65" t="n"/>
      <c r="AP935" s="65" t="n"/>
    </row>
    <row r="936">
      <c r="F936" s="68" t="n"/>
      <c r="G936" s="68">
        <f>IF(B936="","",F936-I936 )</f>
        <v/>
      </c>
      <c r="H936" s="5">
        <f>IF(G936="","",G936/F936)</f>
        <v/>
      </c>
      <c r="J936" s="65" t="n"/>
      <c r="K936" s="65" t="n"/>
      <c r="L936" s="65" t="n"/>
      <c r="M936" s="65" t="n"/>
      <c r="N936" s="65" t="n"/>
      <c r="O936" s="65" t="n"/>
      <c r="P936" s="65" t="n"/>
      <c r="Q936" s="65" t="n"/>
      <c r="R936" s="65" t="n"/>
      <c r="S936" s="65" t="n"/>
      <c r="T936" s="65" t="n"/>
      <c r="U936" s="65" t="n"/>
      <c r="V936" s="77" t="n"/>
      <c r="W936" s="65" t="n"/>
      <c r="X936" s="65" t="n"/>
      <c r="Y936" s="65" t="n"/>
      <c r="Z936" s="65" t="n"/>
      <c r="AA936" s="65" t="n"/>
      <c r="AB936" s="65" t="n"/>
      <c r="AC936" s="65" t="n"/>
      <c r="AD936" s="65" t="n"/>
      <c r="AE936" s="65" t="n"/>
      <c r="AF936" s="65" t="n"/>
      <c r="AG936" s="65" t="n"/>
      <c r="AH936" s="65" t="n"/>
      <c r="AI936" s="65" t="n"/>
      <c r="AJ936" s="65" t="n"/>
      <c r="AK936" s="65" t="n"/>
      <c r="AL936" s="65" t="n"/>
      <c r="AM936" s="65" t="n"/>
      <c r="AN936" s="65" t="n"/>
      <c r="AO936" s="65" t="n"/>
      <c r="AP936" s="65" t="n"/>
    </row>
    <row r="937">
      <c r="F937" s="68" t="n"/>
      <c r="G937" s="68">
        <f>IF(B937="","",F937-I937 )</f>
        <v/>
      </c>
      <c r="H937" s="5">
        <f>IF(G937="","",G937/F937)</f>
        <v/>
      </c>
      <c r="J937" s="65" t="n"/>
      <c r="K937" s="65" t="n"/>
      <c r="L937" s="65" t="n"/>
      <c r="M937" s="65" t="n"/>
      <c r="N937" s="65" t="n"/>
      <c r="O937" s="65" t="n"/>
      <c r="P937" s="65" t="n"/>
      <c r="Q937" s="65" t="n"/>
      <c r="R937" s="65" t="n"/>
      <c r="S937" s="65" t="n"/>
      <c r="T937" s="65" t="n"/>
      <c r="U937" s="65" t="n"/>
      <c r="V937" s="77" t="n"/>
      <c r="W937" s="65" t="n"/>
      <c r="X937" s="65" t="n"/>
      <c r="Y937" s="65" t="n"/>
      <c r="Z937" s="65" t="n"/>
      <c r="AA937" s="65" t="n"/>
      <c r="AB937" s="65" t="n"/>
      <c r="AC937" s="65" t="n"/>
      <c r="AD937" s="65" t="n"/>
      <c r="AE937" s="65" t="n"/>
      <c r="AF937" s="65" t="n"/>
      <c r="AG937" s="65" t="n"/>
      <c r="AH937" s="65" t="n"/>
      <c r="AI937" s="65" t="n"/>
      <c r="AJ937" s="65" t="n"/>
      <c r="AK937" s="65" t="n"/>
      <c r="AL937" s="65" t="n"/>
      <c r="AM937" s="65" t="n"/>
      <c r="AN937" s="65" t="n"/>
      <c r="AO937" s="65" t="n"/>
      <c r="AP937" s="65" t="n"/>
    </row>
    <row r="938">
      <c r="F938" s="68" t="n"/>
      <c r="G938" s="68">
        <f>IF(B938="","",F938-I938 )</f>
        <v/>
      </c>
      <c r="H938" s="5">
        <f>IF(G938="","",G938/F938)</f>
        <v/>
      </c>
      <c r="J938" s="65" t="n"/>
      <c r="K938" s="65" t="n"/>
      <c r="L938" s="65" t="n"/>
      <c r="M938" s="65" t="n"/>
      <c r="N938" s="65" t="n"/>
      <c r="O938" s="65" t="n"/>
      <c r="P938" s="65" t="n"/>
      <c r="Q938" s="65" t="n"/>
      <c r="R938" s="65" t="n"/>
      <c r="S938" s="65" t="n"/>
      <c r="T938" s="65" t="n"/>
      <c r="U938" s="65" t="n"/>
      <c r="V938" s="77" t="n"/>
      <c r="W938" s="65" t="n"/>
      <c r="X938" s="65" t="n"/>
      <c r="Y938" s="65" t="n"/>
      <c r="Z938" s="65" t="n"/>
      <c r="AA938" s="65" t="n"/>
      <c r="AB938" s="65" t="n"/>
      <c r="AC938" s="65" t="n"/>
      <c r="AD938" s="65" t="n"/>
      <c r="AE938" s="65" t="n"/>
      <c r="AF938" s="65" t="n"/>
      <c r="AG938" s="65" t="n"/>
      <c r="AH938" s="65" t="n"/>
      <c r="AI938" s="65" t="n"/>
      <c r="AJ938" s="65" t="n"/>
      <c r="AK938" s="65" t="n"/>
      <c r="AL938" s="65" t="n"/>
      <c r="AM938" s="65" t="n"/>
      <c r="AN938" s="65" t="n"/>
      <c r="AO938" s="65" t="n"/>
      <c r="AP938" s="65" t="n"/>
    </row>
    <row r="939">
      <c r="F939" s="68" t="n"/>
      <c r="G939" s="68">
        <f>IF(B939="","",F939-I939 )</f>
        <v/>
      </c>
      <c r="H939" s="5">
        <f>IF(G939="","",G939/F939)</f>
        <v/>
      </c>
      <c r="J939" s="65" t="n"/>
      <c r="K939" s="65" t="n"/>
      <c r="L939" s="65" t="n"/>
      <c r="M939" s="65" t="n"/>
      <c r="N939" s="65" t="n"/>
      <c r="O939" s="65" t="n"/>
      <c r="P939" s="65" t="n"/>
      <c r="Q939" s="65" t="n"/>
      <c r="R939" s="65" t="n"/>
      <c r="S939" s="65" t="n"/>
      <c r="T939" s="65" t="n"/>
      <c r="U939" s="65" t="n"/>
      <c r="V939" s="77" t="n"/>
      <c r="W939" s="65" t="n"/>
      <c r="X939" s="65" t="n"/>
      <c r="Y939" s="65" t="n"/>
      <c r="Z939" s="65" t="n"/>
      <c r="AA939" s="65" t="n"/>
      <c r="AB939" s="65" t="n"/>
      <c r="AC939" s="65" t="n"/>
      <c r="AD939" s="65" t="n"/>
      <c r="AE939" s="65" t="n"/>
      <c r="AF939" s="65" t="n"/>
      <c r="AG939" s="65" t="n"/>
      <c r="AH939" s="65" t="n"/>
      <c r="AI939" s="65" t="n"/>
      <c r="AJ939" s="65" t="n"/>
      <c r="AK939" s="65" t="n"/>
      <c r="AL939" s="65" t="n"/>
      <c r="AM939" s="65" t="n"/>
      <c r="AN939" s="65" t="n"/>
      <c r="AO939" s="65" t="n"/>
      <c r="AP939" s="65" t="n"/>
    </row>
    <row r="940">
      <c r="F940" s="68" t="n"/>
      <c r="G940" s="68">
        <f>IF(B940="","",F940-I940 )</f>
        <v/>
      </c>
      <c r="H940" s="5">
        <f>IF(G940="","",G940/F940)</f>
        <v/>
      </c>
      <c r="J940" s="65" t="n"/>
      <c r="K940" s="65" t="n"/>
      <c r="L940" s="65" t="n"/>
      <c r="M940" s="65" t="n"/>
      <c r="N940" s="65" t="n"/>
      <c r="O940" s="65" t="n"/>
      <c r="P940" s="65" t="n"/>
      <c r="Q940" s="65" t="n"/>
      <c r="R940" s="65" t="n"/>
      <c r="S940" s="65" t="n"/>
      <c r="T940" s="65" t="n"/>
      <c r="U940" s="65" t="n"/>
      <c r="V940" s="77" t="n"/>
      <c r="W940" s="65" t="n"/>
      <c r="X940" s="65" t="n"/>
      <c r="Y940" s="65" t="n"/>
      <c r="Z940" s="65" t="n"/>
      <c r="AA940" s="65" t="n"/>
      <c r="AB940" s="65" t="n"/>
      <c r="AC940" s="65" t="n"/>
      <c r="AD940" s="65" t="n"/>
      <c r="AE940" s="65" t="n"/>
      <c r="AF940" s="65" t="n"/>
      <c r="AG940" s="65" t="n"/>
      <c r="AH940" s="65" t="n"/>
      <c r="AI940" s="65" t="n"/>
      <c r="AJ940" s="65" t="n"/>
      <c r="AK940" s="65" t="n"/>
      <c r="AL940" s="65" t="n"/>
      <c r="AM940" s="65" t="n"/>
      <c r="AN940" s="65" t="n"/>
      <c r="AO940" s="65" t="n"/>
      <c r="AP940" s="65" t="n"/>
    </row>
    <row r="941">
      <c r="F941" s="68" t="n"/>
      <c r="G941" s="68">
        <f>IF(B941="","",F941-I941 )</f>
        <v/>
      </c>
      <c r="H941" s="5">
        <f>IF(G941="","",G941/F941)</f>
        <v/>
      </c>
      <c r="J941" s="65" t="n"/>
      <c r="K941" s="65" t="n"/>
      <c r="L941" s="65" t="n"/>
      <c r="M941" s="65" t="n"/>
      <c r="N941" s="65" t="n"/>
      <c r="O941" s="65" t="n"/>
      <c r="P941" s="65" t="n"/>
      <c r="Q941" s="65" t="n"/>
      <c r="R941" s="65" t="n"/>
      <c r="S941" s="65" t="n"/>
      <c r="T941" s="65" t="n"/>
      <c r="U941" s="65" t="n"/>
      <c r="V941" s="77" t="n"/>
      <c r="W941" s="65" t="n"/>
      <c r="X941" s="65" t="n"/>
      <c r="Y941" s="65" t="n"/>
      <c r="Z941" s="65" t="n"/>
      <c r="AA941" s="65" t="n"/>
      <c r="AB941" s="65" t="n"/>
      <c r="AC941" s="65" t="n"/>
      <c r="AD941" s="65" t="n"/>
      <c r="AE941" s="65" t="n"/>
      <c r="AF941" s="65" t="n"/>
      <c r="AG941" s="65" t="n"/>
      <c r="AH941" s="65" t="n"/>
      <c r="AI941" s="65" t="n"/>
      <c r="AJ941" s="65" t="n"/>
      <c r="AK941" s="65" t="n"/>
      <c r="AL941" s="65" t="n"/>
      <c r="AM941" s="65" t="n"/>
      <c r="AN941" s="65" t="n"/>
      <c r="AO941" s="65" t="n"/>
      <c r="AP941" s="65" t="n"/>
    </row>
    <row r="942">
      <c r="F942" s="68" t="n"/>
      <c r="G942" s="68">
        <f>IF(B942="","",F942-I942 )</f>
        <v/>
      </c>
      <c r="H942" s="5">
        <f>IF(G942="","",G942/F942)</f>
        <v/>
      </c>
      <c r="J942" s="65" t="n"/>
      <c r="K942" s="65" t="n"/>
      <c r="L942" s="65" t="n"/>
      <c r="M942" s="65" t="n"/>
      <c r="N942" s="65" t="n"/>
      <c r="O942" s="65" t="n"/>
      <c r="P942" s="65" t="n"/>
      <c r="Q942" s="65" t="n"/>
      <c r="R942" s="65" t="n"/>
      <c r="S942" s="65" t="n"/>
      <c r="T942" s="65" t="n"/>
      <c r="U942" s="65" t="n"/>
      <c r="V942" s="77" t="n"/>
      <c r="W942" s="65" t="n"/>
      <c r="X942" s="65" t="n"/>
      <c r="Y942" s="65" t="n"/>
      <c r="Z942" s="65" t="n"/>
      <c r="AA942" s="65" t="n"/>
      <c r="AB942" s="65" t="n"/>
      <c r="AC942" s="65" t="n"/>
      <c r="AD942" s="65" t="n"/>
      <c r="AE942" s="65" t="n"/>
      <c r="AF942" s="65" t="n"/>
      <c r="AG942" s="65" t="n"/>
      <c r="AH942" s="65" t="n"/>
      <c r="AI942" s="65" t="n"/>
      <c r="AJ942" s="65" t="n"/>
      <c r="AK942" s="65" t="n"/>
      <c r="AL942" s="65" t="n"/>
      <c r="AM942" s="65" t="n"/>
      <c r="AN942" s="65" t="n"/>
      <c r="AO942" s="65" t="n"/>
      <c r="AP942" s="65" t="n"/>
    </row>
    <row r="943">
      <c r="F943" s="68" t="n"/>
      <c r="G943" s="68">
        <f>IF(B943="","",F943-I943 )</f>
        <v/>
      </c>
      <c r="H943" s="5">
        <f>IF(G943="","",G943/F943)</f>
        <v/>
      </c>
      <c r="J943" s="65" t="n"/>
      <c r="K943" s="65" t="n"/>
      <c r="L943" s="65" t="n"/>
      <c r="M943" s="65" t="n"/>
      <c r="N943" s="65" t="n"/>
      <c r="O943" s="65" t="n"/>
      <c r="P943" s="65" t="n"/>
      <c r="Q943" s="65" t="n"/>
      <c r="R943" s="65" t="n"/>
      <c r="S943" s="65" t="n"/>
      <c r="T943" s="65" t="n"/>
      <c r="U943" s="65" t="n"/>
      <c r="V943" s="77" t="n"/>
      <c r="W943" s="65" t="n"/>
      <c r="X943" s="65" t="n"/>
      <c r="Y943" s="65" t="n"/>
      <c r="Z943" s="65" t="n"/>
      <c r="AA943" s="65" t="n"/>
      <c r="AB943" s="65" t="n"/>
      <c r="AC943" s="65" t="n"/>
      <c r="AD943" s="65" t="n"/>
      <c r="AE943" s="65" t="n"/>
      <c r="AF943" s="65" t="n"/>
      <c r="AG943" s="65" t="n"/>
      <c r="AH943" s="65" t="n"/>
      <c r="AI943" s="65" t="n"/>
      <c r="AJ943" s="65" t="n"/>
      <c r="AK943" s="65" t="n"/>
      <c r="AL943" s="65" t="n"/>
      <c r="AM943" s="65" t="n"/>
      <c r="AN943" s="65" t="n"/>
      <c r="AO943" s="65" t="n"/>
      <c r="AP943" s="65" t="n"/>
    </row>
    <row r="944">
      <c r="F944" s="68" t="n"/>
      <c r="G944" s="68">
        <f>IF(B944="","",F944-I944 )</f>
        <v/>
      </c>
      <c r="H944" s="5">
        <f>IF(G944="","",G944/F944)</f>
        <v/>
      </c>
      <c r="J944" s="65" t="n"/>
      <c r="K944" s="65" t="n"/>
      <c r="L944" s="65" t="n"/>
      <c r="M944" s="65" t="n"/>
      <c r="N944" s="65" t="n"/>
      <c r="O944" s="65" t="n"/>
      <c r="P944" s="65" t="n"/>
      <c r="Q944" s="65" t="n"/>
      <c r="R944" s="65" t="n"/>
      <c r="S944" s="65" t="n"/>
      <c r="T944" s="65" t="n"/>
      <c r="U944" s="65" t="n"/>
      <c r="V944" s="77" t="n"/>
      <c r="W944" s="65" t="n"/>
      <c r="X944" s="65" t="n"/>
      <c r="Y944" s="65" t="n"/>
      <c r="Z944" s="65" t="n"/>
      <c r="AA944" s="65" t="n"/>
      <c r="AB944" s="65" t="n"/>
      <c r="AC944" s="65" t="n"/>
      <c r="AD944" s="65" t="n"/>
      <c r="AE944" s="65" t="n"/>
      <c r="AF944" s="65" t="n"/>
      <c r="AG944" s="65" t="n"/>
      <c r="AH944" s="65" t="n"/>
      <c r="AI944" s="65" t="n"/>
      <c r="AJ944" s="65" t="n"/>
      <c r="AK944" s="65" t="n"/>
      <c r="AL944" s="65" t="n"/>
      <c r="AM944" s="65" t="n"/>
      <c r="AN944" s="65" t="n"/>
      <c r="AO944" s="65" t="n"/>
      <c r="AP944" s="65" t="n"/>
    </row>
    <row r="945">
      <c r="F945" s="68" t="n"/>
      <c r="G945" s="68">
        <f>IF(B945="","",F945-I945 )</f>
        <v/>
      </c>
      <c r="H945" s="5">
        <f>IF(G945="","",G945/F945)</f>
        <v/>
      </c>
      <c r="J945" s="65" t="n"/>
      <c r="K945" s="65" t="n"/>
      <c r="L945" s="65" t="n"/>
      <c r="M945" s="65" t="n"/>
      <c r="N945" s="65" t="n"/>
      <c r="O945" s="65" t="n"/>
      <c r="P945" s="65" t="n"/>
      <c r="Q945" s="65" t="n"/>
      <c r="R945" s="65" t="n"/>
      <c r="S945" s="65" t="n"/>
      <c r="T945" s="65" t="n"/>
      <c r="U945" s="65" t="n"/>
      <c r="V945" s="77" t="n"/>
      <c r="W945" s="65" t="n"/>
      <c r="X945" s="65" t="n"/>
      <c r="Y945" s="65" t="n"/>
      <c r="Z945" s="65" t="n"/>
      <c r="AA945" s="65" t="n"/>
      <c r="AB945" s="65" t="n"/>
      <c r="AC945" s="65" t="n"/>
      <c r="AD945" s="65" t="n"/>
      <c r="AE945" s="65" t="n"/>
      <c r="AF945" s="65" t="n"/>
      <c r="AG945" s="65" t="n"/>
      <c r="AH945" s="65" t="n"/>
      <c r="AI945" s="65" t="n"/>
      <c r="AJ945" s="65" t="n"/>
      <c r="AK945" s="65" t="n"/>
      <c r="AL945" s="65" t="n"/>
      <c r="AM945" s="65" t="n"/>
      <c r="AN945" s="65" t="n"/>
      <c r="AO945" s="65" t="n"/>
      <c r="AP945" s="65" t="n"/>
    </row>
    <row r="946">
      <c r="F946" s="68" t="n"/>
      <c r="G946" s="68">
        <f>IF(B946="","",F946-I946 )</f>
        <v/>
      </c>
      <c r="H946" s="5">
        <f>IF(G946="","",G946/F946)</f>
        <v/>
      </c>
      <c r="J946" s="65" t="n"/>
      <c r="K946" s="65" t="n"/>
      <c r="L946" s="65" t="n"/>
      <c r="M946" s="65" t="n"/>
      <c r="N946" s="65" t="n"/>
      <c r="O946" s="65" t="n"/>
      <c r="P946" s="65" t="n"/>
      <c r="Q946" s="65" t="n"/>
      <c r="R946" s="65" t="n"/>
      <c r="S946" s="65" t="n"/>
      <c r="T946" s="65" t="n"/>
      <c r="U946" s="65" t="n"/>
      <c r="V946" s="77" t="n"/>
      <c r="W946" s="65" t="n"/>
      <c r="X946" s="65" t="n"/>
      <c r="Y946" s="65" t="n"/>
      <c r="Z946" s="65" t="n"/>
      <c r="AA946" s="65" t="n"/>
      <c r="AB946" s="65" t="n"/>
      <c r="AC946" s="65" t="n"/>
      <c r="AD946" s="65" t="n"/>
      <c r="AE946" s="65" t="n"/>
      <c r="AF946" s="65" t="n"/>
      <c r="AG946" s="65" t="n"/>
      <c r="AH946" s="65" t="n"/>
      <c r="AI946" s="65" t="n"/>
      <c r="AJ946" s="65" t="n"/>
      <c r="AK946" s="65" t="n"/>
      <c r="AL946" s="65" t="n"/>
      <c r="AM946" s="65" t="n"/>
      <c r="AN946" s="65" t="n"/>
      <c r="AO946" s="65" t="n"/>
      <c r="AP946" s="65" t="n"/>
    </row>
    <row r="947">
      <c r="F947" s="68" t="n"/>
      <c r="G947" s="68">
        <f>IF(B947="","",F947-I947 )</f>
        <v/>
      </c>
      <c r="H947" s="5">
        <f>IF(G947="","",G947/F947)</f>
        <v/>
      </c>
      <c r="J947" s="65" t="n"/>
      <c r="K947" s="65" t="n"/>
      <c r="L947" s="65" t="n"/>
      <c r="M947" s="65" t="n"/>
      <c r="N947" s="65" t="n"/>
      <c r="O947" s="65" t="n"/>
      <c r="P947" s="65" t="n"/>
      <c r="Q947" s="65" t="n"/>
      <c r="R947" s="65" t="n"/>
      <c r="S947" s="65" t="n"/>
      <c r="T947" s="65" t="n"/>
      <c r="U947" s="65" t="n"/>
      <c r="V947" s="77" t="n"/>
      <c r="W947" s="65" t="n"/>
      <c r="X947" s="65" t="n"/>
      <c r="Y947" s="65" t="n"/>
      <c r="Z947" s="65" t="n"/>
      <c r="AA947" s="65" t="n"/>
      <c r="AB947" s="65" t="n"/>
      <c r="AC947" s="65" t="n"/>
      <c r="AD947" s="65" t="n"/>
      <c r="AE947" s="65" t="n"/>
      <c r="AF947" s="65" t="n"/>
      <c r="AG947" s="65" t="n"/>
      <c r="AH947" s="65" t="n"/>
      <c r="AI947" s="65" t="n"/>
      <c r="AJ947" s="65" t="n"/>
      <c r="AK947" s="65" t="n"/>
      <c r="AL947" s="65" t="n"/>
      <c r="AM947" s="65" t="n"/>
      <c r="AN947" s="65" t="n"/>
      <c r="AO947" s="65" t="n"/>
      <c r="AP947" s="65" t="n"/>
    </row>
    <row r="948">
      <c r="F948" s="68" t="n"/>
      <c r="G948" s="68">
        <f>IF(B948="","",F948-I948 )</f>
        <v/>
      </c>
      <c r="H948" s="5">
        <f>IF(G948="","",G948/F948)</f>
        <v/>
      </c>
      <c r="J948" s="65" t="n"/>
      <c r="K948" s="65" t="n"/>
      <c r="L948" s="65" t="n"/>
      <c r="M948" s="65" t="n"/>
      <c r="N948" s="65" t="n"/>
      <c r="O948" s="65" t="n"/>
      <c r="P948" s="65" t="n"/>
      <c r="Q948" s="65" t="n"/>
      <c r="R948" s="65" t="n"/>
      <c r="S948" s="65" t="n"/>
      <c r="T948" s="65" t="n"/>
      <c r="U948" s="65" t="n"/>
      <c r="V948" s="77" t="n"/>
      <c r="W948" s="65" t="n"/>
      <c r="X948" s="65" t="n"/>
      <c r="Y948" s="65" t="n"/>
      <c r="Z948" s="65" t="n"/>
      <c r="AA948" s="65" t="n"/>
      <c r="AB948" s="65" t="n"/>
      <c r="AC948" s="65" t="n"/>
      <c r="AD948" s="65" t="n"/>
      <c r="AE948" s="65" t="n"/>
      <c r="AF948" s="65" t="n"/>
      <c r="AG948" s="65" t="n"/>
      <c r="AH948" s="65" t="n"/>
      <c r="AI948" s="65" t="n"/>
      <c r="AJ948" s="65" t="n"/>
      <c r="AK948" s="65" t="n"/>
      <c r="AL948" s="65" t="n"/>
      <c r="AM948" s="65" t="n"/>
      <c r="AN948" s="65" t="n"/>
      <c r="AO948" s="65" t="n"/>
      <c r="AP948" s="65" t="n"/>
    </row>
    <row r="949">
      <c r="F949" s="68" t="n"/>
      <c r="G949" s="68">
        <f>IF(B949="","",F949-I949 )</f>
        <v/>
      </c>
      <c r="H949" s="5">
        <f>IF(G949="","",G949/F949)</f>
        <v/>
      </c>
      <c r="J949" s="65" t="n"/>
      <c r="K949" s="65" t="n"/>
      <c r="L949" s="65" t="n"/>
      <c r="M949" s="65" t="n"/>
      <c r="N949" s="65" t="n"/>
      <c r="O949" s="65" t="n"/>
      <c r="P949" s="65" t="n"/>
      <c r="Q949" s="65" t="n"/>
      <c r="R949" s="65" t="n"/>
      <c r="S949" s="65" t="n"/>
      <c r="T949" s="65" t="n"/>
      <c r="U949" s="65" t="n"/>
      <c r="V949" s="77" t="n"/>
      <c r="W949" s="65" t="n"/>
      <c r="X949" s="65" t="n"/>
      <c r="Y949" s="65" t="n"/>
      <c r="Z949" s="65" t="n"/>
      <c r="AA949" s="65" t="n"/>
      <c r="AB949" s="65" t="n"/>
      <c r="AC949" s="65" t="n"/>
      <c r="AD949" s="65" t="n"/>
      <c r="AE949" s="65" t="n"/>
      <c r="AF949" s="65" t="n"/>
      <c r="AG949" s="65" t="n"/>
      <c r="AH949" s="65" t="n"/>
      <c r="AI949" s="65" t="n"/>
      <c r="AJ949" s="65" t="n"/>
      <c r="AK949" s="65" t="n"/>
      <c r="AL949" s="65" t="n"/>
      <c r="AM949" s="65" t="n"/>
      <c r="AN949" s="65" t="n"/>
      <c r="AO949" s="65" t="n"/>
      <c r="AP949" s="65" t="n"/>
    </row>
    <row r="950">
      <c r="F950" s="68" t="n"/>
      <c r="G950" s="68">
        <f>IF(B950="","",F950-I950 )</f>
        <v/>
      </c>
      <c r="H950" s="5">
        <f>IF(G950="","",G950/F950)</f>
        <v/>
      </c>
      <c r="J950" s="65" t="n"/>
      <c r="K950" s="65" t="n"/>
      <c r="L950" s="65" t="n"/>
      <c r="M950" s="65" t="n"/>
      <c r="N950" s="65" t="n"/>
      <c r="O950" s="65" t="n"/>
      <c r="P950" s="65" t="n"/>
      <c r="Q950" s="65" t="n"/>
      <c r="R950" s="65" t="n"/>
      <c r="S950" s="65" t="n"/>
      <c r="T950" s="65" t="n"/>
      <c r="U950" s="65" t="n"/>
      <c r="V950" s="77" t="n"/>
      <c r="W950" s="65" t="n"/>
      <c r="X950" s="65" t="n"/>
      <c r="Y950" s="65" t="n"/>
      <c r="Z950" s="65" t="n"/>
      <c r="AA950" s="65" t="n"/>
      <c r="AB950" s="65" t="n"/>
      <c r="AC950" s="65" t="n"/>
      <c r="AD950" s="65" t="n"/>
      <c r="AE950" s="65" t="n"/>
      <c r="AF950" s="65" t="n"/>
      <c r="AG950" s="65" t="n"/>
      <c r="AH950" s="65" t="n"/>
      <c r="AI950" s="65" t="n"/>
      <c r="AJ950" s="65" t="n"/>
      <c r="AK950" s="65" t="n"/>
      <c r="AL950" s="65" t="n"/>
      <c r="AM950" s="65" t="n"/>
      <c r="AN950" s="65" t="n"/>
      <c r="AO950" s="65" t="n"/>
      <c r="AP950" s="65" t="n"/>
    </row>
    <row r="951">
      <c r="F951" s="68" t="n"/>
      <c r="G951" s="68">
        <f>IF(B951="","",F951-I951 )</f>
        <v/>
      </c>
      <c r="H951" s="5">
        <f>IF(G951="","",G951/F951)</f>
        <v/>
      </c>
      <c r="J951" s="65" t="n"/>
      <c r="K951" s="65" t="n"/>
      <c r="L951" s="65" t="n"/>
      <c r="M951" s="65" t="n"/>
      <c r="N951" s="65" t="n"/>
      <c r="O951" s="65" t="n"/>
      <c r="P951" s="65" t="n"/>
      <c r="Q951" s="65" t="n"/>
      <c r="R951" s="65" t="n"/>
      <c r="S951" s="65" t="n"/>
      <c r="T951" s="65" t="n"/>
      <c r="U951" s="65" t="n"/>
      <c r="V951" s="77" t="n"/>
      <c r="W951" s="65" t="n"/>
      <c r="X951" s="65" t="n"/>
      <c r="Y951" s="65" t="n"/>
      <c r="Z951" s="65" t="n"/>
      <c r="AA951" s="65" t="n"/>
      <c r="AB951" s="65" t="n"/>
      <c r="AC951" s="65" t="n"/>
      <c r="AD951" s="65" t="n"/>
      <c r="AE951" s="65" t="n"/>
      <c r="AF951" s="65" t="n"/>
      <c r="AG951" s="65" t="n"/>
      <c r="AH951" s="65" t="n"/>
      <c r="AI951" s="65" t="n"/>
      <c r="AJ951" s="65" t="n"/>
      <c r="AK951" s="65" t="n"/>
      <c r="AL951" s="65" t="n"/>
      <c r="AM951" s="65" t="n"/>
      <c r="AN951" s="65" t="n"/>
      <c r="AO951" s="65" t="n"/>
      <c r="AP951" s="65" t="n"/>
    </row>
    <row r="952">
      <c r="F952" s="68" t="n"/>
      <c r="G952" s="68">
        <f>IF(B952="","",F952-I952 )</f>
        <v/>
      </c>
      <c r="H952" s="5">
        <f>IF(G952="","",G952/F952)</f>
        <v/>
      </c>
      <c r="J952" s="65" t="n"/>
      <c r="K952" s="65" t="n"/>
      <c r="L952" s="65" t="n"/>
      <c r="M952" s="65" t="n"/>
      <c r="N952" s="65" t="n"/>
      <c r="O952" s="65" t="n"/>
      <c r="P952" s="65" t="n"/>
      <c r="Q952" s="65" t="n"/>
      <c r="R952" s="65" t="n"/>
      <c r="S952" s="65" t="n"/>
      <c r="T952" s="65" t="n"/>
      <c r="U952" s="65" t="n"/>
      <c r="V952" s="77" t="n"/>
      <c r="W952" s="65" t="n"/>
      <c r="X952" s="65" t="n"/>
      <c r="Y952" s="65" t="n"/>
      <c r="Z952" s="65" t="n"/>
      <c r="AA952" s="65" t="n"/>
      <c r="AB952" s="65" t="n"/>
      <c r="AC952" s="65" t="n"/>
      <c r="AD952" s="65" t="n"/>
      <c r="AE952" s="65" t="n"/>
      <c r="AF952" s="65" t="n"/>
      <c r="AG952" s="65" t="n"/>
      <c r="AH952" s="65" t="n"/>
      <c r="AI952" s="65" t="n"/>
      <c r="AJ952" s="65" t="n"/>
      <c r="AK952" s="65" t="n"/>
      <c r="AL952" s="65" t="n"/>
      <c r="AM952" s="65" t="n"/>
      <c r="AN952" s="65" t="n"/>
      <c r="AO952" s="65" t="n"/>
      <c r="AP952" s="65" t="n"/>
    </row>
    <row r="953">
      <c r="F953" s="68" t="n"/>
      <c r="G953" s="68">
        <f>IF(B953="","",F953-I953 )</f>
        <v/>
      </c>
      <c r="H953" s="5">
        <f>IF(G953="","",G953/F953)</f>
        <v/>
      </c>
      <c r="J953" s="65" t="n"/>
      <c r="K953" s="65" t="n"/>
      <c r="L953" s="65" t="n"/>
      <c r="M953" s="65" t="n"/>
      <c r="N953" s="65" t="n"/>
      <c r="O953" s="65" t="n"/>
      <c r="P953" s="65" t="n"/>
      <c r="Q953" s="65" t="n"/>
      <c r="R953" s="65" t="n"/>
      <c r="S953" s="65" t="n"/>
      <c r="T953" s="65" t="n"/>
      <c r="U953" s="65" t="n"/>
      <c r="V953" s="77" t="n"/>
      <c r="W953" s="65" t="n"/>
      <c r="X953" s="65" t="n"/>
      <c r="Y953" s="65" t="n"/>
      <c r="Z953" s="65" t="n"/>
      <c r="AA953" s="65" t="n"/>
      <c r="AB953" s="65" t="n"/>
      <c r="AC953" s="65" t="n"/>
      <c r="AD953" s="65" t="n"/>
      <c r="AE953" s="65" t="n"/>
      <c r="AF953" s="65" t="n"/>
      <c r="AG953" s="65" t="n"/>
      <c r="AH953" s="65" t="n"/>
      <c r="AI953" s="65" t="n"/>
      <c r="AJ953" s="65" t="n"/>
      <c r="AK953" s="65" t="n"/>
      <c r="AL953" s="65" t="n"/>
      <c r="AM953" s="65" t="n"/>
      <c r="AN953" s="65" t="n"/>
      <c r="AO953" s="65" t="n"/>
      <c r="AP953" s="65" t="n"/>
    </row>
    <row r="954">
      <c r="F954" s="68" t="n"/>
      <c r="G954" s="68">
        <f>IF(B954="","",F954-I954 )</f>
        <v/>
      </c>
      <c r="H954" s="5">
        <f>IF(G954="","",G954/F954)</f>
        <v/>
      </c>
      <c r="J954" s="65" t="n"/>
      <c r="K954" s="65" t="n"/>
      <c r="L954" s="65" t="n"/>
      <c r="M954" s="65" t="n"/>
      <c r="N954" s="65" t="n"/>
      <c r="O954" s="65" t="n"/>
      <c r="P954" s="65" t="n"/>
      <c r="Q954" s="65" t="n"/>
      <c r="R954" s="65" t="n"/>
      <c r="S954" s="65" t="n"/>
      <c r="T954" s="65" t="n"/>
      <c r="U954" s="65" t="n"/>
      <c r="V954" s="77" t="n"/>
      <c r="W954" s="65" t="n"/>
      <c r="X954" s="65" t="n"/>
      <c r="Y954" s="65" t="n"/>
      <c r="Z954" s="65" t="n"/>
      <c r="AA954" s="65" t="n"/>
      <c r="AB954" s="65" t="n"/>
      <c r="AC954" s="65" t="n"/>
      <c r="AD954" s="65" t="n"/>
      <c r="AE954" s="65" t="n"/>
      <c r="AF954" s="65" t="n"/>
      <c r="AG954" s="65" t="n"/>
      <c r="AH954" s="65" t="n"/>
      <c r="AI954" s="65" t="n"/>
      <c r="AJ954" s="65" t="n"/>
      <c r="AK954" s="65" t="n"/>
      <c r="AL954" s="65" t="n"/>
      <c r="AM954" s="65" t="n"/>
      <c r="AN954" s="65" t="n"/>
      <c r="AO954" s="65" t="n"/>
      <c r="AP954" s="65" t="n"/>
    </row>
    <row r="955">
      <c r="F955" s="68" t="n"/>
      <c r="G955" s="68">
        <f>IF(B955="","",F955-I955 )</f>
        <v/>
      </c>
      <c r="H955" s="5">
        <f>IF(G955="","",G955/F955)</f>
        <v/>
      </c>
      <c r="J955" s="65" t="n"/>
      <c r="K955" s="65" t="n"/>
      <c r="L955" s="65" t="n"/>
      <c r="M955" s="65" t="n"/>
      <c r="N955" s="65" t="n"/>
      <c r="O955" s="65" t="n"/>
      <c r="P955" s="65" t="n"/>
      <c r="Q955" s="65" t="n"/>
      <c r="R955" s="65" t="n"/>
      <c r="S955" s="65" t="n"/>
      <c r="T955" s="65" t="n"/>
      <c r="U955" s="65" t="n"/>
      <c r="V955" s="77" t="n"/>
      <c r="W955" s="65" t="n"/>
      <c r="X955" s="65" t="n"/>
      <c r="Y955" s="65" t="n"/>
      <c r="Z955" s="65" t="n"/>
      <c r="AA955" s="65" t="n"/>
      <c r="AB955" s="65" t="n"/>
      <c r="AC955" s="65" t="n"/>
      <c r="AD955" s="65" t="n"/>
      <c r="AE955" s="65" t="n"/>
      <c r="AF955" s="65" t="n"/>
      <c r="AG955" s="65" t="n"/>
      <c r="AH955" s="65" t="n"/>
      <c r="AI955" s="65" t="n"/>
      <c r="AJ955" s="65" t="n"/>
      <c r="AK955" s="65" t="n"/>
      <c r="AL955" s="65" t="n"/>
      <c r="AM955" s="65" t="n"/>
      <c r="AN955" s="65" t="n"/>
      <c r="AO955" s="65" t="n"/>
      <c r="AP955" s="65" t="n"/>
    </row>
  </sheetData>
  <conditionalFormatting sqref="G1:G12 G14 G19:G20 G22 G24:G26 G28:G29 G31:G35 G39:G43 G45:G48 G50:G54 G57:G59 G62:G68 G70:G77 G81:G85 G92:G96 G98:G1048576">
    <cfRule type="cellIs" priority="37" operator="lessThan" dxfId="101">
      <formula>0</formula>
    </cfRule>
  </conditionalFormatting>
  <conditionalFormatting sqref="G15:G17">
    <cfRule type="cellIs" priority="15" operator="lessThan" dxfId="101">
      <formula>0</formula>
    </cfRule>
  </conditionalFormatting>
  <conditionalFormatting sqref="G21">
    <cfRule type="cellIs" priority="14" operator="lessThan" dxfId="101">
      <formula>0</formula>
    </cfRule>
  </conditionalFormatting>
  <conditionalFormatting sqref="G23">
    <cfRule type="cellIs" priority="13" operator="lessThan" dxfId="101">
      <formula>0</formula>
    </cfRule>
  </conditionalFormatting>
  <conditionalFormatting sqref="G27">
    <cfRule type="cellIs" priority="12" operator="lessThan" dxfId="101">
      <formula>0</formula>
    </cfRule>
  </conditionalFormatting>
  <conditionalFormatting sqref="G36">
    <cfRule type="cellIs" priority="11" operator="lessThan" dxfId="101">
      <formula>0</formula>
    </cfRule>
  </conditionalFormatting>
  <conditionalFormatting sqref="G44">
    <cfRule type="cellIs" priority="10" operator="lessThan" dxfId="101">
      <formula>0</formula>
    </cfRule>
  </conditionalFormatting>
  <conditionalFormatting sqref="G37">
    <cfRule type="cellIs" priority="9" operator="lessThan" dxfId="101">
      <formula>0</formula>
    </cfRule>
  </conditionalFormatting>
  <conditionalFormatting sqref="G55:G56">
    <cfRule type="cellIs" priority="8" operator="lessThan" dxfId="101">
      <formula>0</formula>
    </cfRule>
  </conditionalFormatting>
  <conditionalFormatting sqref="G79:G80">
    <cfRule type="cellIs" priority="7" operator="lessThan" dxfId="101">
      <formula>0</formula>
    </cfRule>
  </conditionalFormatting>
  <conditionalFormatting sqref="G89">
    <cfRule type="cellIs" priority="6" operator="lessThan" dxfId="101">
      <formula>0</formula>
    </cfRule>
  </conditionalFormatting>
  <conditionalFormatting sqref="G88">
    <cfRule type="cellIs" priority="5" operator="lessThan" dxfId="101">
      <formula>0</formula>
    </cfRule>
  </conditionalFormatting>
  <conditionalFormatting sqref="G87">
    <cfRule type="cellIs" priority="4" operator="lessThan" dxfId="101">
      <formula>0</formula>
    </cfRule>
  </conditionalFormatting>
  <conditionalFormatting sqref="G86">
    <cfRule type="cellIs" priority="3" operator="lessThan" dxfId="101">
      <formula>0</formula>
    </cfRule>
  </conditionalFormatting>
  <conditionalFormatting sqref="G90">
    <cfRule type="cellIs" priority="2" operator="lessThan" dxfId="101">
      <formula>0</formula>
    </cfRule>
  </conditionalFormatting>
  <conditionalFormatting sqref="G91">
    <cfRule type="cellIs" priority="1" operator="lessThan" dxfId="101">
      <formula>0</formula>
    </cfRule>
  </conditionalFormatting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PC05-2</dc:creator>
  <dcterms:created xmlns:dcterms="http://purl.org/dc/terms/" xmlns:xsi="http://www.w3.org/2001/XMLSchema-instance" xsi:type="dcterms:W3CDTF">2019-01-24T23:36:06Z</dcterms:created>
  <dcterms:modified xmlns:dcterms="http://purl.org/dc/terms/" xmlns:xsi="http://www.w3.org/2001/XMLSchema-instance" xsi:type="dcterms:W3CDTF">2026-08-26T12:21:06Z</dcterms:modified>
  <cp:lastModifiedBy>社長</cp:lastModifiedBy>
  <cp:lastPrinted>2026-05-26T10:05:42Z</cp:lastPrinted>
</cp:coreProperties>
</file>