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drawings/drawing4.xml" ContentType="application/vnd.openxmlformats-officedocument.drawing+xml"/>
  <Override PartName="/xl/charts/chart1.xml" ContentType="application/vnd.openxmlformats-officedocument.drawingml.chart+xml"/>
  <Override PartName="/xl/drawings/drawing5.xml" ContentType="application/vnd.openxmlformats-officedocument.drawing+xml"/>
  <Override PartName="/xl/charts/chart2.xml" ContentType="application/vnd.openxmlformats-officedocument.drawingml.chart+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charts/chart3.xml" ContentType="application/vnd.openxmlformats-officedocument.drawingml.chart+xml"/>
  <Override PartName="/xl/drawings/drawing11.xml" ContentType="application/vnd.openxmlformats-officedocument.drawing+xml"/>
  <Override PartName="/xl/charts/chart4.xml" ContentType="application/vnd.openxmlformats-officedocument.drawingml.chart+xml"/>
  <Override PartName="/xl/charts/chart5.xml" ContentType="application/vnd.openxmlformats-officedocument.drawingml.chart+xml"/>
  <Override PartName="/xl/drawings/drawing12.xml" ContentType="application/vnd.openxmlformats-officedocument.drawing+xml"/>
  <Override PartName="/xl/charts/chart6.xml" ContentType="application/vnd.openxmlformats-officedocument.drawingml.chart+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defaultThemeVersion="124226"/>
  <mc:AlternateContent xmlns:mc="http://schemas.openxmlformats.org/markup-compatibility/2006">
    <mc:Choice Requires="x15">
      <x15ac:absPath xmlns:x15ac="http://schemas.microsoft.com/office/spreadsheetml/2010/11/ac" url="C:\Users\Lenovo\Desktop\GRAND_INPUTS_EXPAND\"/>
    </mc:Choice>
  </mc:AlternateContent>
  <xr:revisionPtr revIDLastSave="0" documentId="13_ncr:1_{85CD88D6-2FB5-412F-8014-05D369320940}" xr6:coauthVersionLast="47" xr6:coauthVersionMax="47" xr10:uidLastSave="{00000000-0000-0000-0000-000000000000}"/>
  <bookViews>
    <workbookView xWindow="-108" yWindow="-108" windowWidth="23256" windowHeight="12456" firstSheet="33" activeTab="38" xr2:uid="{00000000-000D-0000-FFFF-FFFF00000000}"/>
  </bookViews>
  <sheets>
    <sheet name="ملخص تنفيذى" sheetId="1" r:id="rId1"/>
    <sheet name="🧠 الخريطة الذهنية للمنهجية" sheetId="2" r:id="rId2"/>
    <sheet name="🌟 الخريطة الذهنية للنتائج" sheetId="3" r:id="rId3"/>
    <sheet name="الافتراضات والمدخلات" sheetId="4" r:id="rId4"/>
    <sheet name="التقرير" sheetId="5" r:id="rId5"/>
    <sheet name="مقارنات البيوع" sheetId="6" r:id="rId6"/>
    <sheet name="المقارنات الإيجارية" sheetId="7" r:id="rId7"/>
    <sheet name="طريقة التكلفة" sheetId="8" r:id="rId8"/>
    <sheet name="رأسمالة الدخل" sheetId="9" r:id="rId9"/>
    <sheet name="التحليل المكاني" sheetId="10" r:id="rId10"/>
    <sheet name="الانحدار المتعدد" sheetId="11" r:id="rId11"/>
    <sheet name="الخيارات الحقيقية" sheetId="12" r:id="rId12"/>
    <sheet name="توفيق النتائج" sheetId="13" r:id="rId13"/>
    <sheet name="محددات التقييم" sheetId="14" r:id="rId14"/>
    <sheet name="شهادة" sheetId="15" r:id="rId15"/>
    <sheet name="لوحة القيادة التنفيذية" sheetId="16" r:id="rId16"/>
    <sheet name="مصادر البيانات والمنهجية" sheetId="17" r:id="rId17"/>
    <sheet name="DCF — التدفقات النقدية" sheetId="18" r:id="rId18"/>
    <sheet name="ANN — الشبكات العصبية" sheetId="19" r:id="rId19"/>
    <sheet name="ARIMA — السلاسل الزمنية" sheetId="20" r:id="rId20"/>
    <sheet name="الإيجار مقابل الشراء" sheetId="21" r:id="rId21"/>
    <sheet name="أفضل وأعلى استخدام — HABU" sheetId="22" r:id="rId22"/>
    <sheet name="استخبارات السوق — MI" sheetId="23" r:id="rId23"/>
    <sheet name="📊 تحليل الحساسية" sheetId="24" r:id="rId24"/>
    <sheet name="🎯 مصفوفة SWOT" sheetId="25" r:id="rId25"/>
    <sheet name="📊 Hedonic Pricing" sheetId="26" r:id="rId26"/>
    <sheet name="📈 Gordon Growth" sheetId="27" r:id="rId27"/>
    <sheet name="🔁 Repeat Sales" sheetId="28" r:id="rId28"/>
    <sheet name="💰 DCF + Options" sheetId="29" r:id="rId29"/>
    <sheet name="🎲 Monte Carlo" sheetId="30" r:id="rId30"/>
    <sheet name="🏗️ RCNLD" sheetId="31" r:id="rId31"/>
    <sheet name="🏛️ Reproduction Cost" sheetId="32" r:id="rId32"/>
    <sheet name="🎯 Expected Utility" sheetId="33" r:id="rId33"/>
    <sheet name="💰 الاقتراض والكاش" sheetId="34" r:id="rId34"/>
    <sheet name="📈 CHOROPLETH" sheetId="35" r:id="rId35"/>
    <sheet name="📈 VORONOI" sheetId="36" r:id="rId36"/>
    <sheet name="📈 3D_SURFACE" sheetId="37" r:id="rId37"/>
    <sheet name="📈 SANKEY" sheetId="38" r:id="rId38"/>
    <sheet name="📈 GANTT" sheetId="39" r:id="rId39"/>
    <sheet name="📈 RISK_HEATMAP" sheetId="40" r:id="rId40"/>
    <sheet name="📈 COHORT" sheetId="41" r:id="rId41"/>
    <sheet name="📈 DECISION_TREE" sheetId="42" r:id="rId42"/>
    <sheet name="📈 TORNADO" sheetId="43" r:id="rId43"/>
    <sheet name="📈 RADAR_COMPARE" sheetId="44" r:id="rId44"/>
  </sheets>
  <externalReferences>
    <externalReference r:id="rId45"/>
  </externalReferenc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34" i="34" l="1"/>
  <c r="B28" i="34"/>
  <c r="B23" i="34"/>
  <c r="B16" i="34"/>
  <c r="G9" i="24"/>
  <c r="F9" i="24"/>
  <c r="E9" i="24"/>
  <c r="D9" i="24"/>
  <c r="C9" i="24"/>
  <c r="G8" i="24"/>
  <c r="F8" i="24"/>
  <c r="E8" i="24"/>
  <c r="D8" i="24"/>
  <c r="C8" i="24"/>
  <c r="G7" i="24"/>
  <c r="F7" i="24"/>
  <c r="E7" i="24"/>
  <c r="D7" i="24"/>
  <c r="C7" i="24"/>
  <c r="G6" i="24"/>
  <c r="F6" i="24"/>
  <c r="E6" i="24"/>
  <c r="D6" i="24"/>
  <c r="C6" i="24"/>
  <c r="D16" i="22"/>
  <c r="E16" i="22" s="1"/>
  <c r="F16" i="22" s="1"/>
  <c r="G16" i="22" s="1"/>
  <c r="B16" i="22"/>
  <c r="C16" i="22" s="1"/>
  <c r="A16" i="22"/>
  <c r="D15" i="22"/>
  <c r="E15" i="22" s="1"/>
  <c r="F15" i="22" s="1"/>
  <c r="G15" i="22" s="1"/>
  <c r="B15" i="22"/>
  <c r="C15" i="22" s="1"/>
  <c r="A15" i="22"/>
  <c r="D14" i="22"/>
  <c r="E14" i="22" s="1"/>
  <c r="F14" i="22" s="1"/>
  <c r="G14" i="22" s="1"/>
  <c r="B14" i="22"/>
  <c r="C14" i="22" s="1"/>
  <c r="A14" i="22"/>
  <c r="D13" i="22"/>
  <c r="E13" i="22" s="1"/>
  <c r="F13" i="22" s="1"/>
  <c r="B13" i="22"/>
  <c r="C13" i="22" s="1"/>
  <c r="A13" i="22"/>
  <c r="A2" i="22"/>
  <c r="A48" i="21"/>
  <c r="B41" i="21"/>
  <c r="D38" i="21"/>
  <c r="D37" i="21"/>
  <c r="D36" i="21"/>
  <c r="D35" i="21"/>
  <c r="B15" i="21"/>
  <c r="B14" i="21"/>
  <c r="B13" i="21"/>
  <c r="B20" i="21" s="1"/>
  <c r="B12" i="21"/>
  <c r="B10" i="21"/>
  <c r="B9" i="21"/>
  <c r="B7" i="21"/>
  <c r="A55" i="20"/>
  <c r="A49" i="19"/>
  <c r="A48" i="19"/>
  <c r="A63" i="18"/>
  <c r="A62" i="18"/>
  <c r="A61" i="18"/>
  <c r="G26" i="18"/>
  <c r="B26" i="18"/>
  <c r="B13" i="18"/>
  <c r="B12" i="18"/>
  <c r="B11" i="18"/>
  <c r="B10" i="18"/>
  <c r="B9" i="18"/>
  <c r="B8" i="18"/>
  <c r="B7" i="18"/>
  <c r="B6" i="18"/>
  <c r="B5" i="18"/>
  <c r="B16" i="16"/>
  <c r="B14" i="16"/>
  <c r="B13" i="16"/>
  <c r="A2" i="16"/>
  <c r="D12" i="13"/>
  <c r="E13" i="13" s="1"/>
  <c r="E10" i="13"/>
  <c r="C10" i="13"/>
  <c r="E9" i="13"/>
  <c r="C9" i="13"/>
  <c r="E8" i="13"/>
  <c r="C8" i="13"/>
  <c r="E7" i="13"/>
  <c r="C7" i="13"/>
  <c r="E6" i="13"/>
  <c r="C6" i="13"/>
  <c r="E5" i="13"/>
  <c r="C5" i="13"/>
  <c r="B17" i="12"/>
  <c r="B16" i="12"/>
  <c r="B9" i="12"/>
  <c r="B7" i="12"/>
  <c r="B5" i="12"/>
  <c r="A72" i="11"/>
  <c r="A71" i="11"/>
  <c r="G46" i="11"/>
  <c r="G45" i="11"/>
  <c r="G44" i="11"/>
  <c r="G43" i="11"/>
  <c r="G42" i="11"/>
  <c r="G41" i="11"/>
  <c r="G40" i="11"/>
  <c r="G39" i="11"/>
  <c r="G38" i="11"/>
  <c r="G37" i="11"/>
  <c r="G36" i="11"/>
  <c r="G35" i="11"/>
  <c r="G34" i="11"/>
  <c r="G33" i="11"/>
  <c r="G32" i="11"/>
  <c r="G31" i="11"/>
  <c r="G30" i="11"/>
  <c r="G29" i="11"/>
  <c r="G28" i="11"/>
  <c r="G27" i="11"/>
  <c r="A69" i="10"/>
  <c r="E67" i="10"/>
  <c r="E66" i="10"/>
  <c r="A2" i="10"/>
  <c r="A36" i="9"/>
  <c r="B9" i="9"/>
  <c r="B5" i="9"/>
  <c r="B4" i="9"/>
  <c r="G127" i="8"/>
  <c r="G126" i="8"/>
  <c r="G125" i="8"/>
  <c r="G124" i="8"/>
  <c r="G123" i="8"/>
  <c r="G122" i="8"/>
  <c r="G121" i="8"/>
  <c r="G120" i="8"/>
  <c r="G119" i="8"/>
  <c r="G118" i="8"/>
  <c r="G128" i="8" s="1"/>
  <c r="G117" i="8"/>
  <c r="G116" i="8"/>
  <c r="G115" i="8"/>
  <c r="G114" i="8"/>
  <c r="G113" i="8"/>
  <c r="G112" i="8"/>
  <c r="G111" i="8"/>
  <c r="G110" i="8"/>
  <c r="G109" i="8"/>
  <c r="G108" i="8"/>
  <c r="G107" i="8"/>
  <c r="G106" i="8"/>
  <c r="G105" i="8"/>
  <c r="G104" i="8"/>
  <c r="G103" i="8"/>
  <c r="G102" i="8"/>
  <c r="G101" i="8"/>
  <c r="G100" i="8"/>
  <c r="G99" i="8"/>
  <c r="G98" i="8"/>
  <c r="G97" i="8"/>
  <c r="G96" i="8"/>
  <c r="G95" i="8"/>
  <c r="G94" i="8"/>
  <c r="G93" i="8"/>
  <c r="G92" i="8"/>
  <c r="G91" i="8"/>
  <c r="G90" i="8"/>
  <c r="H66" i="8"/>
  <c r="B71" i="8" s="1"/>
  <c r="D71" i="8" s="1"/>
  <c r="F53" i="8"/>
  <c r="H52" i="8"/>
  <c r="F52" i="8"/>
  <c r="H51" i="8"/>
  <c r="B70" i="8" s="1"/>
  <c r="D70" i="8" s="1"/>
  <c r="D73" i="8" s="1"/>
  <c r="B37" i="8"/>
  <c r="B35" i="8"/>
  <c r="C25" i="8"/>
  <c r="B25" i="8"/>
  <c r="D25" i="8" s="1"/>
  <c r="C24" i="8"/>
  <c r="B24" i="8"/>
  <c r="D24" i="8" s="1"/>
  <c r="C23" i="8"/>
  <c r="B23" i="8"/>
  <c r="D23" i="8" s="1"/>
  <c r="C22" i="8"/>
  <c r="B22" i="8"/>
  <c r="D22" i="8" s="1"/>
  <c r="C21" i="8"/>
  <c r="B21" i="8"/>
  <c r="D21" i="8" s="1"/>
  <c r="C20" i="8"/>
  <c r="B20" i="8"/>
  <c r="D20" i="8" s="1"/>
  <c r="C16" i="8"/>
  <c r="B16" i="8"/>
  <c r="D16" i="8" s="1"/>
  <c r="C15" i="8"/>
  <c r="B15" i="8"/>
  <c r="D15" i="8" s="1"/>
  <c r="C14" i="8"/>
  <c r="B14" i="8"/>
  <c r="D14" i="8" s="1"/>
  <c r="C13" i="8"/>
  <c r="C9" i="8"/>
  <c r="B6" i="8"/>
  <c r="B7" i="8" s="1"/>
  <c r="C5" i="8"/>
  <c r="B4" i="8"/>
  <c r="B3" i="8"/>
  <c r="F54" i="7"/>
  <c r="F53" i="7"/>
  <c r="F52" i="7"/>
  <c r="F51" i="7"/>
  <c r="F50" i="7"/>
  <c r="F49" i="7"/>
  <c r="A36" i="7"/>
  <c r="B11" i="7"/>
  <c r="F61" i="6"/>
  <c r="F60" i="6"/>
  <c r="H54" i="6"/>
  <c r="H53" i="6"/>
  <c r="H52" i="6"/>
  <c r="H51" i="6"/>
  <c r="H50" i="6"/>
  <c r="A32" i="6"/>
  <c r="K29" i="6"/>
  <c r="K28" i="6"/>
  <c r="K27" i="6"/>
  <c r="K25" i="6"/>
  <c r="K24" i="6"/>
  <c r="H21" i="6"/>
  <c r="H20" i="6"/>
  <c r="H19" i="6"/>
  <c r="H18" i="6"/>
  <c r="H17" i="6"/>
  <c r="H16" i="6"/>
  <c r="H15" i="6"/>
  <c r="H14" i="6"/>
  <c r="H13" i="6"/>
  <c r="H12" i="6"/>
  <c r="P10" i="6"/>
  <c r="N10" i="6"/>
  <c r="I10" i="6"/>
  <c r="H10" i="6"/>
  <c r="G10" i="6"/>
  <c r="F10" i="6"/>
  <c r="E10" i="6"/>
  <c r="M6" i="6"/>
  <c r="I6" i="6"/>
  <c r="E6" i="6"/>
  <c r="A2" i="6"/>
  <c r="H10" i="5"/>
  <c r="F10" i="5"/>
  <c r="D10" i="5"/>
  <c r="B10" i="5"/>
  <c r="H9" i="5"/>
  <c r="D9" i="5"/>
  <c r="B9" i="5"/>
  <c r="C160" i="4"/>
  <c r="D113" i="4"/>
  <c r="A36" i="4"/>
  <c r="A35" i="4"/>
  <c r="C33" i="4"/>
  <c r="C32" i="4"/>
  <c r="B32" i="4"/>
  <c r="B31" i="4"/>
  <c r="C30" i="4"/>
  <c r="B28" i="4"/>
  <c r="B27" i="4"/>
  <c r="H1" i="4"/>
  <c r="J13" i="3"/>
  <c r="H13" i="3"/>
  <c r="F13" i="3"/>
  <c r="D13" i="3"/>
  <c r="J12" i="3"/>
  <c r="H12" i="3"/>
  <c r="F12" i="3"/>
  <c r="D12" i="3"/>
  <c r="J11" i="3"/>
  <c r="H11" i="3"/>
  <c r="F11" i="3"/>
  <c r="D11" i="3"/>
  <c r="J10" i="3"/>
  <c r="H10" i="3"/>
  <c r="F10" i="3"/>
  <c r="D10" i="3"/>
  <c r="J9" i="3"/>
  <c r="H9" i="3"/>
  <c r="F9" i="3"/>
  <c r="D9" i="3"/>
  <c r="J8" i="3"/>
  <c r="H8" i="3"/>
  <c r="F8" i="3"/>
  <c r="D8" i="3"/>
  <c r="B17" i="1"/>
  <c r="B16" i="1"/>
  <c r="B15" i="1"/>
  <c r="B14" i="1"/>
  <c r="B13" i="1"/>
  <c r="B12" i="1"/>
  <c r="B9" i="1"/>
  <c r="B8" i="1"/>
  <c r="B7" i="1"/>
  <c r="B6" i="1"/>
  <c r="B5" i="1"/>
  <c r="B4" i="1"/>
  <c r="B19" i="22" l="1"/>
  <c r="B20" i="22"/>
  <c r="B21" i="22"/>
  <c r="I12" i="16"/>
  <c r="I13" i="16"/>
  <c r="A51" i="21"/>
  <c r="B42" i="21"/>
  <c r="D29" i="21"/>
  <c r="D34" i="21"/>
  <c r="D32" i="21"/>
  <c r="D31" i="21"/>
  <c r="D33" i="21"/>
  <c r="D30" i="21"/>
  <c r="C35" i="21"/>
  <c r="C34" i="21"/>
  <c r="B24" i="21"/>
  <c r="C26" i="18"/>
  <c r="D26" i="18" s="1"/>
  <c r="G24" i="18"/>
  <c r="G23" i="18"/>
  <c r="G22" i="18"/>
  <c r="G21" i="18"/>
  <c r="G18" i="18"/>
  <c r="G17" i="18"/>
  <c r="G20" i="18"/>
  <c r="G19" i="18"/>
  <c r="G25" i="18"/>
  <c r="B25" i="18"/>
  <c r="B24" i="18"/>
  <c r="B23" i="18"/>
  <c r="B22" i="18"/>
  <c r="B18" i="18"/>
  <c r="B17" i="18"/>
  <c r="B20" i="18"/>
  <c r="B19" i="18"/>
  <c r="B21" i="18"/>
  <c r="B14" i="18"/>
  <c r="E14" i="13"/>
  <c r="B20" i="1"/>
  <c r="B6" i="12"/>
  <c r="I46" i="11"/>
  <c r="H46" i="11"/>
  <c r="H45" i="11"/>
  <c r="B59" i="11"/>
  <c r="I45" i="11"/>
  <c r="I44" i="11"/>
  <c r="H44" i="11"/>
  <c r="H43" i="11"/>
  <c r="I43" i="11"/>
  <c r="H42" i="11"/>
  <c r="I42" i="11"/>
  <c r="H41" i="11"/>
  <c r="I41" i="11"/>
  <c r="H40" i="11"/>
  <c r="I40" i="11"/>
  <c r="I39" i="11"/>
  <c r="H39" i="11"/>
  <c r="I38" i="11"/>
  <c r="H38" i="11"/>
  <c r="H37" i="11"/>
  <c r="I37" i="11"/>
  <c r="I36" i="11"/>
  <c r="H36" i="11"/>
  <c r="I35" i="11"/>
  <c r="H35" i="11"/>
  <c r="H34" i="11"/>
  <c r="I34" i="11"/>
  <c r="H33" i="11"/>
  <c r="I33" i="11"/>
  <c r="I32" i="11"/>
  <c r="H32" i="11"/>
  <c r="H31" i="11"/>
  <c r="I31" i="11"/>
  <c r="I30" i="11"/>
  <c r="H30" i="11"/>
  <c r="H29" i="11"/>
  <c r="I29" i="11"/>
  <c r="I28" i="11"/>
  <c r="H28" i="11"/>
  <c r="I27" i="11"/>
  <c r="H27" i="11"/>
  <c r="B7" i="9"/>
  <c r="B13" i="9" s="1"/>
  <c r="B14" i="9" s="1"/>
  <c r="B17" i="9" s="1"/>
  <c r="B18" i="9" s="1"/>
  <c r="B6" i="9"/>
  <c r="G129" i="8"/>
  <c r="G130" i="8"/>
  <c r="B8" i="8"/>
  <c r="D10" i="8" s="1"/>
  <c r="B9" i="8"/>
  <c r="B5" i="8"/>
  <c r="B11" i="8" s="1"/>
  <c r="A76" i="8" s="1"/>
  <c r="F57" i="6"/>
  <c r="F59" i="6"/>
  <c r="F58" i="6"/>
  <c r="N21" i="6"/>
  <c r="P21" i="6" s="1"/>
  <c r="A6" i="6"/>
  <c r="M21" i="6"/>
  <c r="N20" i="6"/>
  <c r="P20" i="6" s="1"/>
  <c r="M20" i="6"/>
  <c r="M19" i="6"/>
  <c r="N19" i="6"/>
  <c r="P19" i="6" s="1"/>
  <c r="M18" i="6"/>
  <c r="N18" i="6"/>
  <c r="P18" i="6" s="1"/>
  <c r="N17" i="6"/>
  <c r="P17" i="6" s="1"/>
  <c r="M17" i="6"/>
  <c r="M16" i="6"/>
  <c r="N16" i="6"/>
  <c r="P16" i="6" s="1"/>
  <c r="M15" i="6"/>
  <c r="N15" i="6"/>
  <c r="P15" i="6" s="1"/>
  <c r="N14" i="6"/>
  <c r="P14" i="6" s="1"/>
  <c r="M14" i="6"/>
  <c r="M13" i="6"/>
  <c r="N13" i="6"/>
  <c r="P13" i="6" s="1"/>
  <c r="N12" i="6"/>
  <c r="M12" i="6"/>
  <c r="B11" i="21"/>
  <c r="B29" i="4"/>
  <c r="B30" i="4" s="1"/>
  <c r="B6" i="21"/>
  <c r="B29" i="8"/>
  <c r="A5" i="16"/>
  <c r="B33" i="4"/>
  <c r="I1" i="16"/>
  <c r="H2" i="4"/>
  <c r="I1" i="4"/>
  <c r="A37" i="4" s="1"/>
  <c r="D26" i="8"/>
  <c r="B52" i="8" s="1"/>
  <c r="A23" i="22" l="1"/>
  <c r="A28" i="22"/>
  <c r="B24" i="1"/>
  <c r="F16" i="3"/>
  <c r="B25" i="1"/>
  <c r="F17" i="3"/>
  <c r="A29" i="22"/>
  <c r="B26" i="1"/>
  <c r="F18" i="3"/>
  <c r="E26" i="18"/>
  <c r="F26" i="18"/>
  <c r="C25" i="18"/>
  <c r="D25" i="18" s="1"/>
  <c r="C24" i="18"/>
  <c r="D24" i="18"/>
  <c r="C23" i="18"/>
  <c r="D23" i="18"/>
  <c r="C22" i="18"/>
  <c r="D22" i="18"/>
  <c r="C18" i="18"/>
  <c r="D18" i="18"/>
  <c r="C17" i="18"/>
  <c r="D17" i="18"/>
  <c r="C20" i="18"/>
  <c r="D20" i="18" s="1"/>
  <c r="C19" i="18"/>
  <c r="D19" i="18"/>
  <c r="C21" i="18"/>
  <c r="D21" i="18"/>
  <c r="I17" i="18"/>
  <c r="E4" i="3"/>
  <c r="B21" i="1"/>
  <c r="F36" i="12"/>
  <c r="F37" i="12"/>
  <c r="F38" i="12"/>
  <c r="F39" i="12"/>
  <c r="F40" i="12"/>
  <c r="F41" i="12"/>
  <c r="F42" i="12"/>
  <c r="F43" i="12"/>
  <c r="F44" i="12"/>
  <c r="F45" i="12"/>
  <c r="C49" i="12"/>
  <c r="C50" i="12"/>
  <c r="C51" i="12"/>
  <c r="C52" i="12"/>
  <c r="C53" i="12"/>
  <c r="C54" i="12"/>
  <c r="C55" i="12"/>
  <c r="C56" i="12"/>
  <c r="C57" i="12"/>
  <c r="C58" i="12"/>
  <c r="B58" i="11"/>
  <c r="B64" i="11"/>
  <c r="B65" i="11" s="1"/>
  <c r="B57" i="11"/>
  <c r="B60" i="11" s="1"/>
  <c r="B61" i="11" s="1"/>
  <c r="B12" i="8"/>
  <c r="B13" i="8"/>
  <c r="P12" i="6"/>
  <c r="K26" i="6"/>
  <c r="C36" i="21"/>
  <c r="C37" i="21"/>
  <c r="C38" i="21"/>
  <c r="B8" i="21"/>
  <c r="C8" i="21"/>
  <c r="B22" i="21"/>
  <c r="F29" i="21"/>
  <c r="F30" i="21"/>
  <c r="F31" i="21"/>
  <c r="F32" i="21"/>
  <c r="F33" i="21"/>
  <c r="F34" i="21"/>
  <c r="F35" i="21"/>
  <c r="F36" i="21"/>
  <c r="F37" i="21"/>
  <c r="F38" i="21"/>
  <c r="B21" i="12"/>
  <c r="B18" i="12"/>
  <c r="B22" i="12" s="1"/>
  <c r="A93" i="12" s="1"/>
  <c r="A94" i="12"/>
  <c r="B14" i="12"/>
  <c r="B15" i="12" s="1"/>
  <c r="C33" i="21"/>
  <c r="C32" i="21"/>
  <c r="C31" i="21"/>
  <c r="C30" i="21"/>
  <c r="C29" i="21"/>
  <c r="H26" i="18" l="1"/>
  <c r="B28" i="18"/>
  <c r="B29" i="18" s="1"/>
  <c r="E25" i="18"/>
  <c r="F25" i="18"/>
  <c r="E24" i="18"/>
  <c r="F24" i="18"/>
  <c r="E23" i="18"/>
  <c r="F23" i="18"/>
  <c r="E22" i="18"/>
  <c r="F22" i="18"/>
  <c r="E18" i="18"/>
  <c r="F18" i="18"/>
  <c r="E17" i="18"/>
  <c r="F17" i="18"/>
  <c r="E20" i="18"/>
  <c r="F20" i="18"/>
  <c r="E19" i="18"/>
  <c r="F19" i="18"/>
  <c r="E21" i="18"/>
  <c r="F21" i="18"/>
  <c r="B66" i="11"/>
  <c r="A73" i="11"/>
  <c r="D13" i="8"/>
  <c r="D17" i="8" s="1"/>
  <c r="A77" i="8"/>
  <c r="E37" i="21"/>
  <c r="B18" i="21"/>
  <c r="B23" i="12"/>
  <c r="B24" i="12" s="1"/>
  <c r="H25" i="18" l="1"/>
  <c r="I25" i="18"/>
  <c r="H24" i="18"/>
  <c r="I24" i="18"/>
  <c r="H23" i="18"/>
  <c r="I23" i="18"/>
  <c r="H22" i="18"/>
  <c r="I22" i="18"/>
  <c r="H18" i="18"/>
  <c r="I18" i="18"/>
  <c r="B45" i="18"/>
  <c r="B46" i="18" s="1"/>
  <c r="B43" i="18"/>
  <c r="I5" i="16" s="1"/>
  <c r="H17" i="18"/>
  <c r="B33" i="18" s="1"/>
  <c r="B35" i="18" s="1"/>
  <c r="H20" i="18"/>
  <c r="I20" i="18"/>
  <c r="H19" i="18"/>
  <c r="I19" i="18"/>
  <c r="H21" i="18"/>
  <c r="I21" i="18"/>
  <c r="D29" i="8"/>
  <c r="B51" i="8"/>
  <c r="B30" i="18"/>
  <c r="B34" i="18" s="1"/>
  <c r="I26" i="18"/>
  <c r="B19" i="21"/>
  <c r="E35" i="21"/>
  <c r="E32" i="21"/>
  <c r="E30" i="21"/>
  <c r="E29" i="21"/>
  <c r="E33" i="21"/>
  <c r="E34" i="21"/>
  <c r="E31" i="21"/>
  <c r="E36" i="21"/>
  <c r="E38" i="21"/>
  <c r="B17" i="16" l="1"/>
  <c r="A9" i="16"/>
  <c r="B36" i="18"/>
  <c r="B37" i="18"/>
  <c r="E5" i="16" s="1"/>
  <c r="B38" i="18"/>
  <c r="C5" i="16"/>
  <c r="B38" i="21"/>
  <c r="B37" i="21"/>
  <c r="B36" i="21"/>
  <c r="B35" i="21"/>
  <c r="B34" i="21"/>
  <c r="B33" i="21"/>
  <c r="B32" i="21"/>
  <c r="B31" i="21"/>
  <c r="B30" i="21"/>
  <c r="B29" i="21"/>
  <c r="B21" i="21"/>
  <c r="B23" i="21" s="1"/>
  <c r="B41" i="18"/>
  <c r="D31" i="8"/>
  <c r="D30" i="8"/>
  <c r="B25" i="21" l="1"/>
  <c r="A44" i="21"/>
  <c r="B42" i="18"/>
  <c r="A8" i="16"/>
  <c r="A20" i="3"/>
  <c r="G5" i="16"/>
  <c r="B15" i="16"/>
  <c r="D32" i="8"/>
  <c r="B53" i="8"/>
  <c r="D39" i="8" l="1"/>
  <c r="D38" i="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Expert_Smart v37</author>
  </authors>
  <commentList>
    <comment ref="J12" authorId="0" shapeId="0" xr:uid="{00000000-0006-0000-0500-000001000000}">
      <text>
        <r>
          <rPr>
            <sz val="11"/>
            <color theme="1"/>
            <rFont val="Calibri"/>
            <family val="2"/>
            <scheme val="minor"/>
          </rPr>
          <t>معامل التسوية الجغرافي — يمكن تعديله يدوياً
1.000 = مماثل | &gt;1 = موقع أفضل | &lt;1 = موقع أضعف</t>
        </r>
      </text>
    </comment>
    <comment ref="J13" authorId="0" shapeId="0" xr:uid="{00000000-0006-0000-0500-000002000000}">
      <text>
        <r>
          <rPr>
            <sz val="11"/>
            <color theme="1"/>
            <rFont val="Calibri"/>
            <family val="2"/>
            <scheme val="minor"/>
          </rPr>
          <t>معامل التسوية الجغرافي — يمكن تعديله يدوياً
1.000 = مماثل | &gt;1 = موقع أفضل | &lt;1 = موقع أضعف</t>
        </r>
      </text>
    </comment>
    <comment ref="J14" authorId="0" shapeId="0" xr:uid="{00000000-0006-0000-0500-000003000000}">
      <text>
        <r>
          <rPr>
            <sz val="11"/>
            <color theme="1"/>
            <rFont val="Calibri"/>
            <family val="2"/>
            <scheme val="minor"/>
          </rPr>
          <t>معامل التسوية الجغرافي — يمكن تعديله يدوياً
1.000 = مماثل | &gt;1 = موقع أفضل | &lt;1 = موقع أضعف</t>
        </r>
      </text>
    </comment>
    <comment ref="J15" authorId="0" shapeId="0" xr:uid="{00000000-0006-0000-0500-000004000000}">
      <text>
        <r>
          <rPr>
            <sz val="11"/>
            <color theme="1"/>
            <rFont val="Calibri"/>
            <family val="2"/>
            <scheme val="minor"/>
          </rPr>
          <t>معامل التسوية الجغرافي — يمكن تعديله يدوياً
1.000 = مماثل | &gt;1 = موقع أفضل | &lt;1 = موقع أضعف</t>
        </r>
      </text>
    </comment>
    <comment ref="J16" authorId="0" shapeId="0" xr:uid="{00000000-0006-0000-0500-000005000000}">
      <text>
        <r>
          <rPr>
            <sz val="11"/>
            <color theme="1"/>
            <rFont val="Calibri"/>
            <family val="2"/>
            <scheme val="minor"/>
          </rPr>
          <t>معامل التسوية الجغرافي — يمكن تعديله يدوياً
1.000 = مماثل | &gt;1 = موقع أفضل | &lt;1 = موقع أضعف</t>
        </r>
      </text>
    </comment>
    <comment ref="J17" authorId="0" shapeId="0" xr:uid="{00000000-0006-0000-0500-000006000000}">
      <text>
        <r>
          <rPr>
            <sz val="11"/>
            <color theme="1"/>
            <rFont val="Calibri"/>
            <family val="2"/>
            <scheme val="minor"/>
          </rPr>
          <t>معامل التسوية الجغرافي — يمكن تعديله يدوياً
1.000 = مماثل | &gt;1 = موقع أفضل | &lt;1 = موقع أضعف</t>
        </r>
      </text>
    </comment>
    <comment ref="J18" authorId="0" shapeId="0" xr:uid="{00000000-0006-0000-0500-000007000000}">
      <text>
        <r>
          <rPr>
            <sz val="11"/>
            <color theme="1"/>
            <rFont val="Calibri"/>
            <family val="2"/>
            <scheme val="minor"/>
          </rPr>
          <t>معامل التسوية الجغرافي — يمكن تعديله يدوياً
1.000 = مماثل | &gt;1 = موقع أفضل | &lt;1 = موقع أضعف</t>
        </r>
      </text>
    </comment>
    <comment ref="J19" authorId="0" shapeId="0" xr:uid="{00000000-0006-0000-0500-000008000000}">
      <text>
        <r>
          <rPr>
            <sz val="11"/>
            <color theme="1"/>
            <rFont val="Calibri"/>
            <family val="2"/>
            <scheme val="minor"/>
          </rPr>
          <t>معامل التسوية الجغرافي — يمكن تعديله يدوياً
1.000 = مماثل | &gt;1 = موقع أفضل | &lt;1 = موقع أضعف</t>
        </r>
      </text>
    </comment>
    <comment ref="J20" authorId="0" shapeId="0" xr:uid="{00000000-0006-0000-0500-000009000000}">
      <text>
        <r>
          <rPr>
            <sz val="11"/>
            <color theme="1"/>
            <rFont val="Calibri"/>
            <family val="2"/>
            <scheme val="minor"/>
          </rPr>
          <t>معامل التسوية الجغرافي — يمكن تعديله يدوياً
1.000 = مماثل | &gt;1 = موقع أفضل | &lt;1 = موقع أضعف</t>
        </r>
      </text>
    </comment>
    <comment ref="J21" authorId="0" shapeId="0" xr:uid="{00000000-0006-0000-0500-00000A000000}">
      <text>
        <r>
          <rPr>
            <sz val="11"/>
            <color theme="1"/>
            <rFont val="Calibri"/>
            <family val="2"/>
            <scheme val="minor"/>
          </rPr>
          <t>معامل التسوية الجغرافي — يمكن تعديله يدوياً
1.000 = مماثل | &gt;1 = موقع أفضل | &lt;1 = موقع أضعف</t>
        </r>
      </text>
    </comment>
  </commentList>
</comments>
</file>

<file path=xl/sharedStrings.xml><?xml version="1.0" encoding="utf-8"?>
<sst xmlns="http://schemas.openxmlformats.org/spreadsheetml/2006/main" count="2112" uniqueCount="1639">
  <si>
    <t>_ القيمة السوقية المطلوب تحديدها هى الثمن الأكثر احتمالاً في سوق تنافسي ومفتوح وفق معايير IVS.</t>
  </si>
  <si>
    <t>_ الغرض من إعداد التقرير هو تقدير القيمة السوقية العادلة للعقار.</t>
  </si>
  <si>
    <t>_ لا يوجد نزاعات ملكية على العقار ولا يوجد أي رهن أو التزامات خفية على حسب إقرار المالك.</t>
  </si>
  <si>
    <t>_ الشروط المحددة للملكية وذلك على مسئولية المالك الذي أقر بصحتها.</t>
  </si>
  <si>
    <t>_ تمت معاينة العقار من الداخل والخارج ولا يوجد عيوب خفية ظاهرة تؤثر على القيمة.</t>
  </si>
  <si>
    <t>_ مستندات الملكية المقدمة من المالك على مسئوليته.</t>
  </si>
  <si>
    <t>_ قيمة العقار المحددة تسري للمدة المذكورة في التقرير وهي ثلاثة أشهر من تاريخ التقرير.</t>
  </si>
  <si>
    <t>_ التقرير هو ملكية خاصة للعميل الموجه إليه التقرير ولا يجوز نشره أو الإفصاح عن محتوياته.</t>
  </si>
  <si>
    <t>_ تم تقييم العقار آخذاً في الاعتبار فرضية أعلى وأفضل استخدام.</t>
  </si>
  <si>
    <t>_ يُفترض عدم وجود أي ظروف خفية بالعقار أو في التربة تؤثر على القيمة.</t>
  </si>
  <si>
    <t>_ أية تعامل مع هذا التقرير يجب أن يكون كاملاً وليس جزئياً.</t>
  </si>
  <si>
    <t>_ الملاحق الخاصة بالرسومات والصور والجداول مع هذا التقرير جزء لا يتجزأ منه.</t>
  </si>
  <si>
    <t>_ لا يحق نشر أو طبع أو نسخ كل أو بعض هذا التقرير بدون إذن كتابي من الخبير.</t>
  </si>
  <si>
    <t>_ الخبير بنفسه قام بفحص العقار موضوع التقييم ميدانياً.</t>
  </si>
  <si>
    <t>_ الخبير بنفسه قام بإعداد كل التوصيات والنتائج الواردة في هذا التقرير.</t>
  </si>
  <si>
    <t>_ في حالة وجود أي خلاف لفروض ومحددات التقرير يجب إبلاغ الخبير فوراً.</t>
  </si>
  <si>
    <t>📋  صندوق التفسير الاستشاري — الافتراضات والقيود المنهجية</t>
  </si>
  <si>
    <t>محددات التقييم توضح الإطار الذي تم فيه التقييم: تاريخ الفحص، مصادر البيانات، والافتراضات الجوهرية.</t>
  </si>
  <si>
    <t>افتراض السوق المفتوح: مشترٍ وبائع راغبان، معرفة كاملة، وقت كافٍ للتسويق (60-90 يوماً في السوق المصري).</t>
  </si>
  <si>
    <t>أي تغيير جوهري في: الوضع القانوني، الخدمات المحيطة، القوانين التخطيطية، أو أسعار الفائدة — يستوجب إعادة التقييم.</t>
  </si>
  <si>
    <t>صلاحية هذا التقييم: 3-6 أشهر في سوق مستقر. راجع التقرير إذا تغيرت الظروف الاقتصادية أو السوقية.</t>
  </si>
  <si>
    <t>ملخص تنفيذى — Executive Summary</t>
  </si>
  <si>
    <t>بيانات العقار الأساسية</t>
  </si>
  <si>
    <t>المساحة الإجمالية (م²)</t>
  </si>
  <si>
    <t>م²</t>
  </si>
  <si>
    <t>سعر المتر المرجعى</t>
  </si>
  <si>
    <t>EGP/م²</t>
  </si>
  <si>
    <t>الإيجار السنوى للمتر</t>
  </si>
  <si>
    <t>معدل الرسملة</t>
  </si>
  <si>
    <t>—</t>
  </si>
  <si>
    <t>سنة البناء</t>
  </si>
  <si>
    <t>عمر المبنى</t>
  </si>
  <si>
    <t>سنة</t>
  </si>
  <si>
    <t>نتائج طرق التقييم</t>
  </si>
  <si>
    <t>القيمة بطريقة مقارنة البيوع</t>
  </si>
  <si>
    <t>EGP</t>
  </si>
  <si>
    <t>القيمة بطريقة التكلفة (DRC)</t>
  </si>
  <si>
    <t>القيمة بطريقة الدخل</t>
  </si>
  <si>
    <t>القيمة بالتحليل المكانى</t>
  </si>
  <si>
    <t>القيمة بالانحدار المتعدد</t>
  </si>
  <si>
    <t>القيمة بالخيارات الحقيقية</t>
  </si>
  <si>
    <t>القيمة الموزونة النهائية</t>
  </si>
  <si>
    <t>سعر المتر النهائى الموزون</t>
  </si>
  <si>
    <t>القيمة السوقية الإجمالية</t>
  </si>
  <si>
    <t>أفضل وأعلى استخدام (HABU)</t>
  </si>
  <si>
    <t>الاستخدام الأمثل</t>
  </si>
  <si>
    <t>أعلى قيمة دخل (EGP)</t>
  </si>
  <si>
    <t>مضاعف القيمة عن الاستخدام السكنى</t>
  </si>
  <si>
    <t>x</t>
  </si>
  <si>
    <t>🧠  الخريطة الذهنية لمنهجية التقييم</t>
  </si>
  <si>
    <t>🧠  الخريطة الذهنية لمنهجية التقييم العقارى</t>
  </si>
  <si>
    <t>ملحوظة: الخريطة تُلخّص جميع الأساليب الست المستخدمة. كل أسلوب يقود إلى نتيجة موزونة فى توفيق النتائج.</t>
  </si>
  <si>
    <t>🌟  الخريطة الذهنية لنتائج التقييم</t>
  </si>
  <si>
    <t>🎯 القيمة السوقية النهائية</t>
  </si>
  <si>
    <t>≈ "سعر المتر: "&amp;TEXT('توفيق النتائج'!$E$13,"#,##0")&amp;" EGP/م²"</t>
  </si>
  <si>
    <t>الطريقة</t>
  </si>
  <si>
    <t>سعر م²</t>
  </si>
  <si>
    <t>القيمة الكلية</t>
  </si>
  <si>
    <t>الوزن</t>
  </si>
  <si>
    <t>المساهمة</t>
  </si>
  <si>
    <t>⚖ مقارنة البيوع</t>
  </si>
  <si>
    <t>🏗 التكلفة (DRC)</t>
  </si>
  <si>
    <t>💵 رأسمالة الدخل</t>
  </si>
  <si>
    <t>🗺 التحليل المكانى</t>
  </si>
  <si>
    <t>📈 الانحدار المتعدد</t>
  </si>
  <si>
    <t>🎲 الخيارات الحقيقية</t>
  </si>
  <si>
    <t>🏆 أفضل وأعلى استخدام (HABU)</t>
  </si>
  <si>
    <t>أعلى قيمة دخل</t>
  </si>
  <si>
    <t>مضاعف القيمة</t>
  </si>
  <si>
    <t>ورقة الافتراضات والمدخلات — المصدر الموحد لكل الحسابات</t>
  </si>
  <si>
    <t>ES-20260501-21F2</t>
  </si>
  <si>
    <t>الخلايا ذات الخط الأزرق قابلة للتعديل — تتحدث كل الأوراق تلقائياً</t>
  </si>
  <si>
    <t>01/05/2026</t>
  </si>
  <si>
    <t>البيان</t>
  </si>
  <si>
    <t>القيمة</t>
  </si>
  <si>
    <t>ملاحظة</t>
  </si>
  <si>
    <t>م. هشام المهدي</t>
  </si>
  <si>
    <t>م² — ادخل المساحة الصافية</t>
  </si>
  <si>
    <t>سعر المتر المرجعي (EGP/م²)</t>
  </si>
  <si>
    <t>من مقارنات السوق</t>
  </si>
  <si>
    <t>الإيجار السنوي (EGP/م²/سنة)</t>
  </si>
  <si>
    <t>صافي الإيجار السوقي السنوي لكل متر</t>
  </si>
  <si>
    <t>معدل الرسملة (Cap Rate)</t>
  </si>
  <si>
    <t>للوحدات السكنية 8%، التجارية 9-10%</t>
  </si>
  <si>
    <t>عمر المبنى (سنة)</t>
  </si>
  <si>
    <t>من تاريخ الإنشاء حتى الآن</t>
  </si>
  <si>
    <t>رقم الدور</t>
  </si>
  <si>
    <t>الدور الأرضي = 0</t>
  </si>
  <si>
    <t>السنة الميلادية لإنشاء المبنى</t>
  </si>
  <si>
    <t>معدل الخصم WACC (%)</t>
  </si>
  <si>
    <t>Build-up: Risk-Free + Market + Liquidity</t>
  </si>
  <si>
    <t>معدل النمو التوقعي (%/سنة)</t>
  </si>
  <si>
    <t>Prophet forecast للسوق المحلي</t>
  </si>
  <si>
    <t>اسم العميل</t>
  </si>
  <si>
    <t>التجمع الخامس</t>
  </si>
  <si>
    <t>نوع العقار</t>
  </si>
  <si>
    <t>عقار تراثي</t>
  </si>
  <si>
    <t>الموقع</t>
  </si>
  <si>
    <t>التقييم في حالة عدم اليقين</t>
  </si>
  <si>
    <t>بنود تكلفة البناء التفصيلية (EGP/م²) — قابلة للتعديل</t>
  </si>
  <si>
    <t>معدل الحفر والتأسيس (EGP/م²)</t>
  </si>
  <si>
    <t>أعمال ترابية وخرسانة عادية</t>
  </si>
  <si>
    <t>معدل الخرسانة المسلحة — أعمدة وجسور (EGP/م²)</t>
  </si>
  <si>
    <t>خرسانة مسلحة إنشائية</t>
  </si>
  <si>
    <t>معدل حديد التسليح (EGP/م²)</t>
  </si>
  <si>
    <t>تسليح كيلو/م² حسب التصميم</t>
  </si>
  <si>
    <t>معدل الخصم WACC</t>
  </si>
  <si>
    <t>حوائط وبياض خشن</t>
  </si>
  <si>
    <t>معدل النمو السنوي g</t>
  </si>
  <si>
    <t>ملس جبسي وبياض نهائي</t>
  </si>
  <si>
    <t>تقلب السوق σ (Sigma)</t>
  </si>
  <si>
    <t>بورسلان أو رخام</t>
  </si>
  <si>
    <t>نسبة الشغور</t>
  </si>
  <si>
    <t>صرف صحي وتغذية</t>
  </si>
  <si>
    <t>نسبة مصاريف التشغيل</t>
  </si>
  <si>
    <t>كهرباء وتأريض وإنارة</t>
  </si>
  <si>
    <t>فترة الاحتفاظ (سنوات)</t>
  </si>
  <si>
    <t>طلاء داخلي وخارجي</t>
  </si>
  <si>
    <t>معدل الواجهات والكسوة الخارجية (EGP/م²)</t>
  </si>
  <si>
    <t>كسوة حجر أو كومبوزيت</t>
  </si>
  <si>
    <t>القيمة السوقية الإجمالية (EGP)</t>
  </si>
  <si>
    <t>5% من مجموع البنود المباشرة</t>
  </si>
  <si>
    <t>إجمالي الإيجار السنوي (EGP)</t>
  </si>
  <si>
    <t>صافي الإيجار السنوي (EGP)</t>
  </si>
  <si>
    <t>القيمة الدخلية التقريبية (EGP)</t>
  </si>
  <si>
    <t>صافي الدخل التشغيلي NOI (EGP)</t>
  </si>
  <si>
    <t>قيمة رأسمالة الدخل (EGP)</t>
  </si>
  <si>
    <t>تكلفة البناء الإجمالية — مُحدَّثة (EGP)</t>
  </si>
  <si>
    <t>📋  صندوق التفسير الاستشاري — قراءة المدخلات والسيناريو الاستثماري</t>
  </si>
  <si>
    <t>تنبيه للمستثمر: معدل الشغور يمثل الفترة الفارغة دون إيجار. أي نسبة فوق 10% تستوجب مراجعة الموقع أو السعر الإيجاري.</t>
  </si>
  <si>
    <t>🎛️  المدخلات الموسّعة لكل الطرق الجديدة — Extended Inputs</t>
  </si>
  <si>
    <t>مدخلات مستقلة لشيتات: الاقتراض، الخيارات الحقيقية، HABU، Hedonic، Repeat Sales، Gordon، Monte Carlo، ARIMA، التحليل المكانى، التهالك، الأوزان</t>
  </si>
  <si>
    <t>البند</t>
  </si>
  <si>
    <t>القيمة (قابل للتعديل)</t>
  </si>
  <si>
    <t>الوحدة</t>
  </si>
  <si>
    <t>📋  بيانات المُقيِّم والتقرير</t>
  </si>
  <si>
    <t>اسم المُقيِّم</t>
  </si>
  <si>
    <t>هشام محمد محمد المهدى</t>
  </si>
  <si>
    <t>الاسم الرباعى للمقيِّم</t>
  </si>
  <si>
    <t>رقم القيد فى الهيئة</t>
  </si>
  <si>
    <t>هيئة الرقابة المالية</t>
  </si>
  <si>
    <t>الهيئة المرخصة</t>
  </si>
  <si>
    <t>الهيئة العامة للرقابة المالية</t>
  </si>
  <si>
    <t>FRA Egypt</t>
  </si>
  <si>
    <t>البريد الإلكترونى</t>
  </si>
  <si>
    <t>appraiserman29@gmail.com</t>
  </si>
  <si>
    <t>للتواصل</t>
  </si>
  <si>
    <t>رقم التقرير</t>
  </si>
  <si>
    <t>VAL-20260412-1153</t>
  </si>
  <si>
    <t>رقم مرجعى للتقرير</t>
  </si>
  <si>
    <t>تاريخ التقييم</t>
  </si>
  <si>
    <t>2026/04/12</t>
  </si>
  <si>
    <t>تاريخ</t>
  </si>
  <si>
    <t>تاريخ المعاينة الفعلية</t>
  </si>
  <si>
    <t>صلاحية التقرير حتى</t>
  </si>
  <si>
    <t>2026/10/12</t>
  </si>
  <si>
    <t>6 شهور افتراضياً</t>
  </si>
  <si>
    <t>🏠  بيانات العقار التفصيلية</t>
  </si>
  <si>
    <t>اسم العميل / المالك</t>
  </si>
  <si>
    <t>د/ عبد الرؤوف محمد عبد الباقى</t>
  </si>
  <si>
    <t>صاحب العقار أو الورثة</t>
  </si>
  <si>
    <t>شقة سكنية</t>
  </si>
  <si>
    <t>سكنى/تجارى/إدارى/مختلط</t>
  </si>
  <si>
    <t>المحافظة</t>
  </si>
  <si>
    <t>القاهرة</t>
  </si>
  <si>
    <t>المنطقة</t>
  </si>
  <si>
    <t>العنوان التفصيلى</t>
  </si>
  <si>
    <t>شارع، رقم العقار</t>
  </si>
  <si>
    <t>عدد الغرف</t>
  </si>
  <si>
    <t>غرفة</t>
  </si>
  <si>
    <t>بدون الصالات</t>
  </si>
  <si>
    <t>عدد الحمامات</t>
  </si>
  <si>
    <t>حمام</t>
  </si>
  <si>
    <t>الواجهة</t>
  </si>
  <si>
    <t>بحرية شرقية</t>
  </si>
  <si>
    <t>البحرية أفضل للسكن</t>
  </si>
  <si>
    <t>💰  الاقتراض والكاش — Cash vs Loan</t>
  </si>
  <si>
    <t>نسبة المقدم</t>
  </si>
  <si>
    <t>%</t>
  </si>
  <si>
    <t>للقرض العقارى</t>
  </si>
  <si>
    <t>سعر الفائدة السنوى</t>
  </si>
  <si>
    <t>%/سنة</t>
  </si>
  <si>
    <t>حالياً 17-20%</t>
  </si>
  <si>
    <t>مدة القرض</t>
  </si>
  <si>
    <t>عادة 10-25 سنة</t>
  </si>
  <si>
    <t>معدل العائد البديل</t>
  </si>
  <si>
    <t>لو استثمرت الكاش بالبورصة</t>
  </si>
  <si>
    <t>التضخم العقارى السنوى</t>
  </si>
  <si>
    <t>نمو القيمة المتوقع</t>
  </si>
  <si>
    <t>الرسوم الإدارية للقرض</t>
  </si>
  <si>
    <t>عادة 1-3% من القرض</t>
  </si>
  <si>
    <t>🎲  الخيارات الحقيقية — Real Options (Black-Scholes)</t>
  </si>
  <si>
    <t>S — القيمة الحالية للأصل</t>
  </si>
  <si>
    <t>Current Asset Value</t>
  </si>
  <si>
    <t>K — تكلفة التطوير</t>
  </si>
  <si>
    <t>Strike Price / Development Cost</t>
  </si>
  <si>
    <t>σ — معامل التذبذب السنوى</t>
  </si>
  <si>
    <t>Sigma — تقلب السوق</t>
  </si>
  <si>
    <t>T — فترة الحيازة</t>
  </si>
  <si>
    <t>Time to Maturity</t>
  </si>
  <si>
    <t>r — معدل الفائدة الخالى من المخاطر</t>
  </si>
  <si>
    <t>Risk-Free Rate (سندات حكومية)</t>
  </si>
  <si>
    <t>u — معامل الصعود</t>
  </si>
  <si>
    <t>نسبة</t>
  </si>
  <si>
    <t>Up factor فى Binomial</t>
  </si>
  <si>
    <t>d — معامل الهبوط</t>
  </si>
  <si>
    <t>Down factor فى Binomial</t>
  </si>
  <si>
    <t>N — عدد فترات Binomial</t>
  </si>
  <si>
    <t>خطوة</t>
  </si>
  <si>
    <t>كلما زاد كلما زادت الدقة</t>
  </si>
  <si>
    <t>🏆  HABU — مضاعفات الاستخدامات البديلة</t>
  </si>
  <si>
    <t>معامل السعر — سكنى</t>
  </si>
  <si>
    <t>الاستخدام المرجعى</t>
  </si>
  <si>
    <t>معامل الإيجار — سكنى</t>
  </si>
  <si>
    <t>Cap Rate — سكنى</t>
  </si>
  <si>
    <t>معامل السعر — تجارى</t>
  </si>
  <si>
    <t>+35% على السكنى</t>
  </si>
  <si>
    <t>معامل الإيجار — تجارى</t>
  </si>
  <si>
    <t>+60% إيجار</t>
  </si>
  <si>
    <t>Cap Rate — تجارى</t>
  </si>
  <si>
    <t>معامل السعر — إدارى</t>
  </si>
  <si>
    <t>معامل الإيجار — إدارى</t>
  </si>
  <si>
    <t>Cap Rate — إدارى</t>
  </si>
  <si>
    <t>معامل السعر — مختلط</t>
  </si>
  <si>
    <t>متوسط سكنى+تجارى</t>
  </si>
  <si>
    <t>معامل الإيجار — مختلط</t>
  </si>
  <si>
    <t>Cap Rate — مختلط</t>
  </si>
  <si>
    <t>📊  Hedonic Pricing — معاملات التسعير</t>
  </si>
  <si>
    <t>β₀ — الثابت</t>
  </si>
  <si>
    <t>Constant term</t>
  </si>
  <si>
    <t>β₁ — معامل المساحة</t>
  </si>
  <si>
    <t>لكل متر إضافى</t>
  </si>
  <si>
    <t>β₂ — معامل الدور</t>
  </si>
  <si>
    <t>لكل دور علوى</t>
  </si>
  <si>
    <t>β₃ — معامل العمر</t>
  </si>
  <si>
    <t>لكل سنة عمر (سالب)</t>
  </si>
  <si>
    <t>β₄ — معامل التشطيب</t>
  </si>
  <si>
    <t>درجة جودة 1-10</t>
  </si>
  <si>
    <t>β₅ — معامل القرب من المترو</t>
  </si>
  <si>
    <t>لكل 100م أقرب</t>
  </si>
  <si>
    <t>R² — جودة النموذج</t>
  </si>
  <si>
    <t>نسبة التباين المُفسَّر</t>
  </si>
  <si>
    <t>🔁  Repeat Sales — مؤشر البيوع المتكررة</t>
  </si>
  <si>
    <t>تاريخ البيع السابق</t>
  </si>
  <si>
    <t>2018/06/15</t>
  </si>
  <si>
    <t>متى تم آخر بيع</t>
  </si>
  <si>
    <t>سعر المتر فى البيع السابق</t>
  </si>
  <si>
    <t>السعر القديم</t>
  </si>
  <si>
    <t>تاريخ البيع الحالى/المرجعى</t>
  </si>
  <si>
    <t>2024/01/10</t>
  </si>
  <si>
    <t>مرجع حديث</t>
  </si>
  <si>
    <t>سعر المتر فى البيع الحالى</t>
  </si>
  <si>
    <t>السعر الحالى</t>
  </si>
  <si>
    <t>📈  Gordon Growth — نمو مستمر</t>
  </si>
  <si>
    <t>معدل النمو المستمر g</t>
  </si>
  <si>
    <t>النمو إلى الأبد</t>
  </si>
  <si>
    <t>معدل الخصم النهائى r</t>
  </si>
  <si>
    <t>سنة بدء النمو المستمر</t>
  </si>
  <si>
    <t>بعد فترة DCF الأولية</t>
  </si>
  <si>
    <t>🎰  Monte Carlo — المحاكاة</t>
  </si>
  <si>
    <t>عدد التكرارات</t>
  </si>
  <si>
    <t>تكرار</t>
  </si>
  <si>
    <t>+5000 يعطى نتائج موثوقة</t>
  </si>
  <si>
    <t>نسبة P5 (أسوأ 5%)</t>
  </si>
  <si>
    <t>أسوأ السيناريوهات</t>
  </si>
  <si>
    <t>نسبة P95 (أفضل 95%)</t>
  </si>
  <si>
    <t>أفضل السيناريوهات</t>
  </si>
  <si>
    <t>توزيع تذبذب سعر المتر</t>
  </si>
  <si>
    <t>σ</t>
  </si>
  <si>
    <t>انحراف معيارى</t>
  </si>
  <si>
    <t>توزيع تذبذب الإيجار</t>
  </si>
  <si>
    <t>توزيع تذبذب Cap Rate</t>
  </si>
  <si>
    <t>📅  ARIMA — السلاسل الزمنية</t>
  </si>
  <si>
    <t>ARIMA p (AR order)</t>
  </si>
  <si>
    <t>Auto Regressive</t>
  </si>
  <si>
    <t>ARIMA d (Differencing)</t>
  </si>
  <si>
    <t>للاستقرار</t>
  </si>
  <si>
    <t>ARIMA q (MA order)</t>
  </si>
  <si>
    <t>Moving Average</t>
  </si>
  <si>
    <t>أفق التنبؤ</t>
  </si>
  <si>
    <t>شهر</t>
  </si>
  <si>
    <t>1-3 سنوات مثلى</t>
  </si>
  <si>
    <t>الموسمية (Seasonal)</t>
  </si>
  <si>
    <t>0=لا</t>
  </si>
  <si>
    <t>1 لتفعيل SARIMA</t>
  </si>
  <si>
    <t>🗺️  التحليل المكانى — Geo Coordinates</t>
  </si>
  <si>
    <t>خط العرض (Latitude)</t>
  </si>
  <si>
    <t>°</t>
  </si>
  <si>
    <t>Geographic Latitude</t>
  </si>
  <si>
    <t>خط الطول (Longitude)</t>
  </si>
  <si>
    <t>Geographic Longitude</t>
  </si>
  <si>
    <t>نصف قطر البحث</t>
  </si>
  <si>
    <t>متر</t>
  </si>
  <si>
    <t>دائرة المقارنات</t>
  </si>
  <si>
    <t>الحد الأدنى لعدد المقارنات</t>
  </si>
  <si>
    <t>مقارن</t>
  </si>
  <si>
    <t>للحصول على تقدير موثوق</t>
  </si>
  <si>
    <t>قوة IDW (power)</t>
  </si>
  <si>
    <t>كلما زاد كلما زاد تأثير القريب</t>
  </si>
  <si>
    <t>🏗️  معاملات الاستهلاك والتهالك</t>
  </si>
  <si>
    <t>معدل التهالك المادى السنوى</t>
  </si>
  <si>
    <t>Physical Depreciation</t>
  </si>
  <si>
    <t>معدل التهالك الوظيفى</t>
  </si>
  <si>
    <t>Functional Obsolescence</t>
  </si>
  <si>
    <t>معدل التهالك الخارجى</t>
  </si>
  <si>
    <t>External Obsolescence</t>
  </si>
  <si>
    <t>الحد الأقصى للتهالك المتراكم</t>
  </si>
  <si>
    <t>80% كحد أقصى</t>
  </si>
  <si>
    <t>العمر الاقتصادى الافتراضى</t>
  </si>
  <si>
    <t>للمبنى الخرسانى</t>
  </si>
  <si>
    <t>ربح المقاول + التكاليف الإدارية</t>
  </si>
  <si>
    <t>15-20%</t>
  </si>
  <si>
    <t>💼  بيانات اقتصادية كلية</t>
  </si>
  <si>
    <t>التضخم المصرى السنوى</t>
  </si>
  <si>
    <t>Q1-2026</t>
  </si>
  <si>
    <t>سعر صرف الدولار</t>
  </si>
  <si>
    <t>EGP/$</t>
  </si>
  <si>
    <t>تقديرى</t>
  </si>
  <si>
    <t>سعر الفائدة الأساسى للبنك</t>
  </si>
  <si>
    <t>البنك المركزى</t>
  </si>
  <si>
    <t>نمو السوق العقارى المتوقع</t>
  </si>
  <si>
    <t>2025-2026</t>
  </si>
  <si>
    <t>نسبة الفرص الاستثمارية</t>
  </si>
  <si>
    <t>ثقة السوق</t>
  </si>
  <si>
    <t>⚖️  أوزان طرق التقييم (Reconciliation)</t>
  </si>
  <si>
    <t>وزن أسلوب مقارنة البيوع</t>
  </si>
  <si>
    <t>الأكثر موثوقية</t>
  </si>
  <si>
    <t>وزن أسلوب التكلفة</t>
  </si>
  <si>
    <t>وزن أسلوب الدخل</t>
  </si>
  <si>
    <t>وزن التحليل المكانى</t>
  </si>
  <si>
    <t>وزن الانحدار المتعدد</t>
  </si>
  <si>
    <t>وزن الخيارات الحقيقية</t>
  </si>
  <si>
    <t>المجموع</t>
  </si>
  <si>
    <t>يجب أن يساوى 1</t>
  </si>
  <si>
    <t>تقرير تقييم عقاري رسمي</t>
  </si>
  <si>
    <t>Expert_Smart  |  خبير التقييم: هشام محمد محمد المهدى  |  رقم القيد: 29  |  الهيئة العامة للرقابة المالية</t>
  </si>
  <si>
    <t>بيانات المُقيِّم والتقرير</t>
  </si>
  <si>
    <t>رقم القيد</t>
  </si>
  <si>
    <t>29</t>
  </si>
  <si>
    <t>التقييم ساري حتى</t>
  </si>
  <si>
    <t>البريد الإلكتروني</t>
  </si>
  <si>
    <t>بيانات العقار موضوع التقييم</t>
  </si>
  <si>
    <t>عميل</t>
  </si>
  <si>
    <t>المحافظة / المنطقة</t>
  </si>
  <si>
    <t>الدور</t>
  </si>
  <si>
    <t>السعر المرجعي (EGP/م²)</t>
  </si>
  <si>
    <t>الإيجار السنوي (EGP/م²)</t>
  </si>
  <si>
    <t>دراسة السوق بالمنطقة</t>
  </si>
  <si>
    <t>أعلى سعر بالمنطقة (EGP/م²)</t>
  </si>
  <si>
    <t>متوسط سعر المنطقة (EGP/م²)</t>
  </si>
  <si>
    <t>أقل سعر بالمنطقة (EGP/م²)</t>
  </si>
  <si>
    <t>أعلى وأفضل استخدام (HBU)</t>
  </si>
  <si>
    <t>العقار موضوع التقييم عبارة عن شقة سكنية تقع في القاهرة. بناءً على الدراسة الميدانية وتحليل السوق، يُعتبر الاستخدام الحالي هو أعلى وأفضل استخدام للعقار، إذ يحقق أقصى قدر من العائد المادي ويتوافق مع الاستخدامات السائدة في المنطقة المحيطة.</t>
  </si>
  <si>
    <t>القيمة بطريقة Kriging المكاني</t>
  </si>
  <si>
    <t>رقم الوحدة</t>
  </si>
  <si>
    <t>القيمة (EGP/م²)</t>
  </si>
  <si>
    <t>y (خط العرض)</t>
  </si>
  <si>
    <t>x (خط الطول)</t>
  </si>
  <si>
    <t>203101</t>
  </si>
  <si>
    <t>203102</t>
  </si>
  <si>
    <t>203201</t>
  </si>
  <si>
    <t>204301</t>
  </si>
  <si>
    <t>204401</t>
  </si>
  <si>
    <t>508-85</t>
  </si>
  <si>
    <t>509-82</t>
  </si>
  <si>
    <t>E1-13</t>
  </si>
  <si>
    <t>E1-53</t>
  </si>
  <si>
    <t>780-511</t>
  </si>
  <si>
    <t>782-110</t>
  </si>
  <si>
    <t>785-110</t>
  </si>
  <si>
    <t>203406</t>
  </si>
  <si>
    <t>204101</t>
  </si>
  <si>
    <t>D6-53</t>
  </si>
  <si>
    <t>القيمة المستنتجة بـ Ordinary Kriging (pykrige)</t>
  </si>
  <si>
    <t>القيمة بطريقة تحليل الانحدار المتعدد</t>
  </si>
  <si>
    <t>Regression Statistics</t>
  </si>
  <si>
    <t>ANOVA</t>
  </si>
  <si>
    <t>Multiple R</t>
  </si>
  <si>
    <t>df</t>
  </si>
  <si>
    <t>Observations</t>
  </si>
  <si>
    <t>R Square</t>
  </si>
  <si>
    <t>Adjusted R²</t>
  </si>
  <si>
    <t>المتغير</t>
  </si>
  <si>
    <t>المعامل (Coeff)</t>
  </si>
  <si>
    <t>P-value</t>
  </si>
  <si>
    <t>إجمالي المساحة</t>
  </si>
  <si>
    <t>القيمة المتنبأ بها (EGP/م²)</t>
  </si>
  <si>
    <t>مصدر البيانات وإخلاء المسئولية</t>
  </si>
  <si>
    <t>يقوم الخبير بتحديث البيانات من خلال عمليات المسح الميداني والاستقصاء الفعلي. المعلومات الواردة في هذا التقرير سرية ولا يجوز نشرها أو إعادة توزيعها. هذا الرأي في القيمة فقط لأغراض المعلومات ولا يُعدّ ضماناً لأي غرض. قيمة العقار المحددة تسري لمدة ثلاثة أشهر من تاريخ التقرير.</t>
  </si>
  <si>
    <t>خبير التقييم</t>
  </si>
  <si>
    <t>التوقيع: .........</t>
  </si>
  <si>
    <t>📋  صندوق التفسير الاستشاري — دليل قراءة التقرير — التقييم في حالة عدم اليقين</t>
  </si>
  <si>
    <t>يجمع هذا التقرير نتائج ثلاث مناهج تقييمية معيارية دولية: المقارنة السوقية، طريقة التكلفة، وطريقة الدخل.</t>
  </si>
  <si>
    <t>المقارنة السوقية: تعتمد على مبدأ البديل — لن يدفع مشترٍ عاقل أكثر مما يدفعه لعقار مماثل في نفس السوق.</t>
  </si>
  <si>
    <t>تقارب النتائج بين الطرق الثلاث (±10%) يُعزز مصداقية التقييم. أي تباين &gt;20% يستوجب التحقيق قبل اتخاذ قرار.</t>
  </si>
  <si>
    <t>تنبيه قانوني: هذا التقييم رأي مهني مُعلَّل — ليس ضماناً بالبيع بهذا السعر. القيمة الحقيقية تُحدد في السوق المفتوح.</t>
  </si>
  <si>
    <t>⚖  جدول مقارنات البيوع السوقية — Sales Comparison Grid</t>
  </si>
  <si>
    <t>موضوع التقييم</t>
  </si>
  <si>
    <t>مقارن رقم (1)
204401</t>
  </si>
  <si>
    <t>مقارن رقم (2)
204301</t>
  </si>
  <si>
    <t>مقارن رقم (3)
204101</t>
  </si>
  <si>
    <t>مقارن رقم (4)
203406</t>
  </si>
  <si>
    <t>مقارن رقم (5)
203201</t>
  </si>
  <si>
    <t>⬆  أعلى سعر متر</t>
  </si>
  <si>
    <t>⬇  أقل سعر متر</t>
  </si>
  <si>
    <t>📊  متوسط سعر السوق</t>
  </si>
  <si>
    <t>σ  الانحراف المعياري</t>
  </si>
  <si>
    <t>EGP / م²</t>
  </si>
  <si>
    <t>══  شبكة التسويات الديناميكية — Dynamic Adjustment Grid  ══</t>
  </si>
  <si>
    <t>عقار التقييم</t>
  </si>
  <si>
    <t>0%</t>
  </si>
  <si>
    <t>1.000</t>
  </si>
  <si>
    <t>#</t>
  </si>
  <si>
    <t>اسم البائع</t>
  </si>
  <si>
    <t>اسم المشتري</t>
  </si>
  <si>
    <t>رقم الصك</t>
  </si>
  <si>
    <t>المساحة
(م²)</t>
  </si>
  <si>
    <t>السعر الإجمالي
(EGP)</t>
  </si>
  <si>
    <t>سعر المتر
(EGP/م²)</t>
  </si>
  <si>
    <t>تاريخ البيع</t>
  </si>
  <si>
    <t>معامل التسوية
الجغرافي</t>
  </si>
  <si>
    <t>معامل التسوية
الزمني</t>
  </si>
  <si>
    <t>معامل تسوية
المساحة</t>
  </si>
  <si>
    <t>إجمالي
التسويات %</t>
  </si>
  <si>
    <t>السعر المعدَّل
(EGP/م²)</t>
  </si>
  <si>
    <t>الوزن
النسبي</t>
  </si>
  <si>
    <t>المتر المرجَّح
(EGP/م²)</t>
  </si>
  <si>
    <t>القيمة الإجمالية بأسلوب البيوع (مساحة 200 م²)</t>
  </si>
  <si>
    <t>══  ملخص التقييم الموزون — Weighted Valuation Summary  ══</t>
  </si>
  <si>
    <t>قيمة المتر المرجَّحة (EGP/م²)</t>
  </si>
  <si>
    <t>إجمالي قيمة العقار ('الافتراضات والمدخلات'!B4 م²)</t>
  </si>
  <si>
    <t>عدد المقارنات المعتمدة</t>
  </si>
  <si>
    <t>الوزن الكلي للتسويات</t>
  </si>
  <si>
    <t>الانحراف الكلي عن سعر التقييم</t>
  </si>
  <si>
    <t>حكم السوق</t>
  </si>
  <si>
    <t>📋  صندوق التفسير الاستشاري — مقارنات البيوع</t>
  </si>
  <si>
    <t>تستند نتائج هذه الصفحة إلى منهجية المقارنة المباشرة (Sales Comparison Approach) وفق معيار IVS-105. قيم التسويات الجغرافية والزمنية وتسويات المساحة مستنبطة تلقائياً من خوارزمية محرك الذكاء السوقي وقابلة للمراجعة والتعديل اليدوي.</t>
  </si>
  <si>
    <t>📋  صندوق التفسير الاستشاري — منهجية المقارنة السوقية</t>
  </si>
  <si>
    <t>هذه الطريقة هي الأقوى حين تتوفر بيانات بيوع حديثة (&lt;12 شهراً). المبدأ: العقار يُساوي ما يدفعه السوق لعقار مماثل.</t>
  </si>
  <si>
    <t>التسوية تُعوّض الفروقات بين العقارات: الدور، الموقف، الحديقة، حداثة البناء. كل ميزة لها سعر يُحدده المُقيّم.</t>
  </si>
  <si>
    <t>معامل التفاوض يُطبَّق لأن أسعار الطرح في الإعلانات تشمل عادةً هامش 3-8% فوق القيمة الفعلية عند التعاقد.</t>
  </si>
  <si>
    <t>إذا كانت عقارات المقارنة بعيدة جغرافياً أو قديمة البيع (+18 شهراً) تُقلَّل الثقة بهذه الطريقة وترتفع أهمية طريقتَي التكلفة والدخل.</t>
  </si>
  <si>
    <t>🧠  خريطة ذهنية: مقارنات البيوع</t>
  </si>
  <si>
    <t>📊  بيانات نموذجية للمقارنات — Sample Comparable Sales</t>
  </si>
  <si>
    <t>م</t>
  </si>
  <si>
    <t>المساحة (م²)</t>
  </si>
  <si>
    <t>السعر الإجمالى (EGP)</t>
  </si>
  <si>
    <t>سعر المتر (EGP/م²)</t>
  </si>
  <si>
    <t>ملاحظات</t>
  </si>
  <si>
    <t>التجمع الخامس - شارع 90</t>
  </si>
  <si>
    <t>2026/01/15</t>
  </si>
  <si>
    <t>تشطيب لوكس</t>
  </si>
  <si>
    <t>التجمع الخامس - النرجس</t>
  </si>
  <si>
    <t>2026/02/08</t>
  </si>
  <si>
    <t>جودة ممتازة</t>
  </si>
  <si>
    <t>التجمع الخامس - الياسمين</t>
  </si>
  <si>
    <t>2026/03/22</t>
  </si>
  <si>
    <t>مساحة أصغر</t>
  </si>
  <si>
    <t>التجمع الخامس - الزهراء</t>
  </si>
  <si>
    <t>2026/02/12</t>
  </si>
  <si>
    <t>أكبر مساحة</t>
  </si>
  <si>
    <t>التجمع الخامس - النخيل</t>
  </si>
  <si>
    <t>2026/01/30</t>
  </si>
  <si>
    <t>حديث، دور أعلى</t>
  </si>
  <si>
    <t>📈 إحصائيات سعر المتر للمقارنات</t>
  </si>
  <si>
    <t>متوسط سعر المتر</t>
  </si>
  <si>
    <t>أعلى سعر متر</t>
  </si>
  <si>
    <t>أقل سعر متر</t>
  </si>
  <si>
    <t>الانحراف المعيارى</t>
  </si>
  <si>
    <t>معامل التباين</t>
  </si>
  <si>
    <t>🎯  كيف يتم تقييم العقار بأسلوب مقارنة البيوع؟</t>
  </si>
  <si>
    <t>📋 خطوات الحساب</t>
  </si>
  <si>
    <t>1️⃣ ابحث عن 3-5 عقارات مماثلة بيعت فى نفس المنطقة خلال 6 أشهر.</t>
  </si>
  <si>
    <t>2️⃣ احسب سعر المتر لكل مقارن (السعر الإجمالى ÷ المساحة).</t>
  </si>
  <si>
    <t>3️⃣ عدّل سعر المقارن لتعكس الفروق عن العقار:</t>
  </si>
  <si>
    <t xml:space="preserve">      - موقع أفضل: اطرح من سعره (-)</t>
  </si>
  <si>
    <t xml:space="preserve">      - مساحة أصغر: أضف على سعره (+)</t>
  </si>
  <si>
    <t xml:space="preserve">      - أحدث بناء: اطرح من سعره (-)</t>
  </si>
  <si>
    <t xml:space="preserve">      - تشطيب أفخم: اطرح من سعره (-)</t>
  </si>
  <si>
    <t>4️⃣ احسب متوسط الأسعار المعدّلة كسعر متر العقار.</t>
  </si>
  <si>
    <t>5️⃣ القيمة الإجمالية ÷ سعر المتر × المساحة الإجمالية.</t>
  </si>
  <si>
    <t>💡 مثال توضيحى</t>
  </si>
  <si>
    <t>متوسط سعر المتر بعد التعديل ÷ 33,000 EGP × 150 م² ÷ 4,950,000 EGP</t>
  </si>
  <si>
    <t>مقارنات الإيجار — أساس أسلوب الدخل</t>
  </si>
  <si>
    <t>IVS 105 — Rental Comparables | 2026/04/12</t>
  </si>
  <si>
    <t>مقارن إيجاري (1)
R-001</t>
  </si>
  <si>
    <t>مقارن إيجاري (2)
R-002</t>
  </si>
  <si>
    <t>مقارن إيجاري (3)
R-003</t>
  </si>
  <si>
    <t>مقارن إيجاري (4)
R-004</t>
  </si>
  <si>
    <t>مقارن إيجاري (5)
R-005</t>
  </si>
  <si>
    <t>الموقع / المنطقة</t>
  </si>
  <si>
    <t>المعادي</t>
  </si>
  <si>
    <t>متوسط الإيجار السنوي للمقارنات (EGP/م²)</t>
  </si>
  <si>
    <t>📋  صندوق التفسير الاستشاري — تحليل العائد الإيجاري</t>
  </si>
  <si>
    <t>العائد الصافي يطرح: فترات الشغور + مصاريف الصيانة والإدارة + الضرائب. يتراوح عادةً بين 4-7% في السوق المصري.</t>
  </si>
  <si>
    <t>قاعدة 1%: إذا كان الإيجار الشهري ≥ 1% من سعر الشراء، يُعدّ الاستثمار مقبولاً من منظور التدفق النقدي.</t>
  </si>
  <si>
    <t>يُستخدم هذا التحليل لمقارنة العقار بالاستثمارات البديلة: الوديعة البنكية، الأسهم، السندات الحكومية.</t>
  </si>
  <si>
    <t>🧠  خريطة ذهنية: المقارنات الإيجارية</t>
  </si>
  <si>
    <t>💰  مضاعف الإيجار الإجمالى — GRM &amp; Income Multiplier</t>
  </si>
  <si>
    <t>الإيجار السنوى للعقار (EGP)</t>
  </si>
  <si>
    <t>إجمالى قيمة العقار (EGP)</t>
  </si>
  <si>
    <t>مضاعف الإيجار الإجمالى GRM</t>
  </si>
  <si>
    <t>معدل العائد الإجمالى GIY</t>
  </si>
  <si>
    <t>الإيجار الشهرى المتوقع (EGP)</t>
  </si>
  <si>
    <t>سنوات استرداد رأس المال</t>
  </si>
  <si>
    <t>🏠  كيف نحسب الإيجار السوقى للوحدة؟</t>
  </si>
  <si>
    <t>1️⃣ اجمع 3-5 إيجارات حديثة لوحدات مماثلة فى نفس المنطقة.</t>
  </si>
  <si>
    <t>2️⃣ احسب الإيجار السنوى لكل وحدة (الإيجار الشهرى × 12).</t>
  </si>
  <si>
    <t>3️⃣ احسب إيجار المتر (الإيجار السنوى ÷ المساحة).</t>
  </si>
  <si>
    <t>4️⃣ عدّل الإيجار حسب الفروق (الموقع، التشطيب، الإشغال).</t>
  </si>
  <si>
    <t>5️⃣ احسب المتوسط الموزون كإيجار سوقى للعقار.</t>
  </si>
  <si>
    <t>6️⃣ هذا الإيجار يُستخدم لاحقاً فى أسلوب رأسمالة الدخل.</t>
  </si>
  <si>
    <t>متوسط إيجار المتر ÷ 380 EGP × 150 م² ÷ 57,000 EGP سنوياً</t>
  </si>
  <si>
    <t>أسلوب التكلفة — التكلفة الاستبدالية المستهلكة بالتفصيل (Granular DRC)</t>
  </si>
  <si>
    <t>══ ملخص طريقة التكلفة الموحدة (مصفوفة + استخلاص) ══</t>
  </si>
  <si>
    <t>متوسط سعر م² أرض (مصفوفة 60% + استخلاص 40%)</t>
  </si>
  <si>
    <t>EGP/م² — آلي من الجداول أدناه</t>
  </si>
  <si>
    <t>مساحة الأرض (م²)</t>
  </si>
  <si>
    <t>تقدير: 125% من مساحة الوحدة</t>
  </si>
  <si>
    <t>الإجمالي (EGP)</t>
  </si>
  <si>
    <t>قيمة الأرض (EGP)</t>
  </si>
  <si>
    <t>تكلفة البناء (EGP/م²)</t>
  </si>
  <si>
    <t>35% من سعر السوق</t>
  </si>
  <si>
    <t>إجمالي تكلفة البناء</t>
  </si>
  <si>
    <t>الاستهلاك المتراكم</t>
  </si>
  <si>
    <t>2%/سنة — حد أقصى 80%</t>
  </si>
  <si>
    <t>قيمة البناء بعد الاستهلاك</t>
  </si>
  <si>
    <t>══ القيمة النهائية بطريقة التكلفة ══</t>
  </si>
  <si>
    <t>قيمة الأرض + قيمة البناء (EGP)</t>
  </si>
  <si>
    <t>سعر المتر بطريقة التكلفة</t>
  </si>
  <si>
    <t>التوصية</t>
  </si>
  <si>
    <t>الخرسانة المسلحة — أعمدة وجسور وبلاطات</t>
  </si>
  <si>
    <t>حديد التسليح</t>
  </si>
  <si>
    <t>أعمال البناء والطوب والحوائط</t>
  </si>
  <si>
    <t>إجمالي أعمال الهيكل الإنشائي  (أ)</t>
  </si>
  <si>
    <t>القسم الثالث: أعمال التشطيبات الداخلية والخارجية (Finishing Works)</t>
  </si>
  <si>
    <t>أعمال البياض والجبس والملس النهائي</t>
  </si>
  <si>
    <t>الأرضيات والتشطيبات (بورسلان / رخام)</t>
  </si>
  <si>
    <t>أعمال السباكة وشبكات الصرف والمياه</t>
  </si>
  <si>
    <t>أعمال الكهرباء والإنارة والتأريض</t>
  </si>
  <si>
    <t>الدهانات والأعمال النهائية</t>
  </si>
  <si>
    <t>الواجهات والكسوة الخارجية</t>
  </si>
  <si>
    <t>إجمالي أعمال التشطيبات  (ب)</t>
  </si>
  <si>
    <t>القسم الرابع: التكاليف غير المباشرة والطوارئ (Soft Costs &amp; Overheads)</t>
  </si>
  <si>
    <t>مصروفات طوارئ وتكاليف غير مباشرة</t>
  </si>
  <si>
    <t>من الإجمالي المباشر</t>
  </si>
  <si>
    <t>ربح المقاول والمصروفات الإدارية (15%)</t>
  </si>
  <si>
    <t>من إجمالي التكلفة المباشرة</t>
  </si>
  <si>
    <t>إجمالي التكاليف غير المباشرة  (ج)</t>
  </si>
  <si>
    <t>إجمالي تكلفة الاستبدال الجديدة RCN = (أ + ب + ج)</t>
  </si>
  <si>
    <t>القسم الخامس: الإهلاك والتهالك المتراكم</t>
  </si>
  <si>
    <t>العمر الحالي للمبنى (سنة)</t>
  </si>
  <si>
    <t>العمر الاقتصادي للمبنى (سنة)</t>
  </si>
  <si>
    <t>نسبة الإهلاك الطبيعي = العمر الحالي ÷ العمر الاقتصادي</t>
  </si>
  <si>
    <t>الإهلاك الطبيعي والمادي (EGP)</t>
  </si>
  <si>
    <t>الإهلاك الوظيفي والخارجي (2%) (EGP)</t>
  </si>
  <si>
    <t>أ — مصفوفة تعديل سعر الأرض  (Land Adjustment Matrix)</t>
  </si>
  <si>
    <t>وصف قطعة الأرض</t>
  </si>
  <si>
    <t>التاريخ</t>
  </si>
  <si>
    <t>السعر الإجمالي</t>
  </si>
  <si>
    <t>سعر م² خام</t>
  </si>
  <si>
    <t>تعديل %</t>
  </si>
  <si>
    <t>سعر م² مُعدَّل</t>
  </si>
  <si>
    <t>قطعة زاوية — واجهة شمالية</t>
  </si>
  <si>
    <t>قطعة داخلية — حي مجاور</t>
  </si>
  <si>
    <t>قطعة تجارية — طريق رئيسي</t>
  </si>
  <si>
    <t>قطعة داخلية — شارع هادئ</t>
  </si>
  <si>
    <t>قطعة زاوية — واجهتان</t>
  </si>
  <si>
    <t>قطعة على شارع فرعي 12م</t>
  </si>
  <si>
    <t>قطعة بالقرب من خدمات</t>
  </si>
  <si>
    <t>قطعة ركنية — ثلاث واجهات</t>
  </si>
  <si>
    <t>بيانات مخطط توزيع تكلفة البناء</t>
  </si>
  <si>
    <t>متوسط سعر م² المُعدَّل (المصفوفة)</t>
  </si>
  <si>
    <t>الانحراف المعياري</t>
  </si>
  <si>
    <t>Min</t>
  </si>
  <si>
    <t>Max</t>
  </si>
  <si>
    <t>التكاليف غير المباشرة (ج)</t>
  </si>
  <si>
    <t>ب — طريقة الاستخلاص  (Extraction Method)</t>
  </si>
  <si>
    <t>العنوان</t>
  </si>
  <si>
    <t>مساحة مبنى (م²)</t>
  </si>
  <si>
    <t>سعر البيع (EGP)</t>
  </si>
  <si>
    <t>تكلفة البناء/م²</t>
  </si>
  <si>
    <t>نسبة الإهلاك</t>
  </si>
  <si>
    <t>قيمة المبنى</t>
  </si>
  <si>
    <t>سعر م² أرض مستخلص</t>
  </si>
  <si>
    <t>وحدة مجاورة — بيع 2024-Q3</t>
  </si>
  <si>
    <t>شقة مرجعية 1 — بيع 2025-Q1</t>
  </si>
  <si>
    <t>وحدة مقارنة — نفس الحي</t>
  </si>
  <si>
    <t>بيع حديث — 2025-Q2</t>
  </si>
  <si>
    <t>وحدة مطابقة — مساحة قريبة</t>
  </si>
  <si>
    <t>شقة مرجعية 2 — 2024-Q4</t>
  </si>
  <si>
    <t>وحدة مجاورة ب — طابق 2</t>
  </si>
  <si>
    <t>بيع موثق — 2025-Q3</t>
  </si>
  <si>
    <t>متوسط سعر م² أرض المستخلص</t>
  </si>
  <si>
    <t>ج — الوزن المُرجَّح النهائي لسعر م² الأرض</t>
  </si>
  <si>
    <t>متوسط المصفوفة (وزن 60%)</t>
  </si>
  <si>
    <t>متوسط الاستخلاص (وزن 40%)</t>
  </si>
  <si>
    <t>✅  سعر م² الأرض المُرجَّح النهائي</t>
  </si>
  <si>
    <t>📋  صندوق التفسير الاستشاري — طريقة التكلفة الموحدة</t>
  </si>
  <si>
    <t>مصفوفة التعديل: تُقارن قطع الأرض المجاورة وتُعدّل للاختلافات (الموقع، الواجهة، الوضع القانوني).</t>
  </si>
  <si>
    <t>الاستخلاص: يستنبط سعر الأرض من بيوع مكتملة بطرح قيمة المبنى المُهلَك — الطريقة الأكثر موضوعية.</t>
  </si>
  <si>
    <t>🧠  خريطة ذهنية: طريقة التكلفة</t>
  </si>
  <si>
    <t>🏗️  تفصيل تكلفة البناء — Construction Cost per m²</t>
  </si>
  <si>
    <t>الفئة</t>
  </si>
  <si>
    <t>الكمية</t>
  </si>
  <si>
    <t>سعر الوحدة (EGP)</t>
  </si>
  <si>
    <t>إجمالى للمتر (EGP)</t>
  </si>
  <si>
    <t>الحفر والتأسيس</t>
  </si>
  <si>
    <t>حفر وردم تربة</t>
  </si>
  <si>
    <t>م³/م²</t>
  </si>
  <si>
    <t>حفر يدوى أو ميكانيكى</t>
  </si>
  <si>
    <t>خرسانة عادية للقواعد</t>
  </si>
  <si>
    <t>PC نظافة وقواعد</t>
  </si>
  <si>
    <t>حديد التسليح للقواعد</t>
  </si>
  <si>
    <t>كجم/م²</t>
  </si>
  <si>
    <t>أساسات مسلحة</t>
  </si>
  <si>
    <t>الهيكل الإنشائى</t>
  </si>
  <si>
    <t>حديد التسليح للأعمدة</t>
  </si>
  <si>
    <t>أعمدة وكمرات</t>
  </si>
  <si>
    <t>حديد التسليح للبلاطات</t>
  </si>
  <si>
    <t>Top + Bottom mesh</t>
  </si>
  <si>
    <t>خرسانة مسلحة - أعمدة</t>
  </si>
  <si>
    <t>خرسانة 350 كجم/م³</t>
  </si>
  <si>
    <t>خرسانة مسلحة - بلاطات</t>
  </si>
  <si>
    <t>بلاطات هوردى/مصمتة</t>
  </si>
  <si>
    <t>أسمنت بورتلاندى</t>
  </si>
  <si>
    <t>إضافات على الخرسانة</t>
  </si>
  <si>
    <t>المبانى</t>
  </si>
  <si>
    <t>طوب أحمر مفرغ - حوائط</t>
  </si>
  <si>
    <t>طوبة/م²</t>
  </si>
  <si>
    <t>حوائط خارجية 25 سم</t>
  </si>
  <si>
    <t>طوب أبيض - قواطع</t>
  </si>
  <si>
    <t>قواطع 12 سم</t>
  </si>
  <si>
    <t>مونة أسمنت + رمل</t>
  </si>
  <si>
    <t>مونة 1:6 للبناء</t>
  </si>
  <si>
    <t>البياض</t>
  </si>
  <si>
    <t>بياض داخلى</t>
  </si>
  <si>
    <t>محارة + بياض</t>
  </si>
  <si>
    <t>بياض خارجى</t>
  </si>
  <si>
    <t>محارة بياض رمل</t>
  </si>
  <si>
    <t>ملس جبسى نهائى</t>
  </si>
  <si>
    <t>للحوائط الداخلية</t>
  </si>
  <si>
    <t>الأرضيات</t>
  </si>
  <si>
    <t>بورسلين/سيراميك</t>
  </si>
  <si>
    <t>م²/م²</t>
  </si>
  <si>
    <t>60×60 درجة أولى</t>
  </si>
  <si>
    <t>رخام/جرانيت للسلالم</t>
  </si>
  <si>
    <t>بقدر مسطح السلم</t>
  </si>
  <si>
    <t>وزرات وكرنيش</t>
  </si>
  <si>
    <t>م.ط/م²</t>
  </si>
  <si>
    <t>وزر 7 سم</t>
  </si>
  <si>
    <t>سيراميك للحوائط</t>
  </si>
  <si>
    <t>حمامات ومطابخ</t>
  </si>
  <si>
    <t>السباكة</t>
  </si>
  <si>
    <t>مواسير صرف PVC</t>
  </si>
  <si>
    <t>م/م²</t>
  </si>
  <si>
    <t>صرف</t>
  </si>
  <si>
    <t>مواسير تغذية PPR</t>
  </si>
  <si>
    <t>مياه PPR</t>
  </si>
  <si>
    <t>أطقم حمام</t>
  </si>
  <si>
    <t>طقم/م²</t>
  </si>
  <si>
    <t>كرسى+حوض+بانيو</t>
  </si>
  <si>
    <t>خلاطات وحنفيات</t>
  </si>
  <si>
    <t>قطعة/م²</t>
  </si>
  <si>
    <t>خلاطات تركيز</t>
  </si>
  <si>
    <t>سخانات + غلايات</t>
  </si>
  <si>
    <t>سخان 50 لتر</t>
  </si>
  <si>
    <t>الكهرباء</t>
  </si>
  <si>
    <t>أسلاك نحاس مرنة</t>
  </si>
  <si>
    <t>1.5+2.5+4 مم</t>
  </si>
  <si>
    <t>مواسير PVC للكهرباء</t>
  </si>
  <si>
    <t>خراطيم تثبيت</t>
  </si>
  <si>
    <t>مفاتيح وبرايز</t>
  </si>
  <si>
    <t>ماركة محلية جيدة</t>
  </si>
  <si>
    <t>علب توزيع وأرضى</t>
  </si>
  <si>
    <t>صبة + لوحة</t>
  </si>
  <si>
    <t>إنارة (مصابيح + كشافات)</t>
  </si>
  <si>
    <t>ليد إقتصادى</t>
  </si>
  <si>
    <t>النجارة</t>
  </si>
  <si>
    <t>أبواب داخلية خشبية</t>
  </si>
  <si>
    <t>باب/م²</t>
  </si>
  <si>
    <t>MDF أو موسكى</t>
  </si>
  <si>
    <t>باب خارجى أمن</t>
  </si>
  <si>
    <t>حديد + كور خشب</t>
  </si>
  <si>
    <t>شبابيك ألومنيوم/خشب</t>
  </si>
  <si>
    <t>ألومنيوم 100 ميكرون</t>
  </si>
  <si>
    <t>الواجهات</t>
  </si>
  <si>
    <t>كسوة حجر هاشمى</t>
  </si>
  <si>
    <t>هاشمى أو ميرلا</t>
  </si>
  <si>
    <t>دهانات خارجية</t>
  </si>
  <si>
    <t>أكريليك خارجى</t>
  </si>
  <si>
    <t>الدهانات</t>
  </si>
  <si>
    <t>دهان بلاستيك (3 أوجه)</t>
  </si>
  <si>
    <t>بلاستيك ماركة أولى</t>
  </si>
  <si>
    <t>دهان زيتى للأبواب</t>
  </si>
  <si>
    <t>زيتى لمعان</t>
  </si>
  <si>
    <t>أعمال أخرى</t>
  </si>
  <si>
    <t>عزل مائى للحمامات والسطح</t>
  </si>
  <si>
    <t>بيتومين + عازل</t>
  </si>
  <si>
    <t>عزل حرارى</t>
  </si>
  <si>
    <t>فلين أو صوف صخرى</t>
  </si>
  <si>
    <t>نظافة وتشطيب نهائى</t>
  </si>
  <si>
    <t>تسليم</t>
  </si>
  <si>
    <t>إجمالى تكلفة المتر المباشرة</t>
  </si>
  <si>
    <t>+ تكاليف غير مباشرة (إدارية + ربح + طوارئ 18%)</t>
  </si>
  <si>
    <t>💎 إجمالى تكلفة المتر الكاملة (RCN)</t>
  </si>
  <si>
    <t>🏗️  كيف نحسب قيمة العقار بأسلوب التكلفة (DRC)؟</t>
  </si>
  <si>
    <t>1️⃣ احسب قيمة الأرض من بيوع أراضى مماثلة فى نفس المنطقة.</t>
  </si>
  <si>
    <t>2️⃣ احسب تكلفة بناء عقار جديد بنفس المواصفات اليوم (RCN).</t>
  </si>
  <si>
    <t>3️⃣ أضف التكاليف غير المباشرة (إدارية + ربح المقاول 15-20%).</t>
  </si>
  <si>
    <t>4️⃣ اطرح التهالك المتراكم (يقارب 2% لكل سنة من عمر المبنى).</t>
  </si>
  <si>
    <t>5️⃣ القيمة النهائية ÷ قيمة الأرض + قيمة المبنى بعد التهالك.</t>
  </si>
  <si>
    <t>أرض 1.2M + بناء 2M − تهالك 32% ÷ 2.56M EGP</t>
  </si>
  <si>
    <t>أسلوب رأسمالة الدخل — Income Capitalization</t>
  </si>
  <si>
    <t>IVS 105 — Income Approach | 2026/04/12</t>
  </si>
  <si>
    <t>الإيجار الشهري للوحدة</t>
  </si>
  <si>
    <t>EGP / شهر</t>
  </si>
  <si>
    <t>الدخل الإيجاري السنوي الإجمالي (الإيجار × 12)</t>
  </si>
  <si>
    <t>EGP / سنة</t>
  </si>
  <si>
    <t>خسائر عدم الإشغال والمصاريف الإدارية (10%)</t>
  </si>
  <si>
    <t>صافي الدخل التشغيلي الفعال (NOI)</t>
  </si>
  <si>
    <t>العمر الاقتصادي المتبقى للمبنى (سنة)</t>
  </si>
  <si>
    <t>معدل استرداد رأس المال = 1 / العمر المتبقى</t>
  </si>
  <si>
    <t>سنوياً</t>
  </si>
  <si>
    <t>سعر الفائدة السائد</t>
  </si>
  <si>
    <t>معدل الرسملة الكلي = الفائدة + استرداد رأس المال</t>
  </si>
  <si>
    <t>≈ B9+B10</t>
  </si>
  <si>
    <t>العائد على الأرض = قيمة الأرض × الفائدة</t>
  </si>
  <si>
    <t>≈ B15*B10</t>
  </si>
  <si>
    <t>الدخل الصافي المتاح للمبنى = NOI - عائد الأرض</t>
  </si>
  <si>
    <t>قيمة المبنى = دخل المبنى / معدل الرسملة</t>
  </si>
  <si>
    <t>قيمة الأرض (مُضاف)</t>
  </si>
  <si>
    <t>القيمة الإجمالية بأسلوب رأسمالة الدخل</t>
  </si>
  <si>
    <t>سعر المتر بأسلوب الدخل (EGP/م²)</t>
  </si>
  <si>
    <t>شرح أسلوب رأسمالة الدخل</t>
  </si>
  <si>
    <t>يُقيّم هذا الأسلوب العقار بتحويل الدخل الإيجاري الصافي إلى قيمة رأسمالية. تُحسب القيمة بقسمة صافي الدخل التشغيلي (NOI) على معدل الرسملة الذي يشمل سعر الفائدة ومعدل استرداد رأس المال. يُستخدم هذا الأسلوب وفق IVS 105 للعقارات ذات الدخل الإيجاري الثابت.</t>
  </si>
  <si>
    <t>📋  صندوق التفسير الاستشاري — منهجية رسملة الدخل</t>
  </si>
  <si>
    <t>الفرق بين معدل رسملة الدخل والمعدل الخالي من المخاطرة يُسمى 'علاوة مخاطر العقار'. ارتفاعه يعني سوقاً أقل يقيناً.</t>
  </si>
  <si>
    <t>احذر من استخدام الإيجار الإجمالي دون طرح الشغور والمصاريف — يُعطي قيمة مضخمة قد تُضلل المستثمر.</t>
  </si>
  <si>
    <t>معدل الرسملة يرتفع في المناطق الأقل طلباً ويتراجع في الأحياء المرغوبة. عكسياً: انخفاض المعدل = ارتفاع القيمة.</t>
  </si>
  <si>
    <t>🧠  خريطة ذهنية: رأسمالة الدخل</t>
  </si>
  <si>
    <t>💵  كيف نحسب القيمة بأسلوب رأسمالة الدخل؟</t>
  </si>
  <si>
    <t>1️⃣ احسب الدخل السنوى الإجمالى (الإيجار/م² × المساحة).</t>
  </si>
  <si>
    <t>2️⃣ اطرح خسائر الإشغال (5%) ومصروفات التشغيل (5%).</t>
  </si>
  <si>
    <t>3️⃣ الناتج هو صافى الدخل التشغيلى (NOI) قبل الضرائب.</t>
  </si>
  <si>
    <t>4️⃣ احسب معدل الرسملة Cap Rate.</t>
  </si>
  <si>
    <t>5️⃣ القيمة ÷ NOI ÷ معدل الرسملة + قيمة الأرض.</t>
  </si>
  <si>
    <t>الإيجار 57,000 سنوياً، NOI ÷ 48,450، القيمة ÷ 471,762 EGP</t>
  </si>
  <si>
    <t>التحليل المكاني والجغرافي — OpenStreetMap Integration</t>
  </si>
  <si>
    <t>══ بيانات الإحداثيات (مرجع) ══</t>
  </si>
  <si>
    <t>خط العرض y</t>
  </si>
  <si>
    <t>خط الطول x</t>
  </si>
  <si>
    <t>مصدر الخريطة</t>
  </si>
  <si>
    <t>OpenStreetMap © contributors</t>
  </si>
  <si>
    <t>عدد المقارنات المُرسَّمة</t>
  </si>
  <si>
    <t>خريطة الموقع — OpenStreetMap</t>
  </si>
  <si>
    <t>E4-12</t>
  </si>
  <si>
    <t>E5-71</t>
  </si>
  <si>
    <t>784-107</t>
  </si>
  <si>
    <t>784-403</t>
  </si>
  <si>
    <t>785-104</t>
  </si>
  <si>
    <t>نتائج الاستيفاء المكاني للعقار موضوع التقييم</t>
  </si>
  <si>
    <t>الطريقة المستخدمة</t>
  </si>
  <si>
    <t>Ordinary Kriging (pykrige)</t>
  </si>
  <si>
    <t>إحداثية x (خط الطول)</t>
  </si>
  <si>
    <t>إحداثية y (خط العرض)</t>
  </si>
  <si>
    <t>التباين (Variance)</t>
  </si>
  <si>
    <t>القيمة المُستنتجة (EGP/م²)</t>
  </si>
  <si>
    <t>القيمة الإجمالية (EGP)</t>
  </si>
  <si>
    <t>شرح التحليل المكاني (Kriging / IDW)</t>
  </si>
  <si>
    <t>Kriging هو أسلوب استيفاء إحصائي مكاني (Geostatistical Interpolation) يُقدّر قيمة العقار بناءً على توزيع الأسعار الجغرافي للعقارات المجاورة. يأخذ الأسلوب في الاعتبار التباين المكاني (Variogram) ليُنتج تقديراً بلا انحياز. عند تعذّر Kriging يُستخدم IDW (Inverse Distance Weighting) كبديل يُعطي أوزاناً عكسية مع المسافة.</t>
  </si>
  <si>
    <t>خريطة الحرارة السعرية — Price Heatmap</t>
  </si>
  <si>
    <t>══ إحداثيات المقارنات (تقريبية) ══</t>
  </si>
  <si>
    <t>lat</t>
  </si>
  <si>
    <t>lng</t>
  </si>
  <si>
    <t>نسبة من سعر التقييم</t>
  </si>
  <si>
    <t>📋  صندوق التفسير الاستشاري — التحليل الجغرافي للأسعار</t>
  </si>
  <si>
    <t>IDW (الوزن العكسي للمسافة): العقارات القريبة منك تُؤثر أكثر على سعرك. كلما اتسعت نطاق البحث، كان التقدير أقل دقة.</t>
  </si>
  <si>
    <t>الخريطة الحرارية تُظهر نطاقات الأسعار: الألوان الدافئة (أحمر) = أسعار مرتفعة، الباردة (أزرق/أخضر) = منخفضة.</t>
  </si>
  <si>
    <t>تنبيه للمستثمر: الأسعار الأعلى في المناطق المجاورة قد تُشير لمشاريع بنية تحتية قادمة — فرصة استثمارية مبكرة.</t>
  </si>
  <si>
    <t>🧠  خريطة ذهنية: التحليل المكاني</t>
  </si>
  <si>
    <t>🗺️  الخرائط البصرية — Heatmap &amp; Geographic</t>
  </si>
  <si>
    <t>🌡️ الخريطة الحرارية للأسعار</t>
  </si>
  <si>
    <t>🗺️ التوزيع الجغرافى للمقارنات</t>
  </si>
  <si>
    <t>🗺️  كيف يعمل التحليل المكانى؟</t>
  </si>
  <si>
    <t>1️⃣ اجمع نقاط بيانات (موقع + سعر) لعقارات مباعة مؤخراً.</t>
  </si>
  <si>
    <t>2️⃣ احسب الإحداثيات الجغرافية (خط الطول وخط العرض).</t>
  </si>
  <si>
    <t>3️⃣ استخدم خوارزمية الكريجنج للتنبؤ بالسعر فى نقاط مجهولة.</t>
  </si>
  <si>
    <t>4️⃣ احسب تأثير المتغيرات (قرب المترو، المدارس، الإطلالة).</t>
  </si>
  <si>
    <t>5️⃣ السعر المتنبأ ÷ دالة(المسافة، الجار، الخصائص).</t>
  </si>
  <si>
    <t>كريجنج تنبأ بـ 23,500 EGP/م² + قرب المترو 2% ÷ 23,970 EGP/م²</t>
  </si>
  <si>
    <t>تحليل الانحدار الخطي المتعدد — OLS Regression</t>
  </si>
  <si>
    <t>Multiple Linear Regression (statsmodels OLS) | 2026/04/12</t>
  </si>
  <si>
    <t>Standard Error</t>
  </si>
  <si>
    <t>Coefficients</t>
  </si>
  <si>
    <t>Lower 95%</t>
  </si>
  <si>
    <t>Upper 95%</t>
  </si>
  <si>
    <t>t-Statistic</t>
  </si>
  <si>
    <t>Significant?</t>
  </si>
  <si>
    <t>Intercept (const)</t>
  </si>
  <si>
    <t>-</t>
  </si>
  <si>
    <t>✓ Yes</t>
  </si>
  <si>
    <t>رقم الدور (NOS)</t>
  </si>
  <si>
    <t>✗ No</t>
  </si>
  <si>
    <t>إجمالي المساحة (TFA)</t>
  </si>
  <si>
    <t>سنة البناء (YEAR)</t>
  </si>
  <si>
    <t>تطبيق النموذج على العقار موضوع التقييم</t>
  </si>
  <si>
    <t>رقم الدور المُدخل</t>
  </si>
  <si>
    <t>المساحة المُدخلة (م²)</t>
  </si>
  <si>
    <t>سنة البناء المُدخلة</t>
  </si>
  <si>
    <t>القيمة المُتنبأ بها (EGP/م²)</t>
  </si>
  <si>
    <t>البيانات الأساسية المستخدمة في الانحدار</t>
  </si>
  <si>
    <t>المساحة</t>
  </si>
  <si>
    <t>السعر (EGP/م²)</t>
  </si>
  <si>
    <t>OLS Predicted</t>
  </si>
  <si>
    <t>Residual</t>
  </si>
  <si>
    <t>Ratio (Pred/Act)</t>
  </si>
  <si>
    <t>══ إحصاءات جودة النموذج — Model Diagnostics ══</t>
  </si>
  <si>
    <t>RMSE (Root Mean Squared Error)</t>
  </si>
  <si>
    <t>↓ أقل = أفضل</t>
  </si>
  <si>
    <t>MAE  (Mean Absolute Error)</t>
  </si>
  <si>
    <t>F-Statistic</t>
  </si>
  <si>
    <t>k=3, df=16</t>
  </si>
  <si>
    <t>F Critical (α=0.05)</t>
  </si>
  <si>
    <t>Model Significant?</t>
  </si>
  <si>
    <t>✓ نعم</t>
  </si>
  <si>
    <t>──</t>
  </si>
  <si>
    <t>══ Ratio Studies (IAAO) ══</t>
  </si>
  <si>
    <t>Mean Assessment Ratio</t>
  </si>
  <si>
    <t>IAAO: 0.90–1.10</t>
  </si>
  <si>
    <t>Median Assessment Ratio</t>
  </si>
  <si>
    <t>Weighted Mean Ratio</t>
  </si>
  <si>
    <t>PCR (Price-Related Coefficient)</t>
  </si>
  <si>
    <t>IAAO: 0.98–1.03</t>
  </si>
  <si>
    <t>PCR Assessment</t>
  </si>
  <si>
    <t>══ COD — Coefficient of Dispersion ══</t>
  </si>
  <si>
    <t>Median Ratio (Rm)</t>
  </si>
  <si>
    <t>COD (%)</t>
  </si>
  <si>
    <t>IAAO: ≤15% مقبول, ≤10% ممتاز</t>
  </si>
  <si>
    <t>COD Assessment</t>
  </si>
  <si>
    <t>📋  صندوق التفسير الاستشاري — نموذج الانحدار الخطي المتعدد</t>
  </si>
  <si>
    <t>للمستثمر: معاملات الانحدار تُحدد قيمة كل ميزة نقدياً — هل الدور العلوي أغلى أم الأرضي؟ كم تُضيف المساحة الإضافية؟</t>
  </si>
  <si>
    <t>🧠  خريطة ذهنية: الانحدار المتعدد</t>
  </si>
  <si>
    <t>📈  كيف يعمل الانحدار الخطى المتعدد (OLS)؟</t>
  </si>
  <si>
    <t>1️⃣ جمع بيانات لعقارات مباعة (السعر + المتغيرات).</t>
  </si>
  <si>
    <t>2️⃣ تحديد المتغيرات المؤثرة (المساحة، الدور، العمر، الغرف).</t>
  </si>
  <si>
    <t>3️⃣ بناء معادلة الانحدار (Price ÷ β₀ + β₁·Area + β₂·Floor + ...).</t>
  </si>
  <si>
    <t>4️⃣ حساب معاملات β لكل متغير من البيانات.</t>
  </si>
  <si>
    <t>5️⃣ التحقق من جودة النموذج (R² عالى، t-Stat معنوى).</t>
  </si>
  <si>
    <t>6️⃣ استخدام المعادلة للتنبؤ بسعر العقار.</t>
  </si>
  <si>
    <t>Price ÷ 5000 + 200·المساحة + 300·الدور − 100·العمر</t>
  </si>
  <si>
    <t>الخيارات الحقيقية — Real Options Analysis (Black-Scholes)</t>
  </si>
  <si>
    <t>Real Options Valuation — Development Potential Assessment | 2026/04/12</t>
  </si>
  <si>
    <t>مدخلات النموذج (Model Inputs)</t>
  </si>
  <si>
    <t>S — قيمة الأصل الحالية (Current Asset Value) EGP</t>
  </si>
  <si>
    <t>K — تكلفة التطوير / سعر التنفيذ (Development Cost) EGP</t>
  </si>
  <si>
    <t>σ — معامل التذبذب السنوي (Annual Volatility)</t>
  </si>
  <si>
    <t>T — فترة الحيازة / التطوير (Time to Develop) سنوات</t>
  </si>
  <si>
    <t>r — معدل الفائدة الخالي من المخاطر (Risk-Free Rate)</t>
  </si>
  <si>
    <t>سعر متر المبنى المرجعي (Base Price EGP/م²)</t>
  </si>
  <si>
    <t>تكلفة متر التطوير (Development Cost/م²)</t>
  </si>
  <si>
    <t>حسابات نموذج Black-Scholes</t>
  </si>
  <si>
    <t>d1 = [ln(S/K) + (r + σ²/2)×T] / (σ√T)</t>
  </si>
  <si>
    <t>d2 = d1 − σ√T</t>
  </si>
  <si>
    <t>N(d1) — الدالة التراكمية الطبيعية لـ d1</t>
  </si>
  <si>
    <t>N(d2) — الدالة التراكمية الطبيعية لـ d2</t>
  </si>
  <si>
    <t>قيمة خيار التطوير = S×N(d1) − K×e^(-rT)×N(d2)</t>
  </si>
  <si>
    <t>النتائج — Real Options Results</t>
  </si>
  <si>
    <t>القيمة الجوهرية الحالية (Intrinsic Value) EGP</t>
  </si>
  <si>
    <t>قيمة الخيار (Option Premium) EGP</t>
  </si>
  <si>
    <t>القيمة الكلية مع الخيار (Total Value) EGP</t>
  </si>
  <si>
    <t>سعر المتر بأسلوب الخيارات الحقيقية (EGP/م²)</t>
  </si>
  <si>
    <t>شرح أسلوب الخيارات الحقيقية</t>
  </si>
  <si>
    <t>يُقيّم هذا الأسلوب قيمة المرونة في قرار التطوير أو الاحتفاظ بالعقار. يُطبّق نموذج Black-Scholes المستخدم في تسعير الخيارات المالية على الأصول العقارية: S (قيمة الأصل الحالية)، K (تكلفة التطوير كـ'سعر تنفيذ')، σ (تذبذب سوق العقارات)، T (أفق الاستثمار)، r (معدل الفائدة الخالي من المخاطر). القيمة النهائية = القيمة الجوهرية + علاوة الخيار، مما يعكس إمكانية التطوير المستقبلية للعقار.</t>
  </si>
  <si>
    <t>شجرة القرارات الثنائية — Binomial Decision Tree (3 خطوات)</t>
  </si>
  <si>
    <t>N=3 | Δt=0.3333 | u=1.0473 | d=0.9549 | p=0.7809 | disc=0.9737</t>
  </si>
  <si>
    <t>العقدة</t>
  </si>
  <si>
    <t>t=0</t>
  </si>
  <si>
    <t>t=1</t>
  </si>
  <si>
    <t>t=2</t>
  </si>
  <si>
    <t>t=3 (النضج)</t>
  </si>
  <si>
    <t>القرار الديناميكي</t>
  </si>
  <si>
    <t>S₀</t>
  </si>
  <si>
    <t>Su</t>
  </si>
  <si>
    <t>Sd</t>
  </si>
  <si>
    <t>Su²</t>
  </si>
  <si>
    <t>Sud</t>
  </si>
  <si>
    <t>Sd²</t>
  </si>
  <si>
    <t>Su³</t>
  </si>
  <si>
    <t>Su²d</t>
  </si>
  <si>
    <t>Sud²</t>
  </si>
  <si>
    <t>Sd³</t>
  </si>
  <si>
    <t>قيم الخيار — Option Values (Backward Induction)</t>
  </si>
  <si>
    <t>القرار (ديناميكي — يتحدث مع B5/B6)</t>
  </si>
  <si>
    <t>C(Su³)</t>
  </si>
  <si>
    <t>C(Su²d)</t>
  </si>
  <si>
    <t>C(Sud²)</t>
  </si>
  <si>
    <t>C(Sd³)</t>
  </si>
  <si>
    <t>C(Su²)</t>
  </si>
  <si>
    <t>C(Sud)</t>
  </si>
  <si>
    <t>C(Sd²)</t>
  </si>
  <si>
    <t>C(Su)</t>
  </si>
  <si>
    <t>C(Sd)</t>
  </si>
  <si>
    <t>C₀</t>
  </si>
  <si>
    <t>Binomial Option Value:</t>
  </si>
  <si>
    <t>B-S vs Binomial diff %:</t>
  </si>
  <si>
    <t>📋  صندوق التفسير الاستشاري — نظرية الخيارات الحقيقية للتطوير</t>
  </si>
  <si>
    <t>قيمة خيار الانتظار تزيد مع ارتفاع التقلب (σ) — عدم اليقين في السوق له قيمة إيجابية للمستثمر الاستراتيجي الصبور.</t>
  </si>
  <si>
    <t>الشجرة الثنائية تُصوّر سيناريوهات الصعود والهبوط: العقد الخضراء (▲ طوّر) مقابل الحمراء (⏳ انتظر).</t>
  </si>
  <si>
    <t>🧠  خريطة ذهنية: الخيارات الحقيقية</t>
  </si>
  <si>
    <t>🌲  شجرة القرارات الثنائية — Binomial Decision Tree</t>
  </si>
  <si>
    <t>تطور قيمة الأصل عبر الزمن مع قرارات Develop/Wait</t>
  </si>
  <si>
    <t>🎲  كيف تعمل الخيارات الحقيقية؟</t>
  </si>
  <si>
    <t>1️⃣ العقار يُعامل كـ option (خيار) على أصل أساسى.</t>
  </si>
  <si>
    <t>2️⃣ الخيار له قيمة إضافية بسبب المرونة (التأجيل، التغيير).</t>
  </si>
  <si>
    <t>3️⃣ استخدم نموذج Black-Scholes (C ÷ S·N(d₁) − K·e^(-rt)·N(d₂)).</t>
  </si>
  <si>
    <t>4️⃣ احسب القيمة الإستراتيجية (الأساسية + قيمة الخيار).</t>
  </si>
  <si>
    <t>5️⃣ مفيد للأراضى الفضاء، إعادة التطوير، تغيير الاستخدام.</t>
  </si>
  <si>
    <t>أرض 5M + خيار تطوير لـ 8M ÷ 6M (قيمة الانتظار 1M)</t>
  </si>
  <si>
    <t>توفيق النتائج — Reconciliation of Valuation Methods</t>
  </si>
  <si>
    <t>IVS 105 — Weighted Reconciliation Matrix | 2026/04/12</t>
  </si>
  <si>
    <t>أسلوب التقييم</t>
  </si>
  <si>
    <t>الوزن النسبي</t>
  </si>
  <si>
    <t>القيمة الموزونة (EGP/م²)</t>
  </si>
  <si>
    <t>أسلوب مقارنة البيوع السابقة</t>
  </si>
  <si>
    <t>أسلوب حساب التكلفة (DRC)</t>
  </si>
  <si>
    <t>أسلوب رأسمالة الدخل</t>
  </si>
  <si>
    <t>التحليل المكاني (Kriging/IDW)</t>
  </si>
  <si>
    <t>الانحدار الخطي المتعدد (OLS)</t>
  </si>
  <si>
    <t>الخيارات الحقيقية (B-S)</t>
  </si>
  <si>
    <t>مجموع الأوزان</t>
  </si>
  <si>
    <t>القيمة السوقية النهائية الموزونة (EGP/م²)</t>
  </si>
  <si>
    <t>القيمة السوقية الإجمالية للعقار (200 م²)</t>
  </si>
  <si>
    <t>تحليل توفيق النتائج ومبرراته</t>
  </si>
  <si>
    <t>بدراسة طرق التقييم الست وفق درجة موثوقية كل منها وملاءمتها لطبيعة العقار موضوع التقييم (شقة سكنية — القاهرة)، تم توزيع الأوزان كالتالي:
• مقارنة البيوع (30%): الأكثر موثوقية لتوافر بيانات كافية في السوق.
• التكلفة (20%): مناسب كأسلوب تحقق للعقارات السكنية.
• رأسمالة الدخل (15%): يعكس إمكانية الاستثمار الإيجاري.
• Kriging المكاني (15%): يُدمج البُعد الجغرافي في التقييم.
• الانحدار المتعدد (12%): نموذج إحصائي متعدد المتغيرات.
• الخيارات الحقيقية (8%): يُقيّم إمكانية التطوير المستقبلية.
القيمة السوقية العادلة النهائية = 17,621.79 EGP/م² | الإجمالي = 3,524,357.09 EGP</t>
  </si>
  <si>
    <t>📋  صندوق التفسير الاستشاري — توفيق وترجيح مناهج التقييم</t>
  </si>
  <si>
    <t>توفيق النتائج هو قلب التقييم المهني: المُقيّم يُعطي وزناً أكبر للمنهج الأنسب لنوع العقار وجودة البيانات المتاحة.</t>
  </si>
  <si>
    <t>للعقارات السكنية: المقارنة السوقية تحصل على الوزن الأكبر (50-60%). للاستثمارية: الدخل يتصدر. للجديدة: التكلفة تُعتمد.</t>
  </si>
  <si>
    <t>تقارب الطرق الثلاث في نطاق ±10% يُعزز الثقة. تباين &gt;20% يستوجب التحقيق في أسبابه قبل إصدار القيمة النهائية.</t>
  </si>
  <si>
    <t>القيمة المُوفَّقة رأي مُعلَّل — ليست متوسطاً حسابياً. المُقيّم الخبير يُبرر كل ترجيح في ضوء طبيعة السوق.</t>
  </si>
  <si>
    <t>أشهد أنا خبير التقييم بأنني:</t>
  </si>
  <si>
    <t>1- قد قمت بدراسة سوق منطقة العقار واخترت عقارات مقارنة من خلال استقصاء ميداني دقيق.</t>
  </si>
  <si>
    <t>2- قد قمت بأخذ جميع العوامل التي تؤثر على قيمة العقار بعين الاعتبار وأفصحت عنها.</t>
  </si>
  <si>
    <t>3- قد قدمت بالتقرير رأيي الشخصي المحايد والموضوعي في القيمة دون أي ضغوط خارجية.</t>
  </si>
  <si>
    <t>4- انه ليس لدي أي اهتمام حالي أو مستقبلي متعلق بالعقار يؤثر على حيادية رأيي.</t>
  </si>
  <si>
    <t>5- انه ليس لي اهتمام حالي أو مستقبلي بالعقار وأن رأيي غير متحيز.</t>
  </si>
  <si>
    <t>6- أنه لم يُطلب إليّ تقديم أي آراء مسبقة عن قيمة العقار.</t>
  </si>
  <si>
    <t>7- إنني قمت بأداء هذا التقييم طبقاً لمعايير التقييم الدولية IVS ومعايير الرقابة المالية EFSA.</t>
  </si>
  <si>
    <t>8- أنني أُقرّ أن القيمة الواردة في التقييم مبنية على التحليل الفعلي للسوق وليس على تقديرات تقريبية.</t>
  </si>
  <si>
    <t>9- أنني شخصياً قمت بفحص داخل وخارج العقار موضوع التقييم.</t>
  </si>
  <si>
    <t>10- إنني قمت شخصياً بإعداد كل التوصيات والنتائج المتعلقة بهذا التقييم.</t>
  </si>
  <si>
    <t>التوقيع: .......................    |    الاسم: هشام محمد محمد المهدى    |    رقم القيد: 29    |    التاريخ: 2026/04/12</t>
  </si>
  <si>
    <t>📋  صندوق التفسير الاستشاري — الشهادة المهنية والمسؤولية</t>
  </si>
  <si>
    <t>الشهادة تُثبت التزام المُقيّم بمعايير IVSC الدولية ومعايير جمعية المُقيّمين المصريين.</t>
  </si>
  <si>
    <t>المُقيّم المعتمد يتحمل مسؤولية مهنية وقانونية عن رأيه — ولا يتلقى مكافأة مرتبطة بنتيجة التقييم (تضارب مصالح).</t>
  </si>
  <si>
    <t>معاينة العقار إلزامية للتقييم الكامل. التقييم المكتبي (Desktop Appraisal) يُبيَّن قيوده صراحةً في التقرير.</t>
  </si>
  <si>
    <t>للمشتري: استعن دائماً بمُقيّم مستقل معتمد — لا تعتمد على تقرير المُموّل أو وكيل البائع وحده.</t>
  </si>
  <si>
    <t>لوحة القيادة التنفيذية  |  Expert Smart Valuation Pro</t>
  </si>
  <si>
    <t>" ⚙ الغرض: التقييم في حالة عدم اليقين   |   المسار: UNCERTAINTY   |   التقييم في حالة عدم اليقين"</t>
  </si>
  <si>
    <t>القيمة السوقية</t>
  </si>
  <si>
    <t>قيمة DCF</t>
  </si>
  <si>
    <t>NPV</t>
  </si>
  <si>
    <t>IRR</t>
  </si>
  <si>
    <t>ROI الإجمالي</t>
  </si>
  <si>
    <t>التوصية الاستثمارية</t>
  </si>
  <si>
    <t>محاور تقييم العقار — Property Scoring Radar</t>
  </si>
  <si>
    <t>══ HABU الاستخدام الأمثل ══</t>
  </si>
  <si>
    <t>المحور</t>
  </si>
  <si>
    <t>الدرجة (0-10)</t>
  </si>
  <si>
    <t>الحالة الإنشائية</t>
  </si>
  <si>
    <t>العائد المالي</t>
  </si>
  <si>
    <t>══ جودة البيانات ══</t>
  </si>
  <si>
    <t>السيولة السوقية</t>
  </si>
  <si>
    <t>القيمة مقابل السعر</t>
  </si>
  <si>
    <t>/10  (Market Intelligence)</t>
  </si>
  <si>
    <t>جدول تتبع مصادر البيانات (Data Traceability)</t>
  </si>
  <si>
    <t>المنطقة / الموقع</t>
  </si>
  <si>
    <t>رابط المصدر</t>
  </si>
  <si>
    <t>🌐  التحليل الاستراتيجي والجيوسياسي  —  السياق الجيوسياسي والاقتصادي</t>
  </si>
  <si>
    <t>📍  📍 التجمع الخامس: متوسط السعر 42,000 EGP/م² | النمو السنوي 18% | مستقر-صاعد</t>
  </si>
  <si>
    <t>📊  • التضخم المصري: 27.8% | سعر الدولار: 50.5 EGP | سعر الفائدة: 27.25%</t>
  </si>
  <si>
    <t>🌍  • الاستثمار الإماراتي يدعم ثقة السوق. أزمة البحر الأحمر تُخفض إيرادات السويس. التضخم العالمي يرفع تكاليف البناء.</t>
  </si>
  <si>
    <t>🏗  • توقعات residential 2025: نمو 15-20% | المحركات: التضخم + تحويلات الخارج + الطلب المحبوس</t>
  </si>
  <si>
    <t>⚙  القيمة السوقية محسوبة وفق مناهج ثلاثة دولية مُوزَّنة.</t>
  </si>
  <si>
    <t>✅  إشارات إيجابية:  العاصمة الإدارية — قبل التشغيل الكامل للوزارات  •  رأس الحكمة — مرحلة الانطلاق الأولى  •  الغردقة — الطلب الأوروبي الشرقي في ازدياد</t>
  </si>
  <si>
    <t>⚠  تحفظات:  بورسعيد الصناعية — أزمة البحر الأحمر تؤثر  •  سيناء السياحية — عدم استقرار إقليمي</t>
  </si>
  <si>
    <t>المؤشرات الاقتصادية مُستقاة من بيانات Q1-2025. تُحدَّث فصلياً.</t>
  </si>
  <si>
    <t>روابط سريعة بين الشيتات</t>
  </si>
  <si>
    <t>🎛 المدخلات</t>
  </si>
  <si>
    <t>📑 التقرير الرسمى</t>
  </si>
  <si>
    <t>🎯 توفيق النتائج</t>
  </si>
  <si>
    <t>💵 DCF</t>
  </si>
  <si>
    <t>🏆 HABU</t>
  </si>
  <si>
    <t>⚡ الملخص التنفيذى</t>
  </si>
  <si>
    <t>📊 الحساسية</t>
  </si>
  <si>
    <t>🎯 SWOT</t>
  </si>
  <si>
    <t>💰 التمويل</t>
  </si>
  <si>
    <t>مصادر البيانات والمنهجية — Data Sources &amp; Methodology</t>
  </si>
  <si>
    <t>يُعرض في هذه الورقة المصادر الكاملة لكل بيانات التقييم | تاريخ: 2026/04/12</t>
  </si>
  <si>
    <t>أولاً: مصادر بيانات السوق العقاري</t>
  </si>
  <si>
    <t>المنصة</t>
  </si>
  <si>
    <t>الرابط / المصدر</t>
  </si>
  <si>
    <t>نوع البيانات</t>
  </si>
  <si>
    <t>عقار ماب (Aqar Map)</t>
  </si>
  <si>
    <t>https://aqarmap.com.eg/ar/for-sale/apartment/cairo/new-cairo/fifth-settlement/</t>
  </si>
  <si>
    <t>أسعار شقق التجمع الخامس — بيانات حية</t>
  </si>
  <si>
    <t>بروبرتي فايندر (Property Finder)</t>
  </si>
  <si>
    <t>https://www.propertyfinder.eg/en/buy/apartments-for-sale-in-fifth-settlement.html</t>
  </si>
  <si>
    <t>صفقات مُنقضية ومُعروضة — القاهرة الجديدة</t>
  </si>
  <si>
    <t>أوليكس مصر (OLX Egypt)</t>
  </si>
  <si>
    <t>https://www.olx.com.eg/real-estate_c1484/cairo_c1498/?search%5Bfilter_float_price:from%5D=1000000</t>
  </si>
  <si>
    <t>قوائم بيع وإيجار — سوق حر</t>
  </si>
  <si>
    <t>بيوت مصر (Bayut Egypt)</t>
  </si>
  <si>
    <t>https://www.bayut.com.eg/for-sale/apartments/new-cairo/</t>
  </si>
  <si>
    <t>أسعار التجمع والرحاب وبيفرلي هيلز</t>
  </si>
  <si>
    <t>ناشيونال للعقارات</t>
  </si>
  <si>
    <t>https://www.national.com.eg/properties</t>
  </si>
  <si>
    <t>بيانات مطورين — وحدات سوبر لوكس</t>
  </si>
  <si>
    <t>ثانياً: مصادر البيانات الاقتصادية</t>
  </si>
  <si>
    <t>المصدر</t>
  </si>
  <si>
    <t>المرجع</t>
  </si>
  <si>
    <t>البيانات المُستخدَمة</t>
  </si>
  <si>
    <t>البنك المركزي المصري (CBE)</t>
  </si>
  <si>
    <t>https://www.cbe.org.eg/en/monetary-policy/mpc-decisions</t>
  </si>
  <si>
    <t>معدل الفائدة الخالي من المخاطر: 11.5% (أذون خزانة)</t>
  </si>
  <si>
    <t>الجهاز المركزي للتعبئة والإحصاء</t>
  </si>
  <si>
    <t>https://www.capmas.gov.eg/Pages/StaticPages.aspx?page_id=5035</t>
  </si>
  <si>
    <t>معدل التضخم السنوي — مؤشر أسعار المستهلك</t>
  </si>
  <si>
    <t>هيئة الاستثمار المصرية (GAFI)</t>
  </si>
  <si>
    <t>https://investinegypt.gov.eg/english/pages/realestate.aspx</t>
  </si>
  <si>
    <t>معايير التقييم العقاري EFSA والأسواق المستهدفة</t>
  </si>
  <si>
    <t>MSCI Real Estate Egypt Index</t>
  </si>
  <si>
    <t>https://www.msci.com/real-estate</t>
  </si>
  <si>
    <t>علاوة مخاطر السوق العقاري (Market Risk Premium)</t>
  </si>
  <si>
    <t>معايير التقييم الدولية IVSC</t>
  </si>
  <si>
    <t>https://www.ivsc.org/standards/</t>
  </si>
  <si>
    <t>IVS 2022 — إطار العمل والمنهجية المُطبَّقة</t>
  </si>
  <si>
    <t>ثالثاً: المنهجية والنماذج المُستخدَمة</t>
  </si>
  <si>
    <t>النموذج</t>
  </si>
  <si>
    <t>التقنية</t>
  </si>
  <si>
    <t>الاستخدام</t>
  </si>
  <si>
    <t>RAG — Retrieval-Augmented Generation</t>
  </si>
  <si>
    <t>نموذج intfloat/multilingual-e5-large (1024-dim) + Qdrant Vector DB</t>
  </si>
  <si>
    <t>استرداد أقرب 5 مقارنات سوقية بالتضمين الدلالي</t>
  </si>
  <si>
    <t>نموذج التنبؤ — Prophet (Meta)</t>
  </si>
  <si>
    <t>prophet==1.1.x | Python 3.13 | بيانات تاريخية 24 شهراً</t>
  </si>
  <si>
    <t>تنبؤ أسعار 3/6/9/12 شهراً مع فترات الثقة</t>
  </si>
  <si>
    <t>WACC — Build-up Method</t>
  </si>
  <si>
    <t>Risk-Free + β×Market Risk + Dev Risk + Liquidity Risk</t>
  </si>
  <si>
    <t>معدل الخصم الديناميكي المُعيَّر للسوق المصري</t>
  </si>
  <si>
    <t>DCF — Discounted Cash Flow</t>
  </si>
  <si>
    <t>5 سنوات + Terminal Value (Gordon Growth / Exit Cap / Exit Multiple)</t>
  </si>
  <si>
    <t>صافي القيمة الحالية (NPV) ومعدل العائد الداخلي (IRR)</t>
  </si>
  <si>
    <t>Kriging &amp; IDW</t>
  </si>
  <si>
    <t>Ordinary Kriging + Inverse Distance Weighting (spatial interpolation)</t>
  </si>
  <si>
    <t>تحليل جغرافي مكاني لأسعار المناطق المجاورة</t>
  </si>
  <si>
    <t>نموذج الانحدار المتعدد (OLS)</t>
  </si>
  <si>
    <t>statsmodels.OLS — متغيرات: المساحة / الطابق / سنة البناء</t>
  </si>
  <si>
    <t>تقدير السعر وفق خصائص الوحدة</t>
  </si>
  <si>
    <t>📋  صندوق التفسير الاستشاري — جودة البيانات والمرجعية المنهجية</t>
  </si>
  <si>
    <t>جودة البيانات تُحدد مدى الثقة بالتقييم: بيانات حديثة ومتجانسة = تقييم موثوق؛ بيانات قديمة أو شحيحة = هامش خطأ أوسع.</t>
  </si>
  <si>
    <t>البيانات الحكومية (الشهر العقاري) أكثر موثوقية من الإعلانات الإلكترونية التي تعكس أسعار الطرح لا البيع الفعلي.</t>
  </si>
  <si>
    <t>المنهجية المتبعة تلتزم بـ IVS 2022 (المعايير الدولية للتقييم) وتوصيات IVSC وIAAO.</t>
  </si>
  <si>
    <t>للتحقق من التقييم: قارنه ببيانات الصفقات الفعلية في الشهر العقاري بنفس المنطقة خلال الـ 12 شهراً الماضية.</t>
  </si>
  <si>
    <t>نموذج التدفقات النقدية المخصومة — DCF Valuation Model</t>
  </si>
  <si>
    <t>العقار: التجمع الخامس  |  ES-20260501-21F2</t>
  </si>
  <si>
    <t>⚡ جميع الأرقام تتحدث تلقائياً من صفحة المدخلات</t>
  </si>
  <si>
    <t>إيجار سنوي (EGP/م²/سنة)</t>
  </si>
  <si>
    <t>إجمالي</t>
  </si>
  <si>
    <t>Exit Cap Rate</t>
  </si>
  <si>
    <t>القيمة السوقية الابتدائية</t>
  </si>
  <si>
    <t>السنة</t>
  </si>
  <si>
    <t>GRI (إجمالي إيجار)</t>
  </si>
  <si>
    <t>الشغور</t>
  </si>
  <si>
    <t>EGI (صافي إيجار)</t>
  </si>
  <si>
    <t>مصاريف التشغيل</t>
  </si>
  <si>
    <t>NOI</t>
  </si>
  <si>
    <t>معامل الخصم</t>
  </si>
  <si>
    <t>PV(NOI)</t>
  </si>
  <si>
    <t>CF (IRR)</t>
  </si>
  <si>
    <t>TV NOI₁₁</t>
  </si>
  <si>
    <t>Terminal Value</t>
  </si>
  <si>
    <t>PV of TV</t>
  </si>
  <si>
    <t>══ ملخص DCF ══</t>
  </si>
  <si>
    <t>Σ PV(NOI)</t>
  </si>
  <si>
    <t>PV Terminal Value</t>
  </si>
  <si>
    <t>سعر المتر DCF</t>
  </si>
  <si>
    <t>NPV (قيمة − شراء)</t>
  </si>
  <si>
    <t>توصية</t>
  </si>
  <si>
    <t>══ مؤشرات العائد المالي ══</t>
  </si>
  <si>
    <t>معدل العائد الداخلي (IRR)</t>
  </si>
  <si>
    <t>عائد سنوي مركب</t>
  </si>
  <si>
    <t>تفسير IRR</t>
  </si>
  <si>
    <t>عائد الاستثمار الإجمالي (ROI %)</t>
  </si>
  <si>
    <t>تفسير ROI</t>
  </si>
  <si>
    <t>مضاعف رأس المال (Equity Multiple)</t>
  </si>
  <si>
    <t>تفسير المضاعف</t>
  </si>
  <si>
    <t>جدول الحساسية — القيمة الإجمالية (EGP) حسب r × g</t>
  </si>
  <si>
    <t>← يتغير تلقائياً مع تغيير WACC أو g في المدخلات</t>
  </si>
  <si>
    <t>WACC \ g</t>
  </si>
  <si>
    <t>📋  صندوق التفسير الاستشاري — نموذج التدفقات النقدية المخصومة</t>
  </si>
  <si>
    <t>جدول الحساسية يُجيب على 'ماذا لو؟': ماذا يحدث للقيمة إذا رفع البنك الفائدة أو تباطأ نمو الإيجارات؟ استخدمه لاختبار خططك.</t>
  </si>
  <si>
    <t>🧠  خريطة ذهنية: DCF — التدفقات النقدية</t>
  </si>
  <si>
    <t>💰  كيف يعمل التدفق النقدى المخصوم (DCF)؟</t>
  </si>
  <si>
    <t>1️⃣ توقع التدفقات النقدية السنوية لـ 5-10 سنوات.</t>
  </si>
  <si>
    <t>2️⃣ احسب القيمة النهائية (Terminal Value) فى نهاية الفترة.</t>
  </si>
  <si>
    <t>3️⃣ حدد معدل الخصم (WACC) ÷ تكلفة رأس المال المرجحة.</t>
  </si>
  <si>
    <t>4️⃣ اخصم كل تدفق إلى الحاضر (PV ÷ CF ÷ (1+r)^n).</t>
  </si>
  <si>
    <t>5️⃣ NPV ÷ مجموع التدفقات المخصومة − التكلفة الأولية.</t>
  </si>
  <si>
    <t>6️⃣ IRR ÷ معدل العائد الذى يجعل NPV ÷ صفر.</t>
  </si>
  <si>
    <t>تدفقات 50K..70K + TV 1M عند r÷12% ÷ NPV 779K</t>
  </si>
  <si>
    <t>نموذج الشبكات العصبية الاصطناعية — ANN (MLP 3→8→4→1)</t>
  </si>
  <si>
    <t>Activation: ReLU | Optimizer: Adam | Epochs: 500</t>
  </si>
  <si>
    <t>الطبقة</t>
  </si>
  <si>
    <t>الخلايا</t>
  </si>
  <si>
    <t>Activation</t>
  </si>
  <si>
    <t>Input</t>
  </si>
  <si>
    <t>الدور، المساحة، سنة البناء</t>
  </si>
  <si>
    <t>Hidden-1</t>
  </si>
  <si>
    <t>ReLU</t>
  </si>
  <si>
    <t>Hidden-2</t>
  </si>
  <si>
    <t>Output</t>
  </si>
  <si>
    <t>Linear</t>
  </si>
  <si>
    <t>السعر الفعلي</t>
  </si>
  <si>
    <t>تنبؤ OLS</t>
  </si>
  <si>
    <t>تنبؤ ANN</t>
  </si>
  <si>
    <t>خطأ OLS</t>
  </si>
  <si>
    <t>خطأ ANN</t>
  </si>
  <si>
    <t>══ مقارنة ══</t>
  </si>
  <si>
    <t>OLS</t>
  </si>
  <si>
    <t>ANN</t>
  </si>
  <si>
    <t>RMSE</t>
  </si>
  <si>
    <t>MAE</t>
  </si>
  <si>
    <t>R²</t>
  </si>
  <si>
    <t>Best</t>
  </si>
  <si>
    <t>✓ OLS</t>
  </si>
  <si>
    <t>══ تنبؤ ANN للعقار الحالي ══</t>
  </si>
  <si>
    <t>📋  صندوق التفسير الاستشاري — نموذج الشبكة العصبية الاصطناعية</t>
  </si>
  <si>
    <t>الشبكة العصبية تكتشف الأنماط المخفية دون افتراض خطية. مثالية للأسواق ذات العلاقات المعقدة بين المتغيرات.</t>
  </si>
  <si>
    <t>تنبيه: النموذج مُدرَّب على بيانات السوق العام — ليس على عقارك تحديداً. النتيجة مُرشِّدة وليست حكماً قاطعاً.</t>
  </si>
  <si>
    <t>🧠  خريطة ذهنية: ANN — الشبكات العصبية</t>
  </si>
  <si>
    <t>🧠  كيف تعمل الشبكات العصبية الاصطناعية (ANN)؟</t>
  </si>
  <si>
    <t>1️⃣ تجمع بيانات تاريخية ضخمة (200+ عقار) أمثلة تدريبية.</t>
  </si>
  <si>
    <t>2️⃣ تبنى شبكة بطبقات (مدخلات → مخفية → مخرجات).</t>
  </si>
  <si>
    <t>3️⃣ كل خلية عصبية تحسب (y ÷ ReLU(Σ wᵢ·xᵢ + b)).</t>
  </si>
  <si>
    <t>4️⃣ تدرب الشبكة عبر backpropagation لـ 500 epoch.</t>
  </si>
  <si>
    <t>5️⃣ الشبكة تتعلم الأنماط غير الخطية.</t>
  </si>
  <si>
    <t>6️⃣ ادخل بيانات العقار الجديد والشبكة تتنبأ بالسعر.</t>
  </si>
  <si>
    <t>شبكة 3→8→4→1 تأخذ (الدور، المساحة، السنة) ÷ السعر/م²</t>
  </si>
  <si>
    <t>نماذج السلاسل الزمنية — ARIMA Time Series Models</t>
  </si>
  <si>
    <t>ARIMA(2,1,1)  |  Seasonal: SARIMA(2,1,1)(1,0,1)₄</t>
  </si>
  <si>
    <t>الموقع: التجمع الخامس  |  سعر المتر: 33,262 EGP/م²</t>
  </si>
  <si>
    <t>النموذج المختار: ARIMA(2,1,1)</t>
  </si>
  <si>
    <t>p=2 (AR), d=1 (Differencing), q=1 (MA)</t>
  </si>
  <si>
    <t>الربع</t>
  </si>
  <si>
    <t>∆P</t>
  </si>
  <si>
    <t>تنبؤ داخلي</t>
  </si>
  <si>
    <t>Q1-2023</t>
  </si>
  <si>
    <t>Q2-2023</t>
  </si>
  <si>
    <t>Q3-2023</t>
  </si>
  <si>
    <t>Q4-2023</t>
  </si>
  <si>
    <t>Q1-2024</t>
  </si>
  <si>
    <t>Q2-2024</t>
  </si>
  <si>
    <t>Q3-2024</t>
  </si>
  <si>
    <t>Q4-2024</t>
  </si>
  <si>
    <t>Q1-2025</t>
  </si>
  <si>
    <t>Q2-2025</t>
  </si>
  <si>
    <t>Q3-2025</t>
  </si>
  <si>
    <t>Q4-2025</t>
  </si>
  <si>
    <t>══ التنبؤ 4 أرباع ══</t>
  </si>
  <si>
    <t>تنبؤ</t>
  </si>
  <si>
    <t>CI أدنى</t>
  </si>
  <si>
    <t>CI أعلى</t>
  </si>
  <si>
    <t>تغيير %</t>
  </si>
  <si>
    <t>+1.46%</t>
  </si>
  <si>
    <t>Q2-2026</t>
  </si>
  <si>
    <t>+0.84%</t>
  </si>
  <si>
    <t>Q3-2026</t>
  </si>
  <si>
    <t>+0.59%</t>
  </si>
  <si>
    <t>Q4-2026</t>
  </si>
  <si>
    <t>══ معاملات ARIMA(2,1,1) ══</t>
  </si>
  <si>
    <t>المعامل</t>
  </si>
  <si>
    <t>Std Error</t>
  </si>
  <si>
    <t>t-Stat</t>
  </si>
  <si>
    <t>P-Value</t>
  </si>
  <si>
    <t>const</t>
  </si>
  <si>
    <t>ar.L1</t>
  </si>
  <si>
    <t>ar.L2</t>
  </si>
  <si>
    <t>ma.L1</t>
  </si>
  <si>
    <t>══ مقاييس الجودة ══</t>
  </si>
  <si>
    <t>AIC</t>
  </si>
  <si>
    <t>BIC</t>
  </si>
  <si>
    <t>RMSE (in-sample)</t>
  </si>
  <si>
    <t>MAPE (%)</t>
  </si>
  <si>
    <t>Ljung-Box Q (lag=5)</t>
  </si>
  <si>
    <t>P&gt;0.05 ← OK ✓</t>
  </si>
  <si>
    <t>Jarque-Bera</t>
  </si>
  <si>
    <t>منهجية ARIMA في التقييم العقاري</t>
  </si>
  <si>
    <t>1. اختبار ADF للاستقرارية — H₀: وجود جذر وحدة</t>
  </si>
  <si>
    <t>2. تحديد (p,d,q) من ACF وPACF</t>
  </si>
  <si>
    <t>3. تقدير المعاملات بـ Maximum Likelihood</t>
  </si>
  <si>
    <t>4. Ljung-Box للتحقق من عدم ارتباط البواقي</t>
  </si>
  <si>
    <t>5. Jarque-Bera للتحقق من طبيعية البواقي</t>
  </si>
  <si>
    <t>📋  صندوق التفسير الاستشاري — نموذج التنبؤ بالسلاسل الزمنية</t>
  </si>
  <si>
    <t>ARIMA يتتبع مسار الأسعار عبر الزمن ويتنبأ بمساره المستقبلي. الافتراض الجوهري: الأنماط التاريخية تتكرر.</t>
  </si>
  <si>
    <t>فجوات الارتباط الذاتي (ACF) السالبة تعني أن السوق يُصحّح نفسه (mean-reverting): ارتفاع حاد يتبعه تثبيت دوري.</t>
  </si>
  <si>
    <t>حدود الثقة CI تتوسع مع امتداد التنبؤ للمستقبل البعيد — لهذا تُستخدم ARIMA للتخطيط القصير-متوسط المدى (1-2 سنة).</t>
  </si>
  <si>
    <t>🧠  خريطة ذهنية: ARIMA — السلاسل الزمنية</t>
  </si>
  <si>
    <t>📊  كيف تعمل ARIMA للتنبؤ بالأسعار المستقبلية؟</t>
  </si>
  <si>
    <t>1️⃣ اجمع أسعار شهرية للعقارات لـ 3-5 سنوات سابقة.</t>
  </si>
  <si>
    <t>2️⃣ تأكد من استقرار السلسلة (اختبار Dickey-Fuller).</t>
  </si>
  <si>
    <t>3️⃣ حدد p, d, q من رسوم ACF و PACF.</t>
  </si>
  <si>
    <t>4️⃣ ابن النموذج ARIMA(p, d, q) أو SARIMA للموسمية.</t>
  </si>
  <si>
    <t>5️⃣ تنبأ بالأسعار للسنوات القادمة (1-3 سنوات).</t>
  </si>
  <si>
    <t>6️⃣ استخدم التنبؤ لتعديل التقييم الحالى.</t>
  </si>
  <si>
    <t>ARIMA(1,1,1) على بيانات الدقى ÷ نمو 8% للسنة القادمة</t>
  </si>
  <si>
    <t>تحليل الإيجار مقابل الشراء — Buy vs. Rent Analysis</t>
  </si>
  <si>
    <t>⚡ جميع الأرقام مرتبطة تلقائياً بصفحة المدخلات</t>
  </si>
  <si>
    <t>══ افتراضات التحليل ══</t>
  </si>
  <si>
    <t>القيمة السوقية (EGP)</t>
  </si>
  <si>
    <t>الدفعة المقدمة (20%)</t>
  </si>
  <si>
    <t>20% من القيمة</t>
  </si>
  <si>
    <t>قيمة القرض العقاري</t>
  </si>
  <si>
    <t>معدل الفائدة السنوي على القرض</t>
  </si>
  <si>
    <t>WACC+4%</t>
  </si>
  <si>
    <t>مدة القرض (سنة)</t>
  </si>
  <si>
    <t>25 سنة</t>
  </si>
  <si>
    <t>الإيجار السنوي الحالي (EGP)</t>
  </si>
  <si>
    <t>من المدخلات</t>
  </si>
  <si>
    <t>معدل نمو الإيجار السنوي</t>
  </si>
  <si>
    <t>معدل عائد استثمار رأس المال</t>
  </si>
  <si>
    <t>WACC</t>
  </si>
  <si>
    <t>تكلفة الصيانة السنوية (%من القيمة)</t>
  </si>
  <si>
    <t>1% سنوياً</t>
  </si>
  <si>
    <t>معدل ارتفاع قيمة العقار السنوي</t>
  </si>
  <si>
    <t>معدل نمو g</t>
  </si>
  <si>
    <t>══ المعادلات المالية ══</t>
  </si>
  <si>
    <t>القسط الشهري للرهن العقاري (EGP)</t>
  </si>
  <si>
    <t>EGP/شهر</t>
  </si>
  <si>
    <t>إجمالي القسط السنوي</t>
  </si>
  <si>
    <t>تكلفة الصيانة السنوية</t>
  </si>
  <si>
    <t>إجمالي تكلفة التملك السنوية (قسط+صيانة)</t>
  </si>
  <si>
    <t>العائد الضائع على الدفعة المقدمة (Opportunity Cost)</t>
  </si>
  <si>
    <t>التكلفة الاقتصادية الكاملة للتملك</t>
  </si>
  <si>
    <t>تكلفة الإيجار الحالية (السنة الأولى)</t>
  </si>
  <si>
    <t>الفرق السنوي (تملك − إيجار)</t>
  </si>
  <si>
    <t>══ جدول المقارنة السنوية (10 سنوات) ══</t>
  </si>
  <si>
    <t>تكلفة التملك (EGP)</t>
  </si>
  <si>
    <t>تكلفة الإيجار (EGP)</t>
  </si>
  <si>
    <t>قيمة العقار (EGP)</t>
  </si>
  <si>
    <t>الثروة المتراكمة (تملك)</t>
  </si>
  <si>
    <t>الثروة المتراكمة (إيجار+استثمار)</t>
  </si>
  <si>
    <t>══ نقطة التعادل (Breakeven Analysis) ══</t>
  </si>
  <si>
    <t>سنة التعادل التقريبية</t>
  </si>
  <si>
    <t>تفسير نقطة التعادل</t>
  </si>
  <si>
    <t>📋  صندوق التفسير الاستشاري — تحليل قرار الإيجار مقابل التملك</t>
  </si>
  <si>
    <t>الإيجار أفضل إذا: فارق القسط عن الإيجار كبير، مدة إقامتك قصيرة (&lt;5 سنوات)، أو تحتاج السيولة للاستثمار في فرص أعلى عائداً.</t>
  </si>
  <si>
    <t>الشراء أفضل إذا: تخطط للإقامة +7 سنوات، الأسعار في اتجاه صعودي واضح، ولديك دفعة أولى كافية تُقلل أعباء الاقتراض.</t>
  </si>
  <si>
    <t>تحليل أفضل وأعلى استخدام — Highest &amp; Best Use (HABU)</t>
  </si>
  <si>
    <t>══ افتراضات معاملات الاستخدام ══</t>
  </si>
  <si>
    <t>معامل سعر المتر</t>
  </si>
  <si>
    <t>معامل الإيجار</t>
  </si>
  <si>
    <t>Cap Rate المعياري</t>
  </si>
  <si>
    <t>مرجع</t>
  </si>
  <si>
    <t>سكني (Residential)</t>
  </si>
  <si>
    <t>B5</t>
  </si>
  <si>
    <t>تجاري (Commercial)</t>
  </si>
  <si>
    <t>B6</t>
  </si>
  <si>
    <t>إداري / مكتبي (Office)</t>
  </si>
  <si>
    <t>B7</t>
  </si>
  <si>
    <t>مختلط (Mixed Use 50/50)</t>
  </si>
  <si>
    <t>B8</t>
  </si>
  <si>
    <t>══ المقارنة المالية بين الاستخدامات ══</t>
  </si>
  <si>
    <t>سعر المتر (EGP)</t>
  </si>
  <si>
    <t>الإيجار السنوي (EGP)</t>
  </si>
  <si>
    <t>NOI (EGP)</t>
  </si>
  <si>
    <t>قيمة الدخل (EGP)</t>
  </si>
  <si>
    <t>الفرق عن الاستخدام السكني</t>
  </si>
  <si>
    <t>══ الاستنتاج النهائي ══</t>
  </si>
  <si>
    <t>الاستخدام الأمثل (أعلى قيمة دخل)</t>
  </si>
  <si>
    <t>مضاعف القيمة عن الاستخدام السكني</t>
  </si>
  <si>
    <t>📋  صندوق التفسير الاستشاري — تحليل أفضل وأعلى استخدام</t>
  </si>
  <si>
    <t>HABU من مبادئ USPAP/IVSC الأساسية: القيمة تُقاس دائماً للاستخدام القانوني الأعلى إنتاجاً وأكثره احتمالاً.</t>
  </si>
  <si>
    <t>للمستثمر: قبل تغيير الاستخدام تحقق من: قوانين التخطيط العمراني، اشتراطات البناء، وتكاليف التحويل الفعلية.</t>
  </si>
  <si>
    <t>🧠  خريطة ذهنية: أفضل وأعلى استخدام — HABU</t>
  </si>
  <si>
    <t>🏆  كيف نحدد الاستخدام الأمثل (HABU)؟</t>
  </si>
  <si>
    <t>1️⃣ حدد البدائل الممكنة (سكنى، تجارى، إدارى، مختلط).</t>
  </si>
  <si>
    <t>2️⃣ لكل بديل تأكد أنه قانونى (متفق مع التخطيط).</t>
  </si>
  <si>
    <t>3️⃣ تأكد من إمكانيته الفنية (تتحمله الأرض).</t>
  </si>
  <si>
    <t>4️⃣ احسب القيمة المتوقعة لكل بديل.</t>
  </si>
  <si>
    <t>5️⃣ اطرح تكلفة التحويل (هدم + إعادة بناء + رخص).</t>
  </si>
  <si>
    <t>6️⃣ الاستخدام الأمثل ÷ الذى يعطى أعلى صافى قيمة.</t>
  </si>
  <si>
    <t>سكنى 5M + تكلفة تحويل 0.5M ÷ تجارى 7M = ربح 1.5M</t>
  </si>
  <si>
    <t>استخبارات السوق — Market Intelligence Validator</t>
  </si>
  <si>
    <t>الموقع: التجمع الخامس  |  النوع: عقار تراثي  |  إجمالي المقارنات: 6  |  مصادر خارجية محمّلة: 1731</t>
  </si>
  <si>
    <t>⚡ تم سحب البيانات آلياً لعدم توفر مدخلات يدوية — نطاق سعر التجمع الخامس: 18,000–42,000 EGP/م² (معامل الموقع: 1.00x)</t>
  </si>
  <si>
    <t>① ملخص إحصائي — Statistical Summary</t>
  </si>
  <si>
    <t>المقياس</t>
  </si>
  <si>
    <t>البيانات الكاملة</t>
  </si>
  <si>
    <t>بعد تنظيف الشواذ</t>
  </si>
  <si>
    <t>التفسير</t>
  </si>
  <si>
    <t>العدد (n)</t>
  </si>
  <si>
    <t>المتوسط (EGP/م²)</t>
  </si>
  <si>
    <t>↓ يزداد دقة بعد الإزالة</t>
  </si>
  <si>
    <t>الوسيط (EGP/م²)</t>
  </si>
  <si>
    <t>مقاوم للشواذ</t>
  </si>
  <si>
    <t>↓ أصغر = تجانس أفضل</t>
  </si>
  <si>
    <t>الشواذ المُستبعدة</t>
  </si>
  <si>
    <t>نسبة 0.0%</t>
  </si>
  <si>
    <t>② كشف الشواذ — IQR Outlier Detection</t>
  </si>
  <si>
    <t>الحد الأدنى (Q1 − 1.5×IQR)</t>
  </si>
  <si>
    <t>الحد الأعلى (Q3 + 1.5×IQR)</t>
  </si>
  <si>
    <t>السبب</t>
  </si>
  <si>
    <t>✓ لا توجد شواذ — جميع البيانات ضمن النطاق المقبول</t>
  </si>
  <si>
    <t>③ التفاصيل الموزونة — Weighted Records (البيانات النظيفة)</t>
  </si>
  <si>
    <t>سعر المتر</t>
  </si>
  <si>
    <t>وزن المصدر</t>
  </si>
  <si>
    <t>الوزن الزمني</t>
  </si>
  <si>
    <t>الوزن المجمّع</t>
  </si>
  <si>
    <t>من Feed?</t>
  </si>
  <si>
    <t>other</t>
  </si>
  <si>
    <t>مباشر</t>
  </si>
  <si>
    <t>④ معامل التفاوض والسعر النهائي — Negotiation Coefficient &amp; Final Price</t>
  </si>
  <si>
    <t>السعر الموزون (قبل التفاوض)</t>
  </si>
  <si>
    <t>معامل التفاوض — Neg. Coeff.</t>
  </si>
  <si>
    <t>3.5%</t>
  </si>
  <si>
    <t>السعر المُعدَّل النهائي (EGP/م²)</t>
  </si>
  <si>
    <t>القيمة السوقية المُعدَّلة (EGP)</t>
  </si>
  <si>
    <t>درجة جودة البيانات (0-10)</t>
  </si>
  <si>
    <t>⑤ دليل المصادر المدعومة — Supported Data Sources</t>
  </si>
  <si>
    <t>كود المصدر</t>
  </si>
  <si>
    <t>الوصف</t>
  </si>
  <si>
    <t>وزن المصداقية</t>
  </si>
  <si>
    <t>direct</t>
  </si>
  <si>
    <t>معاينة مباشرة / عقد موثق</t>
  </si>
  <si>
    <t>1.00</t>
  </si>
  <si>
    <t>agent</t>
  </si>
  <si>
    <t>وكيل عقاري / سمسار</t>
  </si>
  <si>
    <t>0.85</t>
  </si>
  <si>
    <t>forum</t>
  </si>
  <si>
    <t>منتديات التقييم العقاري</t>
  </si>
  <si>
    <t>0.65</t>
  </si>
  <si>
    <t>facebook</t>
  </si>
  <si>
    <t>مجموعات فيسبوك العقارية</t>
  </si>
  <si>
    <t>0.50</t>
  </si>
  <si>
    <t>مصدر آخر</t>
  </si>
  <si>
    <t>0.55</t>
  </si>
  <si>
    <t>📋  صندوق التفسير الاستشاري — استخبارات السوق والبيانات الخارجية</t>
  </si>
  <si>
    <t>جُمعت 6 مقارنة سوقية من مصادر متعددة. تم استبعاد 0 قيمة شاذة بطريقة MAD — تحييد الأسعار المتضخمة أو المدخلة بخطأ.</t>
  </si>
  <si>
    <t>السعر الموزون (بعد ترجيح المصدر × الحداثة الزمنية): 32,388 EGP/م². بعد تطبيق معامل التفاوض 3.5%: السعر المُعدَّل = 31,254 EGP/م².</t>
  </si>
  <si>
    <t>درجة جودة البيانات: 7.8/10. البيانات موثوقة — الاعتماد على السعر المُعدَّل ملائم.</t>
  </si>
  <si>
    <t>لإضافة بيانات من فيسبوك أو المنتديات: أرسل POST إلى /api/market-feed مع حقل source='facebook' أو 'forum'. البيانات الأحدث تحصل على وزن زمني أعلى تلقائياً.</t>
  </si>
  <si>
    <t>📊  تحليل الحساسية — Sensitivity Analysis</t>
  </si>
  <si>
    <t>كيف تتغير القيمة مع كل متغير: −20%, −10%, الأساس, +10%, +20%</t>
  </si>
  <si>
    <t>🎯 مصفوفة الحساسية</t>
  </si>
  <si>
    <t>−20%</t>
  </si>
  <si>
    <t>−10%</t>
  </si>
  <si>
    <t>الأساس</t>
  </si>
  <si>
    <t>+10%</t>
  </si>
  <si>
    <t>+20%</t>
  </si>
  <si>
    <t>الحساسية</t>
  </si>
  <si>
    <t>🟠 عالية</t>
  </si>
  <si>
    <t>تأثير خطى مباشر</t>
  </si>
  <si>
    <t>الإيجار</t>
  </si>
  <si>
    <t>🟡 متوسطة</t>
  </si>
  <si>
    <t>أسلوب الدخل فقط</t>
  </si>
  <si>
    <t>Cap Rate</t>
  </si>
  <si>
    <t>🔴 الأعلى</t>
  </si>
  <si>
    <t>علاقة عكسية</t>
  </si>
  <si>
    <t>تأثير خطى</t>
  </si>
  <si>
    <t>🏆 ترتيب المتغيرات حسب الحساسية</t>
  </si>
  <si>
    <t>الترتيب</t>
  </si>
  <si>
    <t>أهمية التأثير</t>
  </si>
  <si>
    <t>نطاق التأثير على القيمة</t>
  </si>
  <si>
    <t>Cap Rate (معدل الرسملة)</t>
  </si>
  <si>
    <t>تغير 1% = تغير ~12.5% فى القيمة</t>
  </si>
  <si>
    <t>تأكد من معدل الرسملة بمصادر متعددة وقابل أكثر من خبير</t>
  </si>
  <si>
    <t>🟠 عالية جداً</t>
  </si>
  <si>
    <t>تأثير 1:1 على القيمة (خطى مباشر)</t>
  </si>
  <si>
    <t>اعتمد على متوسط 5+ مقارنات حقيقية حديثة فى المنطقة</t>
  </si>
  <si>
    <t>المساحة الإجمالية</t>
  </si>
  <si>
    <t>قس المساحة بالرفع المساحى الفعلى من المهندس</t>
  </si>
  <si>
    <t>يؤثر فقط على طريقة الدخل (وزن 15-20%)</t>
  </si>
  <si>
    <t>اعتمد على إيجارات حديثة فعلية لـ 3-5 وحدات مماثلة</t>
  </si>
  <si>
    <t>🎯  مصفوفة SWOT — Strengths/Weaknesses/Opportunities/Threats</t>
  </si>
  <si>
    <t>💪 نقاط القوة</t>
  </si>
  <si>
    <t>⚠️ نقاط الضعف</t>
  </si>
  <si>
    <t>• موقع متميز فى منطقة سكنية راقية</t>
  </si>
  <si>
    <t>• عمر المبنى 16 سنة</t>
  </si>
  <si>
    <t>• تشطيب لوكس</t>
  </si>
  <si>
    <t>• احتمال الحاجة لتجديد</t>
  </si>
  <si>
    <t>• كافة المرافق متوفرة</t>
  </si>
  <si>
    <t>• موقف سيارات محدود</t>
  </si>
  <si>
    <t>• قرب من مدارس ومستشفيات</t>
  </si>
  <si>
    <t>• صيانة المرافق العامة</t>
  </si>
  <si>
    <t>• إطلالة جيدة وتهوية ممتازة</t>
  </si>
  <si>
    <t>• ارتفاع تكاليف الصيانة</t>
  </si>
  <si>
    <t>🌟 الفرص</t>
  </si>
  <si>
    <t>🔥 التهديدات</t>
  </si>
  <si>
    <t>• نمو متوقع للسوق 15-20%</t>
  </si>
  <si>
    <t>• تضخم اقتصادى مرتفع 27.8%</t>
  </si>
  <si>
    <t>• إمكانية التحويل لتجارى (×1.4)</t>
  </si>
  <si>
    <t>• ارتفاع أسعار الفائدة 27.25%</t>
  </si>
  <si>
    <t>• زيادة الطلب فى المنطقة</t>
  </si>
  <si>
    <t>• تقلبات أسعار العملة</t>
  </si>
  <si>
    <t>• تحويلات الخارج</t>
  </si>
  <si>
    <t>• تباطؤ القوة الشرائية</t>
  </si>
  <si>
    <t>• العاصمة الإدارية ترفع القيم</t>
  </si>
  <si>
    <t>• تكاليف صيانة مرتفعة</t>
  </si>
  <si>
    <t>🎯 التوصية الاستراتيجية</t>
  </si>
  <si>
    <t>العقار يمتلك مزايا قوية تطغى على نقاط الضعف. الفرص (تحويل لتجارى) قوية وتستحق دراسة الجدوى. التهديدات اقتصادية عامة لكن العقار تحوّط جيد.</t>
  </si>
  <si>
    <t>نموذج التسعير الهيدونى — Hedonic Pricing Model</t>
  </si>
  <si>
    <t>يُحلّل سعر العقار كمجموع قيم خصائصه (موقع، مساحة، تشطيب، إطلالة، إلخ).</t>
  </si>
  <si>
    <t>📐 المعادلة الأساسية</t>
  </si>
  <si>
    <t>Price = β₀ + β₁·Location + β₂·Area + β₃·Floor + β₄·Quality + ε</t>
  </si>
  <si>
    <t>📊 المدخلات والقيم</t>
  </si>
  <si>
    <t>الموقع (Location)</t>
  </si>
  <si>
    <t>+30,000</t>
  </si>
  <si>
    <t>EGP/م² لكل وحدة جودة موقع</t>
  </si>
  <si>
    <t>المساحة (Area)</t>
  </si>
  <si>
    <t>+150</t>
  </si>
  <si>
    <t>EGP/م² لكل متر مربع إضافى</t>
  </si>
  <si>
    <t>الدور (Floor)</t>
  </si>
  <si>
    <t>+800</t>
  </si>
  <si>
    <t>EGP/م² لكل دور علوى</t>
  </si>
  <si>
    <t>التشطيب (Quality)</t>
  </si>
  <si>
    <t>+5,000</t>
  </si>
  <si>
    <t>EGP/م² لكل درجة جودة</t>
  </si>
  <si>
    <t>سنة البناء (Year)</t>
  </si>
  <si>
    <t>+200</t>
  </si>
  <si>
    <t>EGP/م² لكل سنة أحدث</t>
  </si>
  <si>
    <t>الإطلالة (View)</t>
  </si>
  <si>
    <t>+8,000</t>
  </si>
  <si>
    <t>EGP/م² لإطلالة بحرية</t>
  </si>
  <si>
    <t>القرب من المترو</t>
  </si>
  <si>
    <t>+2,500</t>
  </si>
  <si>
    <t>EGP/م² لكل 100م أقرب</t>
  </si>
  <si>
    <t>الكود الإحصائى R²</t>
  </si>
  <si>
    <t>0.87</t>
  </si>
  <si>
    <t>💡 مثال تطبيقى</t>
  </si>
  <si>
    <t>للعقار: 35,000 (موقع) + 200×150 + 800×3 + 5,000 + 200×16 = 76,500/م²</t>
  </si>
  <si>
    <t>نموذج جوردون للنمو — Gordon Growth Model</t>
  </si>
  <si>
    <t>يُقدّر القيمة بافتراض نمو الإيجار بمعدل ثابت إلى الأبد.</t>
  </si>
  <si>
    <t>V = D × (1 + g) / (r − g)</t>
  </si>
  <si>
    <t>الإيجار السنوى الحالى D</t>
  </si>
  <si>
    <t>57,000</t>
  </si>
  <si>
    <t>معدل النمو g</t>
  </si>
  <si>
    <t>5%</t>
  </si>
  <si>
    <t>نمو سنوى متوقع</t>
  </si>
  <si>
    <t>معدل الخصم r</t>
  </si>
  <si>
    <t>12%</t>
  </si>
  <si>
    <t>WACC أو فائدة</t>
  </si>
  <si>
    <t>الإيجار العام القادم</t>
  </si>
  <si>
    <t>59,850</t>
  </si>
  <si>
    <t>≈ × (1+g)</t>
  </si>
  <si>
    <t>الفرق r − g</t>
  </si>
  <si>
    <t>7%</t>
  </si>
  <si>
    <t>الفجوة الحرجة</t>
  </si>
  <si>
    <t>القيمة الإجمالية V</t>
  </si>
  <si>
    <t>855,000</t>
  </si>
  <si>
    <t>≈ 9,850 / 0.07</t>
  </si>
  <si>
    <t>Sensitivity: لو g زاد 1% → القيمة ترتفع ~17%. لو r زاد 1% → تنخفض ~14%</t>
  </si>
  <si>
    <t>مؤشر البيوع المتكررة — Repeat Sales Index</t>
  </si>
  <si>
    <t>يتتبع نفس العقار عبر بيعتين أو أكثر لاستخراج معدل النمو الفعلى.</t>
  </si>
  <si>
    <t>Index_t = (Price_t / Price_t-1)^(1/n)</t>
  </si>
  <si>
    <t>بيع 1 (تاريخ)</t>
  </si>
  <si>
    <t>2018</t>
  </si>
  <si>
    <t>بيع 1 (سعر/م²)</t>
  </si>
  <si>
    <t>20,000</t>
  </si>
  <si>
    <t>بيع 2 (تاريخ)</t>
  </si>
  <si>
    <t>2024</t>
  </si>
  <si>
    <t>بيع 2 (سعر/م²)</t>
  </si>
  <si>
    <t>27,500</t>
  </si>
  <si>
    <t>عدد السنوات</t>
  </si>
  <si>
    <t>6</t>
  </si>
  <si>
    <t>معدل النمو السنوى</t>
  </si>
  <si>
    <t>5.46%</t>
  </si>
  <si>
    <t>≈ 27.5/20)^(1/6) − 1</t>
  </si>
  <si>
    <t>التنبؤ 2026</t>
  </si>
  <si>
    <t>30,500</t>
  </si>
  <si>
    <t>≈ 7,500 × 1.0546²</t>
  </si>
  <si>
    <t>هذا المعدل (5.46%) يُستخدم لاحقاً فى Gordon Growth ولتحديث القيم القديمة.</t>
  </si>
  <si>
    <t>DCF المُحسّن بالخيارات الحقيقية</t>
  </si>
  <si>
    <t>يجمع DCF التقليدى بقيمة المرونة الإدارية (تأجيل، توسع، تقليص، تخلى).</t>
  </si>
  <si>
    <t>V = NPV(DCF) + Σ Option Values</t>
  </si>
  <si>
    <t>NPV من DCF التقليدى</t>
  </si>
  <si>
    <t>5,000,000</t>
  </si>
  <si>
    <t>قيمة خيار التأجيل</t>
  </si>
  <si>
    <t>300,000</t>
  </si>
  <si>
    <t>تأخير 1-2 سنة</t>
  </si>
  <si>
    <t>قيمة خيار التوسع</t>
  </si>
  <si>
    <t>800,000</t>
  </si>
  <si>
    <t>زيادة المسطح 50%</t>
  </si>
  <si>
    <t>قيمة خيار التقليص</t>
  </si>
  <si>
    <t>200,000</t>
  </si>
  <si>
    <t>خفض المسطح إذا ساء السوق</t>
  </si>
  <si>
    <t>قيمة خيار التخلى</t>
  </si>
  <si>
    <t>150,000</t>
  </si>
  <si>
    <t>بيع قبل النضج</t>
  </si>
  <si>
    <t>القيمة الإجمالية الكلية</t>
  </si>
  <si>
    <t>6,450,000</t>
  </si>
  <si>
    <t>+29% عن DCF</t>
  </si>
  <si>
    <t>هذه الإضافة 1.45M هى قيمة المرونة — تُهملها DCF التقليدية تماماً</t>
  </si>
  <si>
    <t>محاكاة مونت كارلو — Monte Carlo Simulation</t>
  </si>
  <si>
    <t>1000+ سيناريو عشوائى لتوزيع القيمة المحتملة.</t>
  </si>
  <si>
    <t>P(V) = ∫ f(x₁,x₂,...,xₙ) dx</t>
  </si>
  <si>
    <t>10,000</t>
  </si>
  <si>
    <t>محاكاة</t>
  </si>
  <si>
    <t>متوسط القيمة (E[V])</t>
  </si>
  <si>
    <t>5,500,000</t>
  </si>
  <si>
    <t>850,000</t>
  </si>
  <si>
    <t>P5 (أسوأ 5%)</t>
  </si>
  <si>
    <t>4,180,000</t>
  </si>
  <si>
    <t>P50 (الوسيط)</t>
  </si>
  <si>
    <t>P95 (أفضل 95%)</t>
  </si>
  <si>
    <t>6,820,000</t>
  </si>
  <si>
    <t>احتمال V &gt; 5M</t>
  </si>
  <si>
    <t>72%</t>
  </si>
  <si>
    <t>ثقة فى السوق</t>
  </si>
  <si>
    <t>النتيجة: 95% احتمال أن القيمة الفعلية بين 4.18M و 6.82M</t>
  </si>
  <si>
    <t>تكلفة الاستبدال محسّنة — RCNLD</t>
  </si>
  <si>
    <t>نسخة متقدمة من DRC مع تحليل دقيق لـ 3 أنواع استهلاك.</t>
  </si>
  <si>
    <t>V = Land + RCN − (Phys + Func + Econ Depreciation)</t>
  </si>
  <si>
    <t>قيمة الأرض</t>
  </si>
  <si>
    <t>1,200,000</t>
  </si>
  <si>
    <t>RCN (تكلفة الاستبدال الجديد)</t>
  </si>
  <si>
    <t>2,000,000</t>
  </si>
  <si>
    <t>الاستهلاك المادى</t>
  </si>
  <si>
    <t>640,000</t>
  </si>
  <si>
    <t>32% من RCN</t>
  </si>
  <si>
    <t>التهالك الوظيفى</t>
  </si>
  <si>
    <t>100,000</t>
  </si>
  <si>
    <t>الاستهلاك الاقتصادى/الخارجى</t>
  </si>
  <si>
    <t>50,000</t>
  </si>
  <si>
    <t>2.5%</t>
  </si>
  <si>
    <t>صافى المبنى</t>
  </si>
  <si>
    <t>1,210,000</t>
  </si>
  <si>
    <t>≈ M − 790K</t>
  </si>
  <si>
    <t>القيمة الإجمالية</t>
  </si>
  <si>
    <t>2,410,000</t>
  </si>
  <si>
    <t>≈ .2M + 1.21M</t>
  </si>
  <si>
    <t>أكثر دقة من DRC العادى لأنه يفصل أنواع الاستهلاك</t>
  </si>
  <si>
    <t>تكلفة إعادة الإنتاج — Cost of Reproduction</t>
  </si>
  <si>
    <t>تكلفة بناء نسخة طبق الأصل بنفس المواد والعيوب — للعقارات التراثية.</t>
  </si>
  <si>
    <t>V = Reproduction Cost − Cumulative Depreciation</t>
  </si>
  <si>
    <t>للقصور القديمة</t>
  </si>
  <si>
    <t>تكلفة إعادة الإنتاج</t>
  </si>
  <si>
    <t>8,000,000</t>
  </si>
  <si>
    <t>الاستهلاك التراكمى</t>
  </si>
  <si>
    <t>2,400,000</t>
  </si>
  <si>
    <t>30%</t>
  </si>
  <si>
    <t>صافى القيمة قبل الأرض</t>
  </si>
  <si>
    <t>5,600,000</t>
  </si>
  <si>
    <t>3,000,000</t>
  </si>
  <si>
    <t>موقع متميز</t>
  </si>
  <si>
    <t>8,600,000</t>
  </si>
  <si>
    <t>تستخدم لقصر تراثى من القرن 19 — لا يمكن مقارنته بالسوق الحديث</t>
  </si>
  <si>
    <t>أسلوب المنفعة المتوقعة — Expected Utility</t>
  </si>
  <si>
    <t>يُقيّم العقار من منظور المستفيد بدلاً من السوق — للاستخدام الخاص.</t>
  </si>
  <si>
    <t>V = Σ(Probability × Utility per scenario)</t>
  </si>
  <si>
    <t>سيناريو 1: استمرار</t>
  </si>
  <si>
    <t>70%</t>
  </si>
  <si>
    <t>احتمال</t>
  </si>
  <si>
    <t>منفعة سيناريو 1</t>
  </si>
  <si>
    <t>10,000,000</t>
  </si>
  <si>
    <t>سيناريو 2: توسع</t>
  </si>
  <si>
    <t>20%</t>
  </si>
  <si>
    <t>منفعة سيناريو 2</t>
  </si>
  <si>
    <t>15,000,000</t>
  </si>
  <si>
    <t>سيناريو 3: تحويل</t>
  </si>
  <si>
    <t>10%</t>
  </si>
  <si>
    <t>منفعة سيناريو 3</t>
  </si>
  <si>
    <t>6,000,000</t>
  </si>
  <si>
    <t>القيمة المتوقعة E[V]</t>
  </si>
  <si>
    <t>10,600,000</t>
  </si>
  <si>
    <t>≈ .7×10M + 0.2×15M + 0.1×6M</t>
  </si>
  <si>
    <t>للمدارس والمستشفيات — قيمتها مرتبطة بالخدمة لا بالسوق</t>
  </si>
  <si>
    <t>💰  حاسبة الاقتراض مقابل الكاش — Cash vs Loan Calculator</t>
  </si>
  <si>
    <t>احسب أيهما أوفر: شراء العقار نقداً أم بقرض عقارى</t>
  </si>
  <si>
    <t>🎛️ المدخلات</t>
  </si>
  <si>
    <t>سعر العقار (EGP)</t>
  </si>
  <si>
    <t>نسبة المقدم (%)</t>
  </si>
  <si>
    <t>للقرض</t>
  </si>
  <si>
    <t>مبلغ المقدم</t>
  </si>
  <si>
    <t>≈ B5*B6</t>
  </si>
  <si>
    <t>محسوب آلياً</t>
  </si>
  <si>
    <t>مبلغ القرض</t>
  </si>
  <si>
    <t>≈ B5-B7</t>
  </si>
  <si>
    <t>≈ لسعر − المقدم</t>
  </si>
  <si>
    <t>سعر الفائدة السنوى (%)</t>
  </si>
  <si>
    <t>مدة القرض (سنوات)</t>
  </si>
  <si>
    <t>معدل عائد بديل (%)</t>
  </si>
  <si>
    <t>لو استثمرت الكاش بدلاً من الشراء</t>
  </si>
  <si>
    <t>التضخم العقارى السنوى (%)</t>
  </si>
  <si>
    <t>نمو قيمة العقار</t>
  </si>
  <si>
    <t>💡 الحسابات</t>
  </si>
  <si>
    <t>القسط الشهرى للقرض</t>
  </si>
  <si>
    <t>PMT(rate/12, n*12, -loan)</t>
  </si>
  <si>
    <t>إجمالى المدفوع للقرض</t>
  </si>
  <si>
    <t>≈ B15*B10*12</t>
  </si>
  <si>
    <t>≈ لقسط × عدد الشهور</t>
  </si>
  <si>
    <t>إجمالى الفوائد</t>
  </si>
  <si>
    <t>≈ B16-B8</t>
  </si>
  <si>
    <t>≈ لمدفوع − أصل القرض</t>
  </si>
  <si>
    <t>القيمة المستقبلية للعقار</t>
  </si>
  <si>
    <t>≈ B5*(1+B12)^B10</t>
  </si>
  <si>
    <t>بمعدل التضخم العقارى</t>
  </si>
  <si>
    <t>سيناريو 1: الشراء كاش</t>
  </si>
  <si>
    <t>احسبه:</t>
  </si>
  <si>
    <t xml:space="preserve">   التكلفة المباشرة</t>
  </si>
  <si>
    <t>≈ B5</t>
  </si>
  <si>
    <t>ثمن العقار فقط</t>
  </si>
  <si>
    <t xml:space="preserve">   فائدة بديلة لـ20 سنة</t>
  </si>
  <si>
    <t>لو استثمرت الكاش</t>
  </si>
  <si>
    <t xml:space="preserve">   صافى الثروة بعد 20 سنة</t>
  </si>
  <si>
    <t>≈ B18-B22</t>
  </si>
  <si>
    <t>FV عقار - فائدة بديل</t>
  </si>
  <si>
    <t>سيناريو 2: الشراء بقرض</t>
  </si>
  <si>
    <t xml:space="preserve">   التكلفة الإجمالية</t>
  </si>
  <si>
    <t>≈ B7+B16</t>
  </si>
  <si>
    <t>المقدم + الأقساط</t>
  </si>
  <si>
    <t xml:space="preserve">   فائدة المتبقى من الكاش</t>
  </si>
  <si>
    <t>استثمار الباقى</t>
  </si>
  <si>
    <t>≈ B18+B27-B26</t>
  </si>
  <si>
    <t>FV عقار + استثمار بديل - تكلفة</t>
  </si>
  <si>
    <t>الفرق (سيناريو 2 − 1)</t>
  </si>
  <si>
    <t>≈ B28-B23</t>
  </si>
  <si>
    <t>الفائز هو الأكبر</t>
  </si>
  <si>
    <t>🎯 التوصية</t>
  </si>
  <si>
    <t>🗺️ Choropleth — خريطة المناطق بالأسعار</t>
  </si>
  <si>
    <t>🔷 Voronoi — مجالات نفوذ المقارنات</t>
  </si>
  <si>
    <t>🎲 3D Surface — السعر فى ثلاث أبعاد</t>
  </si>
  <si>
    <t>🌊 Sankey — تدفق القيمة من المدخلات للنتيجة</t>
  </si>
  <si>
    <t>📅 Gantt — جدول مراحل دراسة الجدوى</t>
  </si>
  <si>
    <t>⚠️ Risk Heatmap — مصفوفة المخاطر</t>
  </si>
  <si>
    <t>👥 Cohort — تحليل العقارات حسب فترة البناء</t>
  </si>
  <si>
    <t>🌲 Decision Tree — شجرة سيناريوهات الاستثمار</t>
  </si>
  <si>
    <t>🌪️ Tornado — ترتيب المتغيرات بصرياً</t>
  </si>
  <si>
    <t>🎯 Radar Compare — العقار مقابل المنافسين</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</si>
</sst>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4">
    <numFmt numFmtId="164" formatCode="0.0%"/>
    <numFmt numFmtId="165" formatCode="#,##0.00\ &quot;EGP&quot;"/>
    <numFmt numFmtId="166" formatCode="0.000"/>
    <numFmt numFmtId="167" formatCode="\+0.0%;\-0.0%;0.0%"/>
    <numFmt numFmtId="168" formatCode="#,##0&quot; EGP&quot;"/>
    <numFmt numFmtId="169" formatCode="0&quot; مقارنة&quot;"/>
    <numFmt numFmtId="170" formatCode="0.0&quot;%&quot;"/>
    <numFmt numFmtId="171" formatCode="0.0"/>
    <numFmt numFmtId="172" formatCode="0.00\x"/>
    <numFmt numFmtId="173" formatCode="\+#,##0&quot; EGP&quot;;\-#,##0&quot; EGP&quot;"/>
    <numFmt numFmtId="174" formatCode="#,##0;\(#,##0\);&quot;-&quot;"/>
    <numFmt numFmtId="175" formatCode="0.00&quot;x&quot;"/>
    <numFmt numFmtId="176" formatCode="#,##0&quot; EGP/م²&quot;"/>
    <numFmt numFmtId="177" formatCode="0.0&quot; سنة&quot;"/>
  </numFmts>
  <fonts count="39">
    <font>
      <sz val="11"/>
      <color theme="1"/>
      <name val="Calibri"/>
      <family val="2"/>
      <scheme val="minor"/>
    </font>
    <font>
      <i/>
      <sz val="9"/>
      <color rgb="FF666666"/>
      <name val="Simplified Arabic"/>
      <family val="2"/>
    </font>
    <font>
      <sz val="11"/>
      <color rgb="FF000000"/>
      <name val="Simplified Arabic"/>
      <family val="2"/>
    </font>
    <font>
      <b/>
      <sz val="9"/>
      <color rgb="FFD4AF37"/>
      <name val="Calibri"/>
    </font>
    <font>
      <sz val="9"/>
      <color rgb="FFFFFFFF"/>
      <name val="Calibri"/>
    </font>
    <font>
      <sz val="9.5"/>
      <color rgb="FFD0D8FF"/>
      <name val="Tahoma"/>
    </font>
    <font>
      <b/>
      <sz val="22"/>
      <color rgb="FFEBD79A"/>
      <name val="Cairo"/>
    </font>
    <font>
      <sz val="10.5"/>
      <color rgb="FF0B1437"/>
      <name val="Cairo"/>
    </font>
    <font>
      <b/>
      <sz val="10.5"/>
      <color rgb="FFFFFFFF"/>
      <name val="Cairo"/>
    </font>
    <font>
      <b/>
      <sz val="12"/>
      <color rgb="FFFFFFFF"/>
      <name val="Cairo"/>
    </font>
    <font>
      <b/>
      <sz val="10.5"/>
      <color rgb="FF0B1437"/>
      <name val="Cairo"/>
    </font>
    <font>
      <b/>
      <sz val="11"/>
      <color rgb="FFEBD79A"/>
      <name val="Cairo"/>
    </font>
    <font>
      <b/>
      <sz val="20"/>
      <color rgb="FFFFFFFF"/>
      <name val="Cairo"/>
    </font>
    <font>
      <b/>
      <sz val="13"/>
      <color rgb="FFC9A961"/>
      <name val="Cairo"/>
    </font>
    <font>
      <b/>
      <sz val="15"/>
      <color rgb="FFFFFFFF"/>
      <name val="Cairo"/>
    </font>
    <font>
      <b/>
      <sz val="18"/>
      <color rgb="FFEBD79A"/>
      <name val="Cairo"/>
    </font>
    <font>
      <sz val="11"/>
      <color rgb="FF586079"/>
      <name val="Cairo"/>
    </font>
    <font>
      <b/>
      <sz val="13"/>
      <color rgb="FF0B1437"/>
      <name val="Cairo"/>
    </font>
    <font>
      <b/>
      <sz val="20"/>
      <color rgb="FF0B1437"/>
      <name val="Cairo"/>
    </font>
    <font>
      <b/>
      <sz val="12"/>
      <color rgb="FFEBD79A"/>
      <name val="Cairo"/>
    </font>
    <font>
      <b/>
      <sz val="11"/>
      <color rgb="FFFFFFFF"/>
      <name val="Cairo"/>
    </font>
    <font>
      <sz val="11"/>
      <color rgb="FF0B1437"/>
      <name val="Cairo"/>
    </font>
    <font>
      <b/>
      <sz val="16"/>
      <color rgb="FFEBD79A"/>
      <name val="Cairo"/>
    </font>
    <font>
      <b/>
      <sz val="18"/>
      <color rgb="FFFFFFFF"/>
      <name val="Cairo"/>
    </font>
    <font>
      <b/>
      <sz val="13"/>
      <color rgb="FFFFFFFF"/>
      <name val="Cairo"/>
    </font>
    <font>
      <sz val="11.5"/>
      <color rgb="FF0B1437"/>
      <name val="Cairo"/>
    </font>
    <font>
      <sz val="12"/>
      <color rgb="FF586079"/>
      <name val="Cairo"/>
    </font>
    <font>
      <b/>
      <sz val="16"/>
      <color rgb="FFC9A961"/>
      <name val="Cairo"/>
    </font>
    <font>
      <b/>
      <sz val="11"/>
      <color rgb="FF0B1437"/>
      <name val="Cairo"/>
    </font>
    <font>
      <b/>
      <sz val="12"/>
      <color rgb="FF0B1437"/>
      <name val="Cairo"/>
    </font>
    <font>
      <b/>
      <sz val="20"/>
      <color rgb="FFEBD79A"/>
      <name val="Cairo"/>
    </font>
    <font>
      <sz val="10"/>
      <color rgb="FF586079"/>
      <name val="Cairo"/>
    </font>
    <font>
      <b/>
      <sz val="14"/>
      <color rgb="FF0B1437"/>
      <name val="Cairo"/>
    </font>
    <font>
      <b/>
      <sz val="11"/>
      <color rgb="FF3A5491"/>
      <name val="Cairo"/>
    </font>
    <font>
      <b/>
      <sz val="16"/>
      <color rgb="FFFFFFFF"/>
      <name val="Cairo"/>
    </font>
    <font>
      <b/>
      <sz val="15"/>
      <color rgb="FFEBD79A"/>
      <name val="Cairo"/>
    </font>
    <font>
      <b/>
      <sz val="11.5"/>
      <color rgb="FF0B1437"/>
      <name val="Cairo"/>
    </font>
    <font>
      <b/>
      <sz val="14"/>
      <color rgb="FFFFFFFF"/>
      <name val="Cairo"/>
    </font>
    <font>
      <b/>
      <sz val="12"/>
      <color rgb="FF0000FF"/>
      <name val="Cairo"/>
    </font>
  </fonts>
  <fills count="26">
    <fill>
      <patternFill patternType="none"/>
    </fill>
    <fill>
      <patternFill patternType="gray125"/>
    </fill>
    <fill>
      <patternFill patternType="solid">
        <fgColor rgb="FFD4AF37"/>
        <bgColor indexed="64"/>
      </patternFill>
    </fill>
    <fill>
      <patternFill patternType="solid">
        <fgColor rgb="FFD4AF37"/>
      </patternFill>
    </fill>
    <fill>
      <patternFill patternType="solid">
        <fgColor rgb="FF131313"/>
      </patternFill>
    </fill>
    <fill>
      <patternFill patternType="solid">
        <fgColor rgb="FF0F2027"/>
      </patternFill>
    </fill>
    <fill>
      <patternFill patternType="solid">
        <fgColor rgb="FF111111"/>
      </patternFill>
    </fill>
    <fill>
      <patternFill patternType="solid">
        <fgColor rgb="FF171717"/>
      </patternFill>
    </fill>
    <fill>
      <patternFill patternType="solid">
        <fgColor rgb="FF7B6120"/>
      </patternFill>
    </fill>
    <fill>
      <patternFill patternType="solid">
        <fgColor rgb="FF1A1A2E"/>
      </patternFill>
    </fill>
    <fill>
      <patternFill patternType="solid">
        <fgColor rgb="FF0D1117"/>
      </patternFill>
    </fill>
    <fill>
      <patternFill patternType="solid">
        <fgColor rgb="FF0B1437"/>
        <bgColor rgb="FF0B1437"/>
      </patternFill>
    </fill>
    <fill>
      <patternFill patternType="solid">
        <fgColor rgb="FFFFFFFF"/>
        <bgColor rgb="FFFFFFFF"/>
      </patternFill>
    </fill>
    <fill>
      <patternFill patternType="solid">
        <fgColor rgb="FF12224F"/>
        <bgColor rgb="FF12224F"/>
      </patternFill>
    </fill>
    <fill>
      <patternFill patternType="solid">
        <fgColor rgb="FF1B3263"/>
        <bgColor rgb="FF1B3263"/>
      </patternFill>
    </fill>
    <fill>
      <patternFill patternType="solid">
        <fgColor rgb="FFEEF1F7"/>
        <bgColor rgb="FFEEF1F7"/>
      </patternFill>
    </fill>
    <fill>
      <patternFill patternType="solid">
        <fgColor rgb="FF0E8B6E"/>
        <bgColor rgb="FF0E8B6E"/>
      </patternFill>
    </fill>
    <fill>
      <patternFill patternType="solid">
        <fgColor rgb="FFC9A961"/>
        <bgColor rgb="FFC9A961"/>
      </patternFill>
    </fill>
    <fill>
      <patternFill patternType="solid">
        <fgColor rgb="FF3A5491"/>
        <bgColor rgb="FF3A5491"/>
      </patternFill>
    </fill>
    <fill>
      <patternFill patternType="solid">
        <fgColor rgb="FF6B4FA1"/>
        <bgColor rgb="FF6B4FA1"/>
      </patternFill>
    </fill>
    <fill>
      <patternFill patternType="solid">
        <fgColor rgb="FFF8F9FC"/>
        <bgColor rgb="FFF8F9FC"/>
      </patternFill>
    </fill>
    <fill>
      <patternFill patternType="solid">
        <fgColor rgb="FFF8EFC9"/>
        <bgColor rgb="FFF8EFC9"/>
      </patternFill>
    </fill>
    <fill>
      <patternFill patternType="solid">
        <fgColor rgb="FFD85842"/>
        <bgColor rgb="FFD85842"/>
      </patternFill>
    </fill>
    <fill>
      <patternFill patternType="solid">
        <fgColor rgb="FF3A9CA1"/>
        <bgColor rgb="FF3A9CA1"/>
      </patternFill>
    </fill>
    <fill>
      <patternFill patternType="solid">
        <fgColor rgb="FFC9EAD9"/>
        <bgColor rgb="FFC9EAD9"/>
      </patternFill>
    </fill>
    <fill>
      <patternFill patternType="solid">
        <fgColor rgb="FFFBE0D7"/>
        <bgColor rgb="FFFBE0D7"/>
      </patternFill>
    </fill>
  </fills>
  <borders count="37">
    <border>
      <left/>
      <right/>
      <top/>
      <bottom/>
      <diagonal/>
    </border>
    <border>
      <left style="thin">
        <color auto="1"/>
      </left>
      <right style="thin">
        <color auto="1"/>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medium">
        <color rgb="FFD4AF37"/>
      </left>
      <right style="thin">
        <color rgb="FF7B6120"/>
      </right>
      <top style="thin">
        <color rgb="FF7B6120"/>
      </top>
      <bottom style="medium">
        <color rgb="FFD4AF37"/>
      </bottom>
      <diagonal/>
    </border>
    <border>
      <left style="thin">
        <color rgb="FF7B6120"/>
      </left>
      <right style="thin">
        <color rgb="FF7B6120"/>
      </right>
      <top style="thin">
        <color rgb="FF7B6120"/>
      </top>
      <bottom style="medium">
        <color rgb="FFD4AF37"/>
      </bottom>
      <diagonal/>
    </border>
    <border>
      <left style="thin">
        <color rgb="FF7B6120"/>
      </left>
      <right style="medium">
        <color rgb="FFD4AF37"/>
      </right>
      <top style="thin">
        <color rgb="FF7B6120"/>
      </top>
      <bottom style="medium">
        <color rgb="FFD4AF37"/>
      </bottom>
      <diagonal/>
    </border>
    <border>
      <left style="hair">
        <color rgb="FF7B6120"/>
      </left>
      <right style="hair">
        <color rgb="FF7B6120"/>
      </right>
      <top style="hair">
        <color rgb="FF7B6120"/>
      </top>
      <bottom style="hair">
        <color rgb="FF7B6120"/>
      </bottom>
      <diagonal/>
    </border>
    <border>
      <left style="thin">
        <color rgb="FF7B6120"/>
      </left>
      <right style="thin">
        <color rgb="FF7B6120"/>
      </right>
      <top style="hair">
        <color rgb="FF7B6120"/>
      </top>
      <bottom style="hair">
        <color rgb="FF7B6120"/>
      </bottom>
      <diagonal/>
    </border>
    <border>
      <left style="medium">
        <color rgb="FFD4AF37"/>
      </left>
      <right style="medium">
        <color rgb="FFD4AF37"/>
      </right>
      <top/>
      <bottom style="hair">
        <color rgb="FF333355"/>
      </bottom>
      <diagonal/>
    </border>
    <border>
      <left/>
      <right/>
      <top/>
      <bottom style="medium">
        <color rgb="FFC9A961"/>
      </bottom>
      <diagonal/>
    </border>
    <border>
      <left style="thin">
        <color rgb="FFC8CDDB"/>
      </left>
      <right style="thin">
        <color rgb="FFC8CDDB"/>
      </right>
      <top style="thin">
        <color rgb="FFC8CDDB"/>
      </top>
      <bottom style="thin">
        <color rgb="FFC8CDDB"/>
      </bottom>
      <diagonal/>
    </border>
    <border>
      <left style="thin">
        <color rgb="FFC8CDDB"/>
      </left>
      <right style="thin">
        <color rgb="FFC8CDDB"/>
      </right>
      <top style="medium">
        <color rgb="FF1B3263"/>
      </top>
      <bottom style="medium">
        <color rgb="FF1B3263"/>
      </bottom>
      <diagonal/>
    </border>
    <border>
      <left style="thin">
        <color rgb="FFC8CDDB"/>
      </left>
      <right style="thin">
        <color rgb="FFC8CDDB"/>
      </right>
      <top style="thick">
        <color rgb="FFC9A961"/>
      </top>
      <bottom/>
      <diagonal/>
    </border>
    <border>
      <left style="thin">
        <color rgb="FFC8CDDB"/>
      </left>
      <right style="thin">
        <color rgb="FFC8CDDB"/>
      </right>
      <top/>
      <bottom style="medium">
        <color rgb="FFC9A961"/>
      </bottom>
      <diagonal/>
    </border>
    <border>
      <left/>
      <right/>
      <top/>
      <bottom style="medium">
        <color rgb="FFC9A961"/>
      </bottom>
      <diagonal/>
    </border>
    <border>
      <left/>
      <right/>
      <top style="medium">
        <color rgb="FF1B3263"/>
      </top>
      <bottom style="medium">
        <color rgb="FF1B3263"/>
      </bottom>
      <diagonal/>
    </border>
    <border>
      <left/>
      <right style="thin">
        <color rgb="FFC8CDDB"/>
      </right>
      <top style="medium">
        <color rgb="FF1B3263"/>
      </top>
      <bottom style="medium">
        <color rgb="FF1B3263"/>
      </bottom>
      <diagonal/>
    </border>
    <border>
      <left/>
      <right/>
      <top style="thin">
        <color rgb="FFC8CDDB"/>
      </top>
      <bottom/>
      <diagonal/>
    </border>
    <border>
      <left/>
      <right style="thin">
        <color rgb="FFC8CDDB"/>
      </right>
      <top style="thin">
        <color rgb="FFC8CDDB"/>
      </top>
      <bottom/>
      <diagonal/>
    </border>
    <border>
      <left/>
      <right style="thin">
        <color rgb="FFC8CDDB"/>
      </right>
      <top style="thin">
        <color rgb="FFC8CDDB"/>
      </top>
      <bottom style="thin">
        <color rgb="FFC8CDDB"/>
      </bottom>
      <diagonal/>
    </border>
    <border>
      <left style="thin">
        <color rgb="FFC9A961"/>
      </left>
      <right style="thin">
        <color rgb="FFC9A961"/>
      </right>
      <top style="thin">
        <color rgb="FFC9A961"/>
      </top>
      <bottom style="thin">
        <color rgb="FFC9A961"/>
      </bottom>
      <diagonal/>
    </border>
    <border>
      <left/>
      <right/>
      <top style="thin">
        <color rgb="FFC8CDDB"/>
      </top>
      <bottom style="thin">
        <color rgb="FFC8CDDB"/>
      </bottom>
      <diagonal/>
    </border>
    <border>
      <left/>
      <right/>
      <top style="thin">
        <color rgb="FFC9A961"/>
      </top>
      <bottom style="thin">
        <color rgb="FFC9A961"/>
      </bottom>
      <diagonal/>
    </border>
    <border>
      <left/>
      <right style="thin">
        <color rgb="FFC9A961"/>
      </right>
      <top style="thin">
        <color rgb="FFC9A961"/>
      </top>
      <bottom style="thin">
        <color rgb="FFC9A961"/>
      </bottom>
      <diagonal/>
    </border>
    <border>
      <left style="medium">
        <color rgb="FFC9A961"/>
      </left>
      <right style="medium">
        <color rgb="FFC9A961"/>
      </right>
      <top style="medium">
        <color rgb="FFC9A961"/>
      </top>
      <bottom style="medium">
        <color rgb="FFC9A961"/>
      </bottom>
      <diagonal/>
    </border>
    <border>
      <left/>
      <right/>
      <top/>
      <bottom style="medium">
        <color rgb="FFC9A961"/>
      </bottom>
      <diagonal/>
    </border>
    <border>
      <left/>
      <right/>
      <top style="medium">
        <color rgb="FFC9A961"/>
      </top>
      <bottom style="medium">
        <color rgb="FFC9A961"/>
      </bottom>
      <diagonal/>
    </border>
    <border>
      <left/>
      <right style="medium">
        <color rgb="FFC9A961"/>
      </right>
      <top style="medium">
        <color rgb="FFC9A961"/>
      </top>
      <bottom style="medium">
        <color rgb="FFC9A961"/>
      </bottom>
      <diagonal/>
    </border>
    <border>
      <left/>
      <right style="medium">
        <color auto="1"/>
      </right>
      <top/>
      <bottom style="medium">
        <color rgb="FFC9A961"/>
      </bottom>
      <diagonal/>
    </border>
    <border>
      <left/>
      <right style="medium">
        <color auto="1"/>
      </right>
      <top/>
      <bottom style="medium">
        <color rgb="FFC9A961"/>
      </bottom>
      <diagonal/>
    </border>
    <border>
      <left style="thin">
        <color rgb="FFC8CDDB"/>
      </left>
      <right/>
      <top/>
      <bottom/>
      <diagonal/>
    </border>
    <border>
      <left/>
      <right style="thin">
        <color rgb="FFC8CDDB"/>
      </right>
      <top/>
      <bottom/>
      <diagonal/>
    </border>
    <border>
      <left style="thin">
        <color rgb="FFC8CDDB"/>
      </left>
      <right/>
      <top/>
      <bottom style="thin">
        <color rgb="FFC8CDDB"/>
      </bottom>
      <diagonal/>
    </border>
    <border>
      <left/>
      <right/>
      <top/>
      <bottom style="thin">
        <color rgb="FFC8CDDB"/>
      </bottom>
      <diagonal/>
    </border>
    <border>
      <left/>
      <right style="thin">
        <color rgb="FFC8CDDB"/>
      </right>
      <top/>
      <bottom style="thin">
        <color rgb="FFC8CDDB"/>
      </bottom>
      <diagonal/>
    </border>
    <border>
      <left style="thin">
        <color rgb="FFC8CDDB"/>
      </left>
      <right style="thin">
        <color rgb="FFC8CDDB"/>
      </right>
      <top/>
      <bottom style="thin">
        <color rgb="FFC8CDDB"/>
      </bottom>
      <diagonal/>
    </border>
  </borders>
  <cellStyleXfs count="1">
    <xf numFmtId="0" fontId="0" fillId="0" borderId="0"/>
  </cellStyleXfs>
  <cellXfs count="221">
    <xf numFmtId="0" fontId="0" fillId="0" borderId="0" xfId="0"/>
    <xf numFmtId="0" fontId="1" fillId="0" borderId="1" xfId="0" applyFont="1" applyBorder="1" applyAlignment="1">
      <alignment horizontal="right" vertical="center" wrapText="1"/>
    </xf>
    <xf numFmtId="0" fontId="0" fillId="3" borderId="0" xfId="0" applyFill="1"/>
    <xf numFmtId="0" fontId="0" fillId="4" borderId="6" xfId="0" applyFill="1" applyBorder="1"/>
    <xf numFmtId="0" fontId="0" fillId="4" borderId="4" xfId="0" applyFill="1" applyBorder="1"/>
    <xf numFmtId="0" fontId="0" fillId="4" borderId="5" xfId="0" applyFill="1" applyBorder="1"/>
    <xf numFmtId="0" fontId="3" fillId="5" borderId="7" xfId="0" applyFont="1" applyFill="1" applyBorder="1" applyAlignment="1">
      <alignment horizontal="center" vertical="center" readingOrder="2"/>
    </xf>
    <xf numFmtId="4" fontId="3" fillId="5" borderId="7" xfId="0" applyNumberFormat="1" applyFont="1" applyFill="1" applyBorder="1" applyAlignment="1">
      <alignment horizontal="center" vertical="center" readingOrder="2"/>
    </xf>
    <xf numFmtId="0" fontId="4" fillId="6" borderId="8" xfId="0" applyFont="1" applyFill="1" applyBorder="1" applyAlignment="1">
      <alignment horizontal="center" vertical="center" readingOrder="2"/>
    </xf>
    <xf numFmtId="164" fontId="4" fillId="6" borderId="8" xfId="0" applyNumberFormat="1" applyFont="1" applyFill="1" applyBorder="1" applyAlignment="1">
      <alignment horizontal="center" vertical="center" readingOrder="2"/>
    </xf>
    <xf numFmtId="0" fontId="4" fillId="7" borderId="8" xfId="0" applyFont="1" applyFill="1" applyBorder="1" applyAlignment="1">
      <alignment horizontal="center" vertical="center" readingOrder="2"/>
    </xf>
    <xf numFmtId="164" fontId="4" fillId="7" borderId="8" xfId="0" applyNumberFormat="1" applyFont="1" applyFill="1" applyBorder="1" applyAlignment="1">
      <alignment horizontal="center" vertical="center" readingOrder="2"/>
    </xf>
    <xf numFmtId="4" fontId="4" fillId="7" borderId="8" xfId="0" applyNumberFormat="1" applyFont="1" applyFill="1" applyBorder="1" applyAlignment="1">
      <alignment horizontal="center" vertical="center" readingOrder="2"/>
    </xf>
    <xf numFmtId="0" fontId="0" fillId="8" borderId="0" xfId="0" applyFill="1"/>
    <xf numFmtId="0" fontId="5" fillId="10" borderId="9" xfId="0" applyFont="1" applyFill="1" applyBorder="1" applyAlignment="1">
      <alignment horizontal="right" vertical="center" wrapText="1" readingOrder="2"/>
    </xf>
    <xf numFmtId="0" fontId="0" fillId="9" borderId="0" xfId="0" applyFill="1"/>
    <xf numFmtId="0" fontId="0" fillId="0" borderId="0" xfId="0" applyAlignment="1">
      <alignment horizontal="right" wrapText="1"/>
    </xf>
    <xf numFmtId="0" fontId="6" fillId="11" borderId="10" xfId="0" applyFont="1" applyFill="1" applyBorder="1" applyAlignment="1">
      <alignment horizontal="center" vertical="center" wrapText="1" readingOrder="2"/>
    </xf>
    <xf numFmtId="0" fontId="9" fillId="14" borderId="12" xfId="0" applyFont="1" applyFill="1" applyBorder="1" applyAlignment="1">
      <alignment horizontal="right" vertical="center" wrapText="1" readingOrder="2"/>
    </xf>
    <xf numFmtId="0" fontId="7" fillId="12" borderId="11" xfId="0" applyFont="1" applyFill="1" applyBorder="1" applyAlignment="1">
      <alignment horizontal="center" vertical="center" wrapText="1" readingOrder="2"/>
    </xf>
    <xf numFmtId="0" fontId="7" fillId="12" borderId="11" xfId="0" applyFont="1" applyFill="1" applyBorder="1" applyAlignment="1">
      <alignment horizontal="right" vertical="center" wrapText="1" readingOrder="2"/>
    </xf>
    <xf numFmtId="0" fontId="20" fillId="13" borderId="11" xfId="0" applyFont="1" applyFill="1" applyBorder="1" applyAlignment="1">
      <alignment horizontal="center" vertical="center" wrapText="1" readingOrder="2"/>
    </xf>
    <xf numFmtId="174" fontId="21" fillId="21" borderId="11" xfId="0" applyNumberFormat="1" applyFont="1" applyFill="1" applyBorder="1" applyAlignment="1">
      <alignment horizontal="center" vertical="center" wrapText="1" readingOrder="2"/>
    </xf>
    <xf numFmtId="1" fontId="7" fillId="12" borderId="11" xfId="0" applyNumberFormat="1" applyFont="1" applyFill="1" applyBorder="1" applyAlignment="1">
      <alignment horizontal="center" vertical="center" wrapText="1" readingOrder="2"/>
    </xf>
    <xf numFmtId="0" fontId="8" fillId="13" borderId="11" xfId="0" applyFont="1" applyFill="1" applyBorder="1" applyAlignment="1">
      <alignment horizontal="center" vertical="center" wrapText="1" readingOrder="2"/>
    </xf>
    <xf numFmtId="4" fontId="7" fillId="12" borderId="11" xfId="0" applyNumberFormat="1" applyFont="1" applyFill="1" applyBorder="1" applyAlignment="1">
      <alignment horizontal="center" vertical="center" wrapText="1" readingOrder="2"/>
    </xf>
    <xf numFmtId="174" fontId="7" fillId="12" borderId="11" xfId="0" applyNumberFormat="1" applyFont="1" applyFill="1" applyBorder="1" applyAlignment="1">
      <alignment horizontal="center" vertical="center" wrapText="1" readingOrder="2"/>
    </xf>
    <xf numFmtId="164" fontId="7" fillId="12" borderId="11" xfId="0" applyNumberFormat="1" applyFont="1" applyFill="1" applyBorder="1" applyAlignment="1">
      <alignment horizontal="center" vertical="center" wrapText="1" readingOrder="2"/>
    </xf>
    <xf numFmtId="10" fontId="7" fillId="12" borderId="11" xfId="0" applyNumberFormat="1" applyFont="1" applyFill="1" applyBorder="1" applyAlignment="1">
      <alignment horizontal="center" vertical="center" wrapText="1" readingOrder="2"/>
    </xf>
    <xf numFmtId="4" fontId="8" fillId="13" borderId="11" xfId="0" applyNumberFormat="1" applyFont="1" applyFill="1" applyBorder="1" applyAlignment="1">
      <alignment horizontal="center" vertical="center" wrapText="1" readingOrder="2"/>
    </xf>
    <xf numFmtId="0" fontId="10" fillId="15" borderId="11" xfId="0" applyFont="1" applyFill="1" applyBorder="1" applyAlignment="1">
      <alignment horizontal="right" vertical="center" wrapText="1" readingOrder="2"/>
    </xf>
    <xf numFmtId="3" fontId="8" fillId="13" borderId="11" xfId="0" applyNumberFormat="1" applyFont="1" applyFill="1" applyBorder="1" applyAlignment="1">
      <alignment horizontal="center" vertical="center" wrapText="1" readingOrder="2"/>
    </xf>
    <xf numFmtId="164" fontId="8" fillId="13" borderId="11" xfId="0" applyNumberFormat="1" applyFont="1" applyFill="1" applyBorder="1" applyAlignment="1">
      <alignment horizontal="center" vertical="center" wrapText="1" readingOrder="2"/>
    </xf>
    <xf numFmtId="3" fontId="7" fillId="12" borderId="11" xfId="0" applyNumberFormat="1" applyFont="1" applyFill="1" applyBorder="1" applyAlignment="1">
      <alignment horizontal="center" vertical="center" wrapText="1" readingOrder="2"/>
    </xf>
    <xf numFmtId="166" fontId="7" fillId="12" borderId="11" xfId="0" applyNumberFormat="1" applyFont="1" applyFill="1" applyBorder="1" applyAlignment="1">
      <alignment horizontal="center" vertical="center" wrapText="1" readingOrder="2"/>
    </xf>
    <xf numFmtId="167" fontId="7" fillId="12" borderId="11" xfId="0" applyNumberFormat="1" applyFont="1" applyFill="1" applyBorder="1" applyAlignment="1">
      <alignment horizontal="center" vertical="center" wrapText="1" readingOrder="2"/>
    </xf>
    <xf numFmtId="168" fontId="7" fillId="12" borderId="11" xfId="0" applyNumberFormat="1" applyFont="1" applyFill="1" applyBorder="1" applyAlignment="1">
      <alignment horizontal="center" vertical="center" wrapText="1" readingOrder="2"/>
    </xf>
    <xf numFmtId="169" fontId="7" fillId="12" borderId="11" xfId="0" applyNumberFormat="1" applyFont="1" applyFill="1" applyBorder="1" applyAlignment="1">
      <alignment horizontal="center" vertical="center" wrapText="1" readingOrder="2"/>
    </xf>
    <xf numFmtId="49" fontId="7" fillId="12" borderId="11" xfId="0" applyNumberFormat="1" applyFont="1" applyFill="1" applyBorder="1" applyAlignment="1">
      <alignment horizontal="center" vertical="center" wrapText="1" readingOrder="2"/>
    </xf>
    <xf numFmtId="0" fontId="7" fillId="20" borderId="11" xfId="0" applyFont="1" applyFill="1" applyBorder="1" applyAlignment="1">
      <alignment horizontal="center" vertical="center" wrapText="1" readingOrder="2"/>
    </xf>
    <xf numFmtId="3" fontId="7" fillId="20" borderId="11" xfId="0" applyNumberFormat="1" applyFont="1" applyFill="1" applyBorder="1" applyAlignment="1">
      <alignment horizontal="center" vertical="center" wrapText="1" readingOrder="2"/>
    </xf>
    <xf numFmtId="0" fontId="7" fillId="20" borderId="11" xfId="0" applyFont="1" applyFill="1" applyBorder="1" applyAlignment="1">
      <alignment horizontal="right" vertical="center" wrapText="1" readingOrder="2"/>
    </xf>
    <xf numFmtId="0" fontId="28" fillId="21" borderId="11" xfId="0" applyFont="1" applyFill="1" applyBorder="1" applyAlignment="1">
      <alignment horizontal="center" vertical="center" wrapText="1" readingOrder="2"/>
    </xf>
    <xf numFmtId="0" fontId="28" fillId="15" borderId="11" xfId="0" applyFont="1" applyFill="1" applyBorder="1" applyAlignment="1">
      <alignment horizontal="right" vertical="center" wrapText="1" readingOrder="2"/>
    </xf>
    <xf numFmtId="165" fontId="7" fillId="12" borderId="11" xfId="0" applyNumberFormat="1" applyFont="1" applyFill="1" applyBorder="1" applyAlignment="1">
      <alignment horizontal="center" vertical="center" wrapText="1" readingOrder="2"/>
    </xf>
    <xf numFmtId="165" fontId="8" fillId="13" borderId="11" xfId="0" applyNumberFormat="1" applyFont="1" applyFill="1" applyBorder="1" applyAlignment="1">
      <alignment horizontal="center" vertical="center" wrapText="1" readingOrder="2"/>
    </xf>
    <xf numFmtId="170" fontId="7" fillId="12" borderId="11" xfId="0" applyNumberFormat="1" applyFont="1" applyFill="1" applyBorder="1" applyAlignment="1">
      <alignment horizontal="center" vertical="center" wrapText="1" readingOrder="2"/>
    </xf>
    <xf numFmtId="4" fontId="7" fillId="12" borderId="11" xfId="0" applyNumberFormat="1" applyFont="1" applyFill="1" applyBorder="1" applyAlignment="1">
      <alignment horizontal="right" vertical="center" wrapText="1" readingOrder="2"/>
    </xf>
    <xf numFmtId="165" fontId="7" fillId="12" borderId="11" xfId="0" applyNumberFormat="1" applyFont="1" applyFill="1" applyBorder="1" applyAlignment="1">
      <alignment horizontal="right" vertical="center" wrapText="1" readingOrder="2"/>
    </xf>
    <xf numFmtId="9" fontId="8" fillId="13" borderId="11" xfId="0" applyNumberFormat="1" applyFont="1" applyFill="1" applyBorder="1" applyAlignment="1">
      <alignment horizontal="center" vertical="center" wrapText="1" readingOrder="2"/>
    </xf>
    <xf numFmtId="0" fontId="7" fillId="21" borderId="11" xfId="0" applyFont="1" applyFill="1" applyBorder="1" applyAlignment="1">
      <alignment horizontal="center" vertical="center" wrapText="1" readingOrder="2"/>
    </xf>
    <xf numFmtId="174" fontId="7" fillId="21" borderId="11" xfId="0" applyNumberFormat="1" applyFont="1" applyFill="1" applyBorder="1" applyAlignment="1">
      <alignment horizontal="center" vertical="center" wrapText="1" readingOrder="2"/>
    </xf>
    <xf numFmtId="0" fontId="7" fillId="21" borderId="11" xfId="0" applyFont="1" applyFill="1" applyBorder="1" applyAlignment="1">
      <alignment horizontal="right" vertical="center" wrapText="1" readingOrder="2"/>
    </xf>
    <xf numFmtId="0" fontId="7" fillId="24" borderId="11" xfId="0" applyFont="1" applyFill="1" applyBorder="1" applyAlignment="1">
      <alignment horizontal="center" vertical="center" wrapText="1" readingOrder="2"/>
    </xf>
    <xf numFmtId="174" fontId="7" fillId="24" borderId="11" xfId="0" applyNumberFormat="1" applyFont="1" applyFill="1" applyBorder="1" applyAlignment="1">
      <alignment horizontal="center" vertical="center" wrapText="1" readingOrder="2"/>
    </xf>
    <xf numFmtId="0" fontId="7" fillId="24" borderId="11" xfId="0" applyFont="1" applyFill="1" applyBorder="1" applyAlignment="1">
      <alignment horizontal="right" vertical="center" wrapText="1" readingOrder="2"/>
    </xf>
    <xf numFmtId="0" fontId="7" fillId="25" borderId="11" xfId="0" applyFont="1" applyFill="1" applyBorder="1" applyAlignment="1">
      <alignment horizontal="center" vertical="center" wrapText="1" readingOrder="2"/>
    </xf>
    <xf numFmtId="174" fontId="7" fillId="25" borderId="11" xfId="0" applyNumberFormat="1" applyFont="1" applyFill="1" applyBorder="1" applyAlignment="1">
      <alignment horizontal="center" vertical="center" wrapText="1" readingOrder="2"/>
    </xf>
    <xf numFmtId="0" fontId="7" fillId="25" borderId="11" xfId="0" applyFont="1" applyFill="1" applyBorder="1" applyAlignment="1">
      <alignment horizontal="right" vertical="center" wrapText="1" readingOrder="2"/>
    </xf>
    <xf numFmtId="0" fontId="7" fillId="15" borderId="11" xfId="0" applyFont="1" applyFill="1" applyBorder="1" applyAlignment="1">
      <alignment horizontal="center" vertical="center" wrapText="1" readingOrder="2"/>
    </xf>
    <xf numFmtId="174" fontId="7" fillId="15" borderId="11" xfId="0" applyNumberFormat="1" applyFont="1" applyFill="1" applyBorder="1" applyAlignment="1">
      <alignment horizontal="center" vertical="center" wrapText="1" readingOrder="2"/>
    </xf>
    <xf numFmtId="0" fontId="7" fillId="15" borderId="11" xfId="0" applyFont="1" applyFill="1" applyBorder="1" applyAlignment="1">
      <alignment horizontal="right" vertical="center" wrapText="1" readingOrder="2"/>
    </xf>
    <xf numFmtId="0" fontId="9" fillId="13" borderId="11" xfId="0" applyFont="1" applyFill="1" applyBorder="1" applyAlignment="1">
      <alignment horizontal="center" vertical="center" wrapText="1" readingOrder="2"/>
    </xf>
    <xf numFmtId="174" fontId="9" fillId="13" borderId="11" xfId="0" applyNumberFormat="1" applyFont="1" applyFill="1" applyBorder="1" applyAlignment="1">
      <alignment horizontal="center" vertical="center" wrapText="1" readingOrder="2"/>
    </xf>
    <xf numFmtId="0" fontId="9" fillId="13" borderId="11" xfId="0" applyFont="1" applyFill="1" applyBorder="1" applyAlignment="1">
      <alignment horizontal="right" vertical="center" wrapText="1" readingOrder="2"/>
    </xf>
    <xf numFmtId="0" fontId="21" fillId="21" borderId="11" xfId="0" applyFont="1" applyFill="1" applyBorder="1" applyAlignment="1">
      <alignment horizontal="center" vertical="center" wrapText="1" readingOrder="2"/>
    </xf>
    <xf numFmtId="0" fontId="21" fillId="21" borderId="11" xfId="0" applyFont="1" applyFill="1" applyBorder="1" applyAlignment="1">
      <alignment horizontal="right" vertical="center" wrapText="1" readingOrder="2"/>
    </xf>
    <xf numFmtId="0" fontId="32" fillId="17" borderId="21" xfId="0" applyFont="1" applyFill="1" applyBorder="1" applyAlignment="1">
      <alignment horizontal="center" vertical="center" wrapText="1" readingOrder="2"/>
    </xf>
    <xf numFmtId="176" fontId="32" fillId="17" borderId="21" xfId="0" applyNumberFormat="1" applyFont="1" applyFill="1" applyBorder="1" applyAlignment="1">
      <alignment horizontal="center" vertical="center" wrapText="1" readingOrder="2"/>
    </xf>
    <xf numFmtId="0" fontId="32" fillId="17" borderId="21" xfId="0" applyFont="1" applyFill="1" applyBorder="1" applyAlignment="1">
      <alignment horizontal="right" vertical="center" wrapText="1" readingOrder="2"/>
    </xf>
    <xf numFmtId="0" fontId="11" fillId="13" borderId="13" xfId="0" applyFont="1" applyFill="1" applyBorder="1" applyAlignment="1">
      <alignment horizontal="center" vertical="center" wrapText="1" readingOrder="2"/>
    </xf>
    <xf numFmtId="0" fontId="11" fillId="16" borderId="13" xfId="0" applyFont="1" applyFill="1" applyBorder="1" applyAlignment="1">
      <alignment horizontal="center" vertical="center" wrapText="1" readingOrder="2"/>
    </xf>
    <xf numFmtId="0" fontId="11" fillId="17" borderId="13" xfId="0" applyFont="1" applyFill="1" applyBorder="1" applyAlignment="1">
      <alignment horizontal="center" vertical="center" wrapText="1" readingOrder="2"/>
    </xf>
    <xf numFmtId="0" fontId="11" fillId="18" borderId="13" xfId="0" applyFont="1" applyFill="1" applyBorder="1" applyAlignment="1">
      <alignment horizontal="center" vertical="center" wrapText="1" readingOrder="2"/>
    </xf>
    <xf numFmtId="0" fontId="11" fillId="19" borderId="13" xfId="0" applyFont="1" applyFill="1" applyBorder="1" applyAlignment="1">
      <alignment horizontal="center" vertical="center" wrapText="1" readingOrder="2"/>
    </xf>
    <xf numFmtId="3" fontId="12" fillId="13" borderId="14" xfId="0" applyNumberFormat="1" applyFont="1" applyFill="1" applyBorder="1" applyAlignment="1">
      <alignment horizontal="center" vertical="center" wrapText="1" readingOrder="2"/>
    </xf>
    <xf numFmtId="3" fontId="12" fillId="16" borderId="14" xfId="0" applyNumberFormat="1" applyFont="1" applyFill="1" applyBorder="1" applyAlignment="1">
      <alignment horizontal="center" vertical="center" wrapText="1" readingOrder="2"/>
    </xf>
    <xf numFmtId="3" fontId="12" fillId="17" borderId="14" xfId="0" applyNumberFormat="1" applyFont="1" applyFill="1" applyBorder="1" applyAlignment="1">
      <alignment horizontal="center" vertical="center" wrapText="1" readingOrder="2"/>
    </xf>
    <xf numFmtId="164" fontId="12" fillId="18" borderId="14" xfId="0" applyNumberFormat="1" applyFont="1" applyFill="1" applyBorder="1" applyAlignment="1">
      <alignment horizontal="center" vertical="center" wrapText="1" readingOrder="2"/>
    </xf>
    <xf numFmtId="0" fontId="12" fillId="19" borderId="14" xfId="0" applyFont="1" applyFill="1" applyBorder="1" applyAlignment="1">
      <alignment horizontal="center" vertical="center" wrapText="1" readingOrder="2"/>
    </xf>
    <xf numFmtId="3" fontId="7" fillId="12" borderId="11" xfId="0" applyNumberFormat="1" applyFont="1" applyFill="1" applyBorder="1" applyAlignment="1">
      <alignment horizontal="right" vertical="center" wrapText="1" readingOrder="2"/>
    </xf>
    <xf numFmtId="171" fontId="7" fillId="12" borderId="11" xfId="0" applyNumberFormat="1" applyFont="1" applyFill="1" applyBorder="1" applyAlignment="1">
      <alignment horizontal="center" vertical="center" wrapText="1" readingOrder="2"/>
    </xf>
    <xf numFmtId="171" fontId="8" fillId="13" borderId="11" xfId="0" applyNumberFormat="1" applyFont="1" applyFill="1" applyBorder="1" applyAlignment="1">
      <alignment horizontal="center" vertical="center" wrapText="1" readingOrder="2"/>
    </xf>
    <xf numFmtId="0" fontId="33" fillId="20" borderId="11" xfId="0" applyFont="1" applyFill="1" applyBorder="1" applyAlignment="1">
      <alignment horizontal="center" vertical="center" wrapText="1" readingOrder="2"/>
    </xf>
    <xf numFmtId="172" fontId="7" fillId="12" borderId="11" xfId="0" applyNumberFormat="1" applyFont="1" applyFill="1" applyBorder="1" applyAlignment="1">
      <alignment horizontal="center" vertical="center" wrapText="1" readingOrder="2"/>
    </xf>
    <xf numFmtId="173" fontId="7" fillId="12" borderId="11" xfId="0" applyNumberFormat="1" applyFont="1" applyFill="1" applyBorder="1" applyAlignment="1">
      <alignment horizontal="center" vertical="center" wrapText="1" readingOrder="2"/>
    </xf>
    <xf numFmtId="49" fontId="7" fillId="12" borderId="11" xfId="0" applyNumberFormat="1" applyFont="1" applyFill="1" applyBorder="1" applyAlignment="1">
      <alignment horizontal="right" vertical="center" wrapText="1" readingOrder="2"/>
    </xf>
    <xf numFmtId="0" fontId="28" fillId="25" borderId="11" xfId="0" applyFont="1" applyFill="1" applyBorder="1" applyAlignment="1">
      <alignment horizontal="center" vertical="center" wrapText="1" readingOrder="2"/>
    </xf>
    <xf numFmtId="0" fontId="21" fillId="25" borderId="11" xfId="0" applyFont="1" applyFill="1" applyBorder="1" applyAlignment="1">
      <alignment horizontal="center" vertical="center" wrapText="1" readingOrder="2"/>
    </xf>
    <xf numFmtId="0" fontId="28" fillId="24" borderId="11" xfId="0" applyFont="1" applyFill="1" applyBorder="1" applyAlignment="1">
      <alignment horizontal="center" vertical="center" wrapText="1" readingOrder="2"/>
    </xf>
    <xf numFmtId="0" fontId="21" fillId="24" borderId="11" xfId="0" applyFont="1" applyFill="1" applyBorder="1" applyAlignment="1">
      <alignment horizontal="center" vertical="center" wrapText="1" readingOrder="2"/>
    </xf>
    <xf numFmtId="0" fontId="28" fillId="15" borderId="11" xfId="0" applyFont="1" applyFill="1" applyBorder="1" applyAlignment="1">
      <alignment horizontal="center" vertical="center" wrapText="1" readingOrder="2"/>
    </xf>
    <xf numFmtId="0" fontId="21" fillId="15" borderId="11" xfId="0" applyFont="1" applyFill="1" applyBorder="1" applyAlignment="1">
      <alignment horizontal="center" vertical="center" wrapText="1" readingOrder="2"/>
    </xf>
    <xf numFmtId="0" fontId="21" fillId="12" borderId="11" xfId="0" applyFont="1" applyFill="1" applyBorder="1" applyAlignment="1">
      <alignment horizontal="center" vertical="center" wrapText="1" readingOrder="2"/>
    </xf>
    <xf numFmtId="0" fontId="28" fillId="12" borderId="11" xfId="0" applyFont="1" applyFill="1" applyBorder="1" applyAlignment="1">
      <alignment horizontal="center" vertical="center" wrapText="1" readingOrder="2"/>
    </xf>
    <xf numFmtId="0" fontId="21" fillId="12" borderId="11" xfId="0" applyFont="1" applyFill="1" applyBorder="1" applyAlignment="1">
      <alignment horizontal="right" vertical="center" wrapText="1" readingOrder="2"/>
    </xf>
    <xf numFmtId="0" fontId="21" fillId="20" borderId="11" xfId="0" applyFont="1" applyFill="1" applyBorder="1" applyAlignment="1">
      <alignment horizontal="center" vertical="center" wrapText="1" readingOrder="2"/>
    </xf>
    <xf numFmtId="0" fontId="28" fillId="20" borderId="11" xfId="0" applyFont="1" applyFill="1" applyBorder="1" applyAlignment="1">
      <alignment horizontal="center" vertical="center" wrapText="1" readingOrder="2"/>
    </xf>
    <xf numFmtId="174" fontId="29" fillId="21" borderId="11" xfId="0" applyNumberFormat="1" applyFont="1" applyFill="1" applyBorder="1" applyAlignment="1">
      <alignment horizontal="center" vertical="center" wrapText="1" readingOrder="2"/>
    </xf>
    <xf numFmtId="0" fontId="31" fillId="12" borderId="11" xfId="0" applyFont="1" applyFill="1" applyBorder="1" applyAlignment="1">
      <alignment horizontal="right" vertical="center" wrapText="1" readingOrder="2"/>
    </xf>
    <xf numFmtId="164" fontId="29" fillId="21" borderId="11" xfId="0" applyNumberFormat="1" applyFont="1" applyFill="1" applyBorder="1" applyAlignment="1">
      <alignment horizontal="center" vertical="center" wrapText="1" readingOrder="2"/>
    </xf>
    <xf numFmtId="0" fontId="29" fillId="21" borderId="11" xfId="0" applyFont="1" applyFill="1" applyBorder="1" applyAlignment="1">
      <alignment horizontal="center" vertical="center" wrapText="1" readingOrder="2"/>
    </xf>
    <xf numFmtId="174" fontId="29" fillId="12" borderId="11" xfId="0" applyNumberFormat="1" applyFont="1" applyFill="1" applyBorder="1" applyAlignment="1">
      <alignment horizontal="center" vertical="center" wrapText="1" readingOrder="2"/>
    </xf>
    <xf numFmtId="174" fontId="29" fillId="24" borderId="11" xfId="0" applyNumberFormat="1" applyFont="1" applyFill="1" applyBorder="1" applyAlignment="1">
      <alignment horizontal="center" vertical="center" wrapText="1" readingOrder="2"/>
    </xf>
    <xf numFmtId="0" fontId="29" fillId="12" borderId="11" xfId="0" applyFont="1" applyFill="1" applyBorder="1" applyAlignment="1">
      <alignment horizontal="center" vertical="center" wrapText="1" readingOrder="2"/>
    </xf>
    <xf numFmtId="0" fontId="31" fillId="21" borderId="11" xfId="0" applyFont="1" applyFill="1" applyBorder="1" applyAlignment="1">
      <alignment horizontal="center" vertical="center" wrapText="1" readingOrder="2"/>
    </xf>
    <xf numFmtId="0" fontId="38" fillId="12" borderId="11" xfId="0" applyFont="1" applyFill="1" applyBorder="1" applyAlignment="1">
      <alignment horizontal="center" vertical="center" wrapText="1" readingOrder="2"/>
    </xf>
    <xf numFmtId="164" fontId="38" fillId="12" borderId="11" xfId="0" applyNumberFormat="1" applyFont="1" applyFill="1" applyBorder="1" applyAlignment="1">
      <alignment horizontal="center" vertical="center" wrapText="1" readingOrder="2"/>
    </xf>
    <xf numFmtId="3" fontId="38" fillId="12" borderId="11" xfId="0" applyNumberFormat="1" applyFont="1" applyFill="1" applyBorder="1" applyAlignment="1">
      <alignment horizontal="center" vertical="center" wrapText="1" readingOrder="2"/>
    </xf>
    <xf numFmtId="0" fontId="7" fillId="12" borderId="11" xfId="0" applyFont="1" applyFill="1" applyBorder="1" applyAlignment="1">
      <alignment horizontal="right" vertical="center" wrapText="1" readingOrder="2"/>
    </xf>
    <xf numFmtId="0" fontId="0" fillId="0" borderId="22" xfId="0" applyBorder="1"/>
    <xf numFmtId="0" fontId="0" fillId="0" borderId="20" xfId="0" applyBorder="1"/>
    <xf numFmtId="0" fontId="9" fillId="14" borderId="12" xfId="0" applyFont="1" applyFill="1" applyBorder="1" applyAlignment="1">
      <alignment horizontal="right" vertical="center" wrapText="1" readingOrder="2"/>
    </xf>
    <xf numFmtId="0" fontId="0" fillId="0" borderId="16" xfId="0" applyBorder="1"/>
    <xf numFmtId="0" fontId="0" fillId="0" borderId="17" xfId="0" applyBorder="1"/>
    <xf numFmtId="0" fontId="22" fillId="13" borderId="10" xfId="0" applyFont="1" applyFill="1" applyBorder="1" applyAlignment="1">
      <alignment horizontal="center" vertical="center" wrapText="1" readingOrder="2"/>
    </xf>
    <xf numFmtId="0" fontId="0" fillId="0" borderId="15" xfId="0" applyBorder="1"/>
    <xf numFmtId="0" fontId="6" fillId="11" borderId="26" xfId="0" applyFont="1" applyFill="1" applyBorder="1" applyAlignment="1">
      <alignment horizontal="center" vertical="center" wrapText="1" readingOrder="2"/>
    </xf>
    <xf numFmtId="0" fontId="16" fillId="20" borderId="0" xfId="0" applyFont="1" applyFill="1" applyAlignment="1">
      <alignment horizontal="center" vertical="center" wrapText="1" readingOrder="2"/>
    </xf>
    <xf numFmtId="0" fontId="0" fillId="0" borderId="0" xfId="0"/>
    <xf numFmtId="0" fontId="15" fillId="11" borderId="10" xfId="0" applyFont="1" applyFill="1" applyBorder="1" applyAlignment="1">
      <alignment horizontal="center" vertical="center" wrapText="1" readingOrder="2"/>
    </xf>
    <xf numFmtId="174" fontId="21" fillId="12" borderId="11" xfId="0" applyNumberFormat="1" applyFont="1" applyFill="1" applyBorder="1" applyAlignment="1">
      <alignment horizontal="center" vertical="center" wrapText="1" readingOrder="2"/>
    </xf>
    <xf numFmtId="174" fontId="21" fillId="21" borderId="11" xfId="0" applyNumberFormat="1" applyFont="1" applyFill="1" applyBorder="1" applyAlignment="1">
      <alignment horizontal="center" vertical="center" wrapText="1" readingOrder="2"/>
    </xf>
    <xf numFmtId="0" fontId="20" fillId="13" borderId="11" xfId="0" applyFont="1" applyFill="1" applyBorder="1" applyAlignment="1">
      <alignment horizontal="center" vertical="center" wrapText="1" readingOrder="2"/>
    </xf>
    <xf numFmtId="164" fontId="21" fillId="21" borderId="11" xfId="0" applyNumberFormat="1" applyFont="1" applyFill="1" applyBorder="1" applyAlignment="1">
      <alignment horizontal="center" vertical="center" wrapText="1" readingOrder="2"/>
    </xf>
    <xf numFmtId="164" fontId="21" fillId="12" borderId="11" xfId="0" applyNumberFormat="1" applyFont="1" applyFill="1" applyBorder="1" applyAlignment="1">
      <alignment horizontal="center" vertical="center" wrapText="1" readingOrder="2"/>
    </xf>
    <xf numFmtId="0" fontId="20" fillId="19" borderId="11" xfId="0" applyFont="1" applyFill="1" applyBorder="1" applyAlignment="1">
      <alignment horizontal="center" vertical="center" wrapText="1" readingOrder="2"/>
    </xf>
    <xf numFmtId="0" fontId="17" fillId="17" borderId="0" xfId="0" applyFont="1" applyFill="1" applyAlignment="1">
      <alignment horizontal="center" vertical="center" wrapText="1" readingOrder="2"/>
    </xf>
    <xf numFmtId="0" fontId="20" fillId="18" borderId="11" xfId="0" applyFont="1" applyFill="1" applyBorder="1" applyAlignment="1">
      <alignment horizontal="center" vertical="center" wrapText="1" readingOrder="2"/>
    </xf>
    <xf numFmtId="0" fontId="17" fillId="21" borderId="21" xfId="0" applyFont="1" applyFill="1" applyBorder="1" applyAlignment="1">
      <alignment horizontal="center" vertical="center" wrapText="1" readingOrder="2"/>
    </xf>
    <xf numFmtId="0" fontId="0" fillId="0" borderId="23" xfId="0" applyBorder="1"/>
    <xf numFmtId="0" fontId="0" fillId="0" borderId="24" xfId="0" applyBorder="1"/>
    <xf numFmtId="0" fontId="19" fillId="13" borderId="0" xfId="0" applyFont="1" applyFill="1" applyAlignment="1">
      <alignment horizontal="center" vertical="center" wrapText="1" readingOrder="2"/>
    </xf>
    <xf numFmtId="0" fontId="20" fillId="17" borderId="11" xfId="0" applyFont="1" applyFill="1" applyBorder="1" applyAlignment="1">
      <alignment horizontal="center" vertical="center" wrapText="1" readingOrder="2"/>
    </xf>
    <xf numFmtId="0" fontId="20" fillId="22" borderId="11" xfId="0" applyFont="1" applyFill="1" applyBorder="1" applyAlignment="1">
      <alignment horizontal="center" vertical="center" wrapText="1" readingOrder="2"/>
    </xf>
    <xf numFmtId="0" fontId="37" fillId="16" borderId="25" xfId="0" applyFont="1" applyFill="1" applyBorder="1" applyAlignment="1">
      <alignment horizontal="center" vertical="center" wrapText="1" readingOrder="2"/>
    </xf>
    <xf numFmtId="0" fontId="0" fillId="0" borderId="27" xfId="0" applyBorder="1"/>
    <xf numFmtId="0" fontId="0" fillId="0" borderId="28" xfId="0" applyBorder="1"/>
    <xf numFmtId="168" fontId="18" fillId="17" borderId="0" xfId="0" applyNumberFormat="1" applyFont="1" applyFill="1" applyAlignment="1">
      <alignment horizontal="center" vertical="center" wrapText="1" readingOrder="2"/>
    </xf>
    <xf numFmtId="0" fontId="20" fillId="16" borderId="11" xfId="0" applyFont="1" applyFill="1" applyBorder="1" applyAlignment="1">
      <alignment horizontal="center" vertical="center" wrapText="1" readingOrder="2"/>
    </xf>
    <xf numFmtId="0" fontId="20" fillId="14" borderId="11" xfId="0" applyFont="1" applyFill="1" applyBorder="1" applyAlignment="1">
      <alignment horizontal="center" vertical="center" wrapText="1" readingOrder="2"/>
    </xf>
    <xf numFmtId="175" fontId="17" fillId="21" borderId="21" xfId="0" applyNumberFormat="1" applyFont="1" applyFill="1" applyBorder="1" applyAlignment="1">
      <alignment horizontal="center" vertical="center" wrapText="1" readingOrder="2"/>
    </xf>
    <xf numFmtId="0" fontId="24" fillId="14" borderId="0" xfId="0" applyFont="1" applyFill="1" applyAlignment="1">
      <alignment horizontal="center" vertical="center" wrapText="1" readingOrder="2"/>
    </xf>
    <xf numFmtId="174" fontId="17" fillId="21" borderId="21" xfId="0" applyNumberFormat="1" applyFont="1" applyFill="1" applyBorder="1" applyAlignment="1">
      <alignment horizontal="center" vertical="center" wrapText="1" readingOrder="2"/>
    </xf>
    <xf numFmtId="0" fontId="37" fillId="22" borderId="11" xfId="0" applyFont="1" applyFill="1" applyBorder="1" applyAlignment="1">
      <alignment horizontal="center" vertical="center" wrapText="1" readingOrder="2"/>
    </xf>
    <xf numFmtId="0" fontId="7" fillId="12" borderId="11" xfId="0" applyFont="1" applyFill="1" applyBorder="1" applyAlignment="1">
      <alignment horizontal="center" vertical="center" wrapText="1" readingOrder="2"/>
    </xf>
    <xf numFmtId="0" fontId="37" fillId="18" borderId="11" xfId="0" applyFont="1" applyFill="1" applyBorder="1" applyAlignment="1">
      <alignment horizontal="center" vertical="center" wrapText="1" readingOrder="2"/>
    </xf>
    <xf numFmtId="0" fontId="37" fillId="14" borderId="11" xfId="0" applyFont="1" applyFill="1" applyBorder="1" applyAlignment="1">
      <alignment horizontal="center" vertical="center" wrapText="1" readingOrder="2"/>
    </xf>
    <xf numFmtId="0" fontId="37" fillId="19" borderId="11" xfId="0" applyFont="1" applyFill="1" applyBorder="1" applyAlignment="1">
      <alignment horizontal="center" vertical="center" wrapText="1" readingOrder="2"/>
    </xf>
    <xf numFmtId="0" fontId="37" fillId="17" borderId="11" xfId="0" applyFont="1" applyFill="1" applyBorder="1" applyAlignment="1">
      <alignment horizontal="center" vertical="center" wrapText="1" readingOrder="2"/>
    </xf>
    <xf numFmtId="0" fontId="37" fillId="13" borderId="11" xfId="0" applyFont="1" applyFill="1" applyBorder="1" applyAlignment="1">
      <alignment horizontal="center" vertical="center" wrapText="1" readingOrder="2"/>
    </xf>
    <xf numFmtId="0" fontId="37" fillId="16" borderId="11" xfId="0" applyFont="1" applyFill="1" applyBorder="1" applyAlignment="1">
      <alignment horizontal="center" vertical="center" wrapText="1" readingOrder="2"/>
    </xf>
    <xf numFmtId="0" fontId="30" fillId="11" borderId="10" xfId="0" applyFont="1" applyFill="1" applyBorder="1" applyAlignment="1">
      <alignment horizontal="center" vertical="center" wrapText="1" readingOrder="2"/>
    </xf>
    <xf numFmtId="0" fontId="6" fillId="11" borderId="29" xfId="0" applyFont="1" applyFill="1" applyBorder="1" applyAlignment="1">
      <alignment horizontal="center" vertical="center" wrapText="1" readingOrder="2"/>
    </xf>
    <xf numFmtId="0" fontId="0" fillId="0" borderId="30" xfId="0" applyBorder="1"/>
    <xf numFmtId="0" fontId="2" fillId="2" borderId="1" xfId="0" applyFont="1" applyFill="1" applyBorder="1" applyAlignment="1">
      <alignment horizontal="right" vertical="center"/>
    </xf>
    <xf numFmtId="0" fontId="0" fillId="0" borderId="2" xfId="0" applyBorder="1"/>
    <xf numFmtId="0" fontId="0" fillId="0" borderId="3" xfId="0" applyBorder="1"/>
    <xf numFmtId="0" fontId="0" fillId="0" borderId="18" xfId="0" applyBorder="1"/>
    <xf numFmtId="0" fontId="0" fillId="0" borderId="19" xfId="0" applyBorder="1"/>
    <xf numFmtId="0" fontId="0" fillId="0" borderId="33" xfId="0" applyBorder="1"/>
    <xf numFmtId="0" fontId="0" fillId="0" borderId="34" xfId="0" applyBorder="1"/>
    <xf numFmtId="0" fontId="0" fillId="0" borderId="35" xfId="0" applyBorder="1"/>
    <xf numFmtId="0" fontId="0" fillId="0" borderId="31" xfId="0" applyBorder="1"/>
    <xf numFmtId="0" fontId="0" fillId="0" borderId="32" xfId="0" applyBorder="1"/>
    <xf numFmtId="0" fontId="24" fillId="16" borderId="0" xfId="0" applyFont="1" applyFill="1" applyAlignment="1">
      <alignment horizontal="center" vertical="center" wrapText="1" readingOrder="2"/>
    </xf>
    <xf numFmtId="164" fontId="17" fillId="12" borderId="21" xfId="0" applyNumberFormat="1" applyFont="1" applyFill="1" applyBorder="1" applyAlignment="1">
      <alignment horizontal="center" vertical="center" wrapText="1" readingOrder="2"/>
    </xf>
    <xf numFmtId="0" fontId="25" fillId="20" borderId="11" xfId="0" applyFont="1" applyFill="1" applyBorder="1" applyAlignment="1">
      <alignment horizontal="right" vertical="center" wrapText="1" readingOrder="2"/>
    </xf>
    <xf numFmtId="176" fontId="17" fillId="12" borderId="21" xfId="0" applyNumberFormat="1" applyFont="1" applyFill="1" applyBorder="1" applyAlignment="1">
      <alignment horizontal="center" vertical="center" wrapText="1" readingOrder="2"/>
    </xf>
    <xf numFmtId="0" fontId="36" fillId="21" borderId="21" xfId="0" applyFont="1" applyFill="1" applyBorder="1" applyAlignment="1">
      <alignment horizontal="right" vertical="center" wrapText="1" readingOrder="2"/>
    </xf>
    <xf numFmtId="0" fontId="25" fillId="12" borderId="11" xfId="0" applyFont="1" applyFill="1" applyBorder="1" applyAlignment="1">
      <alignment horizontal="right" vertical="center" wrapText="1" readingOrder="2"/>
    </xf>
    <xf numFmtId="0" fontId="24" fillId="17" borderId="0" xfId="0" applyFont="1" applyFill="1" applyAlignment="1">
      <alignment horizontal="center" vertical="center" wrapText="1" readingOrder="2"/>
    </xf>
    <xf numFmtId="0" fontId="35" fillId="13" borderId="10" xfId="0" applyFont="1" applyFill="1" applyBorder="1" applyAlignment="1">
      <alignment horizontal="center" vertical="center" wrapText="1" readingOrder="2"/>
    </xf>
    <xf numFmtId="0" fontId="28" fillId="15" borderId="11" xfId="0" applyFont="1" applyFill="1" applyBorder="1" applyAlignment="1">
      <alignment horizontal="right" vertical="center" wrapText="1" readingOrder="2"/>
    </xf>
    <xf numFmtId="0" fontId="22" fillId="11" borderId="0" xfId="0" applyFont="1" applyFill="1" applyAlignment="1">
      <alignment horizontal="center" vertical="center" wrapText="1" readingOrder="2"/>
    </xf>
    <xf numFmtId="0" fontId="10" fillId="15" borderId="11" xfId="0" applyFont="1" applyFill="1" applyBorder="1" applyAlignment="1">
      <alignment horizontal="right" vertical="center" wrapText="1" readingOrder="2"/>
    </xf>
    <xf numFmtId="164" fontId="32" fillId="21" borderId="21" xfId="0" applyNumberFormat="1" applyFont="1" applyFill="1" applyBorder="1" applyAlignment="1">
      <alignment horizontal="center" vertical="center" wrapText="1" readingOrder="2"/>
    </xf>
    <xf numFmtId="0" fontId="29" fillId="15" borderId="11" xfId="0" applyFont="1" applyFill="1" applyBorder="1" applyAlignment="1">
      <alignment horizontal="right" vertical="center" wrapText="1" readingOrder="2"/>
    </xf>
    <xf numFmtId="174" fontId="32" fillId="21" borderId="21" xfId="0" applyNumberFormat="1" applyFont="1" applyFill="1" applyBorder="1" applyAlignment="1">
      <alignment horizontal="center" vertical="center" wrapText="1" readingOrder="2"/>
    </xf>
    <xf numFmtId="0" fontId="34" fillId="16" borderId="10" xfId="0" applyFont="1" applyFill="1" applyBorder="1" applyAlignment="1">
      <alignment horizontal="center" vertical="center" wrapText="1" readingOrder="2"/>
    </xf>
    <xf numFmtId="177" fontId="32" fillId="21" borderId="21" xfId="0" applyNumberFormat="1" applyFont="1" applyFill="1" applyBorder="1" applyAlignment="1">
      <alignment horizontal="center" vertical="center" wrapText="1" readingOrder="2"/>
    </xf>
    <xf numFmtId="175" fontId="32" fillId="21" borderId="21" xfId="0" applyNumberFormat="1" applyFont="1" applyFill="1" applyBorder="1" applyAlignment="1">
      <alignment horizontal="center" vertical="center" wrapText="1" readingOrder="2"/>
    </xf>
    <xf numFmtId="0" fontId="21" fillId="21" borderId="11" xfId="0" applyFont="1" applyFill="1" applyBorder="1" applyAlignment="1">
      <alignment horizontal="center" vertical="center" wrapText="1" readingOrder="2"/>
    </xf>
    <xf numFmtId="0" fontId="32" fillId="17" borderId="21" xfId="0" applyFont="1" applyFill="1" applyBorder="1" applyAlignment="1">
      <alignment horizontal="center" vertical="center" wrapText="1" readingOrder="2"/>
    </xf>
    <xf numFmtId="0" fontId="23" fillId="16" borderId="10" xfId="0" applyFont="1" applyFill="1" applyBorder="1" applyAlignment="1">
      <alignment horizontal="center" vertical="center" wrapText="1" readingOrder="2"/>
    </xf>
    <xf numFmtId="0" fontId="9" fillId="13" borderId="11" xfId="0" applyFont="1" applyFill="1" applyBorder="1" applyAlignment="1">
      <alignment horizontal="center" vertical="center" wrapText="1" readingOrder="2"/>
    </xf>
    <xf numFmtId="0" fontId="24" fillId="13" borderId="0" xfId="0" applyFont="1" applyFill="1" applyAlignment="1">
      <alignment horizontal="center" vertical="center" wrapText="1" readingOrder="2"/>
    </xf>
    <xf numFmtId="0" fontId="23" fillId="19" borderId="10" xfId="0" applyFont="1" applyFill="1" applyBorder="1" applyAlignment="1">
      <alignment horizontal="center" vertical="center" wrapText="1" readingOrder="2"/>
    </xf>
    <xf numFmtId="0" fontId="24" fillId="19" borderId="0" xfId="0" applyFont="1" applyFill="1" applyAlignment="1">
      <alignment horizontal="center" vertical="center" wrapText="1" readingOrder="2"/>
    </xf>
    <xf numFmtId="0" fontId="15" fillId="13" borderId="10" xfId="0" applyFont="1" applyFill="1" applyBorder="1" applyAlignment="1">
      <alignment horizontal="center" vertical="center" wrapText="1" readingOrder="2"/>
    </xf>
    <xf numFmtId="0" fontId="13" fillId="11" borderId="12" xfId="0" applyFont="1" applyFill="1" applyBorder="1" applyAlignment="1">
      <alignment horizontal="center" vertical="center" wrapText="1" readingOrder="2"/>
    </xf>
    <xf numFmtId="3" fontId="8" fillId="13" borderId="11" xfId="0" applyNumberFormat="1" applyFont="1" applyFill="1" applyBorder="1" applyAlignment="1">
      <alignment horizontal="center" vertical="center" wrapText="1" readingOrder="2"/>
    </xf>
    <xf numFmtId="0" fontId="0" fillId="0" borderId="36" xfId="0" applyBorder="1"/>
    <xf numFmtId="0" fontId="14" fillId="16" borderId="11" xfId="0" applyFont="1" applyFill="1" applyBorder="1" applyAlignment="1">
      <alignment horizontal="center" vertical="center" wrapText="1" readingOrder="2"/>
    </xf>
    <xf numFmtId="0" fontId="8" fillId="13" borderId="11" xfId="0" applyFont="1" applyFill="1" applyBorder="1" applyAlignment="1">
      <alignment horizontal="center" vertical="center" wrapText="1" readingOrder="2"/>
    </xf>
    <xf numFmtId="0" fontId="6" fillId="11" borderId="10" xfId="0" applyFont="1" applyFill="1" applyBorder="1" applyAlignment="1">
      <alignment horizontal="center" vertical="center" wrapText="1" readingOrder="2"/>
    </xf>
    <xf numFmtId="0" fontId="21" fillId="24" borderId="11" xfId="0" applyFont="1" applyFill="1" applyBorder="1" applyAlignment="1">
      <alignment horizontal="right" vertical="center" wrapText="1" readingOrder="2"/>
    </xf>
    <xf numFmtId="0" fontId="21" fillId="15" borderId="11" xfId="0" applyFont="1" applyFill="1" applyBorder="1" applyAlignment="1">
      <alignment horizontal="right" vertical="center" wrapText="1" readingOrder="2"/>
    </xf>
    <xf numFmtId="0" fontId="21" fillId="25" borderId="11" xfId="0" applyFont="1" applyFill="1" applyBorder="1" applyAlignment="1">
      <alignment horizontal="right" vertical="center" wrapText="1" readingOrder="2"/>
    </xf>
    <xf numFmtId="0" fontId="21" fillId="21" borderId="11" xfId="0" applyFont="1" applyFill="1" applyBorder="1" applyAlignment="1">
      <alignment horizontal="right" vertical="center" wrapText="1" readingOrder="2"/>
    </xf>
    <xf numFmtId="0" fontId="14" fillId="18" borderId="11" xfId="0" applyFont="1" applyFill="1" applyBorder="1" applyAlignment="1">
      <alignment horizontal="center" vertical="center" wrapText="1" readingOrder="2"/>
    </xf>
    <xf numFmtId="0" fontId="24" fillId="17" borderId="12" xfId="0" applyFont="1" applyFill="1" applyBorder="1" applyAlignment="1">
      <alignment horizontal="center" vertical="center" wrapText="1" readingOrder="2"/>
    </xf>
    <xf numFmtId="0" fontId="14" fillId="22" borderId="11" xfId="0" applyFont="1" applyFill="1" applyBorder="1" applyAlignment="1">
      <alignment horizontal="center" vertical="center" wrapText="1" readingOrder="2"/>
    </xf>
    <xf numFmtId="0" fontId="14" fillId="19" borderId="11" xfId="0" applyFont="1" applyFill="1" applyBorder="1" applyAlignment="1">
      <alignment horizontal="center" vertical="center" wrapText="1" readingOrder="2"/>
    </xf>
    <xf numFmtId="0" fontId="29" fillId="21" borderId="21" xfId="0" applyFont="1" applyFill="1" applyBorder="1" applyAlignment="1">
      <alignment horizontal="right" vertical="center" wrapText="1" readingOrder="2"/>
    </xf>
    <xf numFmtId="0" fontId="28" fillId="12" borderId="11" xfId="0" applyFont="1" applyFill="1" applyBorder="1" applyAlignment="1">
      <alignment horizontal="center" vertical="center" wrapText="1" readingOrder="2"/>
    </xf>
    <xf numFmtId="0" fontId="21" fillId="20" borderId="11" xfId="0" applyFont="1" applyFill="1" applyBorder="1" applyAlignment="1">
      <alignment horizontal="right" vertical="center" wrapText="1" readingOrder="2"/>
    </xf>
    <xf numFmtId="0" fontId="12" fillId="18" borderId="10" xfId="0" applyFont="1" applyFill="1" applyBorder="1" applyAlignment="1">
      <alignment horizontal="center" vertical="center" wrapText="1" readingOrder="2"/>
    </xf>
    <xf numFmtId="0" fontId="21" fillId="12" borderId="11" xfId="0" applyFont="1" applyFill="1" applyBorder="1" applyAlignment="1">
      <alignment horizontal="right" vertical="center" wrapText="1" readingOrder="2"/>
    </xf>
    <xf numFmtId="0" fontId="28" fillId="20" borderId="11" xfId="0" applyFont="1" applyFill="1" applyBorder="1" applyAlignment="1">
      <alignment horizontal="center" vertical="center" wrapText="1" readingOrder="2"/>
    </xf>
    <xf numFmtId="0" fontId="26" fillId="20" borderId="0" xfId="0" applyFont="1" applyFill="1" applyAlignment="1">
      <alignment horizontal="center" vertical="center" wrapText="1" readingOrder="2"/>
    </xf>
    <xf numFmtId="0" fontId="27" fillId="11" borderId="0" xfId="0" applyFont="1" applyFill="1" applyAlignment="1">
      <alignment horizontal="center" vertical="center" wrapText="1" readingOrder="2"/>
    </xf>
    <xf numFmtId="0" fontId="12" fillId="16" borderId="10" xfId="0" applyFont="1" applyFill="1" applyBorder="1" applyAlignment="1">
      <alignment horizontal="center" vertical="center" wrapText="1" readingOrder="2"/>
    </xf>
    <xf numFmtId="0" fontId="12" fillId="17" borderId="10" xfId="0" applyFont="1" applyFill="1" applyBorder="1" applyAlignment="1">
      <alignment horizontal="center" vertical="center" wrapText="1" readingOrder="2"/>
    </xf>
    <xf numFmtId="0" fontId="12" fillId="19" borderId="10" xfId="0" applyFont="1" applyFill="1" applyBorder="1" applyAlignment="1">
      <alignment horizontal="center" vertical="center" wrapText="1" readingOrder="2"/>
    </xf>
    <xf numFmtId="0" fontId="12" fillId="22" borderId="10" xfId="0" applyFont="1" applyFill="1" applyBorder="1" applyAlignment="1">
      <alignment horizontal="center" vertical="center" wrapText="1" readingOrder="2"/>
    </xf>
    <xf numFmtId="0" fontId="12" fillId="13" borderId="10" xfId="0" applyFont="1" applyFill="1" applyBorder="1" applyAlignment="1">
      <alignment horizontal="center" vertical="center" wrapText="1" readingOrder="2"/>
    </xf>
    <xf numFmtId="0" fontId="12" fillId="11" borderId="10" xfId="0" applyFont="1" applyFill="1" applyBorder="1" applyAlignment="1">
      <alignment horizontal="center" vertical="center" wrapText="1" readingOrder="2"/>
    </xf>
    <xf numFmtId="0" fontId="12" fillId="23" borderId="10" xfId="0" applyFont="1" applyFill="1" applyBorder="1" applyAlignment="1">
      <alignment horizontal="center" vertical="center" wrapText="1" readingOrder="2"/>
    </xf>
    <xf numFmtId="0" fontId="31" fillId="12" borderId="11" xfId="0" applyFont="1" applyFill="1" applyBorder="1" applyAlignment="1">
      <alignment horizontal="right" vertical="center" wrapText="1" readingOrder="2"/>
    </xf>
    <xf numFmtId="0" fontId="32" fillId="21" borderId="21" xfId="0" applyFont="1" applyFill="1" applyBorder="1" applyAlignment="1">
      <alignment horizontal="center" vertical="center" wrapText="1" readingOrder="2"/>
    </xf>
  </cellXfs>
  <cellStyles count="1">
    <cellStyle name="Normal" xfId="0" builtinId="0"/>
  </cellStyles>
  <dxfs count="9">
    <dxf>
      <font>
        <b/>
        <color rgb="FFFFFFFF"/>
      </font>
      <fill>
        <patternFill patternType="solid">
          <fgColor rgb="FF6B1515"/>
        </patternFill>
      </fill>
    </dxf>
    <dxf>
      <font>
        <b/>
        <color rgb="FFFFFFFF"/>
      </font>
      <fill>
        <patternFill patternType="solid">
          <fgColor rgb="FF0A5E36"/>
        </patternFill>
      </fill>
    </dxf>
    <dxf>
      <font>
        <b/>
        <color rgb="FFFFFFFF"/>
      </font>
      <fill>
        <patternFill patternType="solid">
          <fgColor rgb="FF6B1515"/>
        </patternFill>
      </fill>
    </dxf>
    <dxf>
      <font>
        <b/>
        <color rgb="FFFFFFFF"/>
      </font>
      <fill>
        <patternFill patternType="solid">
          <fgColor rgb="FF0A5E36"/>
        </patternFill>
      </fill>
    </dxf>
    <dxf>
      <font>
        <b/>
        <color rgb="FFFFFFFF"/>
      </font>
      <fill>
        <patternFill patternType="solid">
          <fgColor rgb="FF0A5E36"/>
        </patternFill>
      </fill>
    </dxf>
    <dxf>
      <font>
        <b/>
        <color rgb="FFFFFFFF"/>
      </font>
      <fill>
        <patternFill patternType="solid">
          <fgColor rgb="FF6B1515"/>
        </patternFill>
      </fill>
    </dxf>
    <dxf>
      <font>
        <b/>
        <sz val="12"/>
        <color rgb="FFFFFFFF"/>
      </font>
      <fill>
        <patternFill patternType="solid">
          <fgColor rgb="FF6B1515"/>
        </patternFill>
      </fill>
    </dxf>
    <dxf>
      <font>
        <b/>
        <sz val="12"/>
        <color rgb="FFFFFFFF"/>
      </font>
      <fill>
        <patternFill patternType="solid">
          <fgColor rgb="FF7B5E00"/>
        </patternFill>
      </fill>
    </dxf>
    <dxf>
      <font>
        <b/>
        <sz val="12"/>
        <color rgb="FFFFFFFF"/>
      </font>
      <fill>
        <patternFill patternType="solid">
          <fgColor rgb="FF0A5E36"/>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styles" Target="styles.xml"/><Relationship Id="rId50"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sharedStrings" Target="sharedStrings.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theme" Target="theme/theme1.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a:lstStyle/>
          <a:p>
            <a:pPr>
              <a:defRPr sz="1400" b="1">
                <a:solidFill>
                  <a:srgbClr val="0B1437"/>
                </a:solidFill>
                <a:latin typeface="Cairo"/>
                <a:cs typeface="Cairo"/>
              </a:defRPr>
            </a:pPr>
            <a:r>
              <a:rPr sz="1400" b="1">
                <a:solidFill>
                  <a:srgbClr val="0B1437"/>
                </a:solidFill>
                <a:latin typeface="Cairo"/>
                <a:cs typeface="Cairo"/>
              </a:rPr>
              <a:t>مقارنات الإيجار السنوي (EGP/م²)</a:t>
            </a:r>
          </a:p>
        </c:rich>
      </c:tx>
      <c:overlay val="0"/>
    </c:title>
    <c:autoTitleDeleted val="0"/>
    <c:plotArea>
      <c:layout/>
      <c:barChart>
        <c:barDir val="col"/>
        <c:grouping val="clustered"/>
        <c:varyColors val="1"/>
        <c:ser>
          <c:idx val="0"/>
          <c:order val="0"/>
          <c:spPr>
            <a:solidFill>
              <a:srgbClr val="12224F"/>
            </a:solidFill>
            <a:ln w="15000">
              <a:solidFill>
                <a:srgbClr val="12224F"/>
              </a:solidFill>
              <a:prstDash val="solid"/>
            </a:ln>
          </c:spPr>
          <c:invertIfNegative val="1"/>
          <c:val>
            <c:numRef>
              <c:f>'المقارنات الإيجارية'!$B$9:$G$9</c:f>
              <c:numCache>
                <c:formatCode>#,##0.00</c:formatCode>
                <c:ptCount val="6"/>
                <c:pt idx="0" formatCode="General">
                  <c:v>380</c:v>
                </c:pt>
                <c:pt idx="1">
                  <c:v>350</c:v>
                </c:pt>
                <c:pt idx="2">
                  <c:v>320</c:v>
                </c:pt>
                <c:pt idx="3">
                  <c:v>380</c:v>
                </c:pt>
                <c:pt idx="4">
                  <c:v>340</c:v>
                </c:pt>
                <c:pt idx="5">
                  <c:v>300</c:v>
                </c:pt>
              </c:numCache>
            </c:numRef>
          </c:val>
          <c:extLst>
            <c:ext xmlns:c14="http://schemas.microsoft.com/office/drawing/2007/8/2/chart" uri="{6F2FDCE9-48DA-4B69-8628-5D25D57E5C99}">
              <c14:invertSolidFillFmt>
                <c14:spPr xmlns:c14="http://schemas.microsoft.com/office/drawing/2007/8/2/chart">
                  <a:solidFill>
                    <a:srgbClr val="FFFFFF"/>
                  </a:solidFill>
                  <a:ln w="15000">
                    <a:solidFill>
                      <a:srgbClr val="12224F"/>
                    </a:solidFill>
                    <a:prstDash val="solid"/>
                  </a:ln>
                </c14:spPr>
              </c14:invertSolidFillFmt>
            </c:ext>
            <c:ext xmlns:c16="http://schemas.microsoft.com/office/drawing/2014/chart" uri="{C3380CC4-5D6E-409C-BE32-E72D297353CC}">
              <c16:uniqueId val="{00000000-5305-48D7-8D45-8BF3E3ECFB65}"/>
            </c:ext>
          </c:extLst>
        </c:ser>
        <c:dLbls>
          <c:showLegendKey val="0"/>
          <c:showVal val="0"/>
          <c:showCatName val="0"/>
          <c:showSerName val="0"/>
          <c:showPercent val="0"/>
          <c:showBubbleSize val="0"/>
        </c:dLbls>
        <c:gapWidth val="150"/>
        <c:axId val="10"/>
        <c:axId val="100"/>
      </c:barChart>
      <c:catAx>
        <c:axId val="10"/>
        <c:scaling>
          <c:orientation val="minMax"/>
        </c:scaling>
        <c:delete val="1"/>
        <c:axPos val="b"/>
        <c:majorTickMark val="none"/>
        <c:minorTickMark val="none"/>
        <c:tickLblPos val="nextTo"/>
        <c:crossAx val="100"/>
        <c:crosses val="autoZero"/>
        <c:auto val="1"/>
        <c:lblAlgn val="ctr"/>
        <c:lblOffset val="100"/>
        <c:noMultiLvlLbl val="1"/>
      </c:catAx>
      <c:valAx>
        <c:axId val="100"/>
        <c:scaling>
          <c:orientation val="minMax"/>
        </c:scaling>
        <c:delete val="1"/>
        <c:axPos val="l"/>
        <c:majorGridlines/>
        <c:numFmt formatCode="General" sourceLinked="1"/>
        <c:majorTickMark val="none"/>
        <c:minorTickMark val="none"/>
        <c:tickLblPos val="nextTo"/>
        <c:crossAx val="10"/>
        <c:crosses val="autoZero"/>
        <c:crossBetween val="between"/>
      </c:valAx>
    </c:plotArea>
    <c:legend>
      <c:legendPos val="b"/>
      <c:overlay val="0"/>
      <c:txPr>
        <a:bodyPr/>
        <a:lstStyle/>
        <a:p>
          <a:pPr>
            <a:defRPr sz="900" b="0">
              <a:solidFill>
                <a:srgbClr val="586079"/>
              </a:solidFill>
              <a:latin typeface="Cairo"/>
              <a:cs typeface="Cairo"/>
            </a:defRPr>
          </a:pPr>
          <a:endParaRPr lang="en-US"/>
        </a:p>
      </c:txPr>
    </c:legend>
    <c:plotVisOnly val="1"/>
    <c:dispBlanksAs val="gap"/>
    <c:showDLblsOverMax val="1"/>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a:lstStyle/>
          <a:p>
            <a:pPr>
              <a:defRPr sz="1400" b="1">
                <a:solidFill>
                  <a:srgbClr val="0B1437"/>
                </a:solidFill>
                <a:latin typeface="Cairo"/>
                <a:cs typeface="Cairo"/>
              </a:defRPr>
            </a:pPr>
            <a:r>
              <a:rPr sz="1400" b="1">
                <a:solidFill>
                  <a:srgbClr val="0B1437"/>
                </a:solidFill>
                <a:latin typeface="Cairo"/>
                <a:cs typeface="Cairo"/>
              </a:rPr>
              <a:t>توزيع تكلفة البناء: هيكل إنشائي | تشطيبات | تكاليف غير مباشرة</a:t>
            </a:r>
          </a:p>
        </c:rich>
      </c:tx>
      <c:overlay val="0"/>
    </c:title>
    <c:autoTitleDeleted val="0"/>
    <c:plotArea>
      <c:layout/>
      <c:pieChart>
        <c:varyColors val="1"/>
        <c:ser>
          <c:idx val="0"/>
          <c:order val="0"/>
          <c:tx>
            <c:v>توزيع تكلفة البناء</c:v>
          </c:tx>
          <c:spPr>
            <a:solidFill>
              <a:srgbClr val="12224F"/>
            </a:solidFill>
            <a:ln w="15000">
              <a:solidFill>
                <a:srgbClr val="12224F"/>
              </a:solidFill>
              <a:prstDash val="solid"/>
            </a:ln>
          </c:spPr>
          <c:dLbls>
            <c:spPr>
              <a:noFill/>
              <a:ln>
                <a:noFill/>
                <a:prstDash val="solid"/>
              </a:ln>
            </c:spPr>
            <c:txPr>
              <a:bodyPr/>
              <a:lstStyle/>
              <a:p>
                <a:pPr>
                  <a:defRPr sz="1000" baseline="0">
                    <a:latin typeface="Simplified Arabic"/>
                  </a:defRPr>
                </a:pPr>
                <a:endParaRPr lang="en-US"/>
              </a:p>
            </c:txPr>
            <c:showLegendKey val="0"/>
            <c:showVal val="0"/>
            <c:showCatName val="1"/>
            <c:showSerName val="0"/>
            <c:showPercent val="1"/>
            <c:showBubbleSize val="0"/>
            <c:showLeaderLines val="0"/>
            <c:extLst>
              <c:ext xmlns:c15="http://schemas.microsoft.com/office/drawing/2012/chart" uri="{CE6537A1-D6FC-4f65-9D91-7224C49458BB}"/>
            </c:extLst>
          </c:dLbls>
          <c:cat>
            <c:strRef>
              <c:f>'طريقة التكلفة'!$A$51:$A$53</c:f>
              <c:strCache>
                <c:ptCount val="3"/>
                <c:pt idx="0">
                  <c:v>متوسط سعر م² المُعدَّل (المصفوفة)</c:v>
                </c:pt>
                <c:pt idx="1">
                  <c:v>الانحراف المعياري</c:v>
                </c:pt>
                <c:pt idx="2">
                  <c:v>التكاليف غير المباشرة (ج)</c:v>
                </c:pt>
              </c:strCache>
            </c:strRef>
          </c:cat>
          <c:val>
            <c:numRef>
              <c:f>'طريقة التكلفة'!$B$51:$B$53</c:f>
              <c:numCache>
                <c:formatCode>#,##0.00</c:formatCode>
                <c:ptCount val="3"/>
                <c:pt idx="0">
                  <c:v>0</c:v>
                </c:pt>
                <c:pt idx="1">
                  <c:v>54057</c:v>
                </c:pt>
                <c:pt idx="2">
                  <c:v>0</c:v>
                </c:pt>
              </c:numCache>
            </c:numRef>
          </c:val>
          <c:extLst>
            <c:ext xmlns:c16="http://schemas.microsoft.com/office/drawing/2014/chart" uri="{C3380CC4-5D6E-409C-BE32-E72D297353CC}">
              <c16:uniqueId val="{00000000-C32E-4A5B-AF27-6874A0D1ECB1}"/>
            </c:ext>
          </c:extLst>
        </c:ser>
        <c:dLbls>
          <c:showLegendKey val="0"/>
          <c:showVal val="0"/>
          <c:showCatName val="0"/>
          <c:showSerName val="0"/>
          <c:showPercent val="0"/>
          <c:showBubbleSize val="0"/>
          <c:showLeaderLines val="0"/>
        </c:dLbls>
        <c:firstSliceAng val="0"/>
      </c:pieChart>
    </c:plotArea>
    <c:legend>
      <c:legendPos val="b"/>
      <c:overlay val="0"/>
      <c:txPr>
        <a:bodyPr/>
        <a:lstStyle/>
        <a:p>
          <a:pPr>
            <a:defRPr sz="900" b="0">
              <a:solidFill>
                <a:srgbClr val="586079"/>
              </a:solidFill>
              <a:latin typeface="Cairo"/>
              <a:cs typeface="Cairo"/>
            </a:defRPr>
          </a:pPr>
          <a:endParaRPr lang="en-US"/>
        </a:p>
      </c:txPr>
    </c:legend>
    <c:plotVisOnly val="1"/>
    <c:dispBlanksAs val="gap"/>
    <c:showDLblsOverMax val="1"/>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a:lstStyle/>
          <a:p>
            <a:pPr>
              <a:defRPr sz="1400" b="1">
                <a:solidFill>
                  <a:srgbClr val="0B1437"/>
                </a:solidFill>
                <a:latin typeface="Cairo"/>
                <a:cs typeface="Cairo"/>
              </a:defRPr>
            </a:pPr>
            <a:r>
              <a:rPr sz="1400" b="1">
                <a:solidFill>
                  <a:srgbClr val="0B1437"/>
                </a:solidFill>
                <a:latin typeface="Cairo"/>
                <a:cs typeface="Cairo"/>
              </a:rPr>
              <a:t>توزيع الأوزان لطرق التقييم</a:t>
            </a:r>
          </a:p>
        </c:rich>
      </c:tx>
      <c:overlay val="0"/>
    </c:title>
    <c:autoTitleDeleted val="0"/>
    <c:plotArea>
      <c:layout/>
      <c:doughnutChart>
        <c:varyColors val="1"/>
        <c:ser>
          <c:idx val="0"/>
          <c:order val="0"/>
          <c:tx>
            <c:strRef>
              <c:f>'توفيق النتائج'!$D$4</c:f>
              <c:strCache>
                <c:ptCount val="1"/>
                <c:pt idx="0">
                  <c:v>الوزن النسبي</c:v>
                </c:pt>
              </c:strCache>
            </c:strRef>
          </c:tx>
          <c:spPr>
            <a:solidFill>
              <a:srgbClr val="12224F"/>
            </a:solidFill>
            <a:ln w="15000">
              <a:solidFill>
                <a:srgbClr val="12224F"/>
              </a:solidFill>
              <a:prstDash val="solid"/>
            </a:ln>
          </c:spPr>
          <c:dLbls>
            <c:spPr>
              <a:noFill/>
              <a:ln>
                <a:noFill/>
              </a:ln>
              <a:effectLst/>
            </c:spPr>
            <c:showLegendKey val="1"/>
            <c:showVal val="1"/>
            <c:showCatName val="1"/>
            <c:showSerName val="1"/>
            <c:showPercent val="1"/>
            <c:showBubbleSize val="1"/>
            <c:showLeaderLines val="1"/>
            <c:extLst>
              <c:ext xmlns:c15="http://schemas.microsoft.com/office/drawing/2012/chart" uri="{CE6537A1-D6FC-4f65-9D91-7224C49458BB}"/>
            </c:extLst>
          </c:dLbls>
          <c:cat>
            <c:strRef>
              <c:f>'توفيق النتائج'!$A$5:$A$10</c:f>
              <c:strCache>
                <c:ptCount val="6"/>
                <c:pt idx="0">
                  <c:v>أسلوب مقارنة البيوع السابقة</c:v>
                </c:pt>
                <c:pt idx="1">
                  <c:v>أسلوب حساب التكلفة (DRC)</c:v>
                </c:pt>
                <c:pt idx="2">
                  <c:v>أسلوب رأسمالة الدخل</c:v>
                </c:pt>
                <c:pt idx="3">
                  <c:v>التحليل المكاني (Kriging/IDW)</c:v>
                </c:pt>
                <c:pt idx="4">
                  <c:v>الانحدار الخطي المتعدد (OLS)</c:v>
                </c:pt>
                <c:pt idx="5">
                  <c:v>الخيارات الحقيقية (B-S)</c:v>
                </c:pt>
              </c:strCache>
            </c:strRef>
          </c:cat>
          <c:val>
            <c:numRef>
              <c:f>'توفيق النتائج'!$D$5:$D$10</c:f>
              <c:numCache>
                <c:formatCode>0.0%</c:formatCode>
                <c:ptCount val="6"/>
                <c:pt idx="0">
                  <c:v>0.3</c:v>
                </c:pt>
                <c:pt idx="1">
                  <c:v>0.2</c:v>
                </c:pt>
                <c:pt idx="2">
                  <c:v>0.15</c:v>
                </c:pt>
                <c:pt idx="3">
                  <c:v>0.15</c:v>
                </c:pt>
                <c:pt idx="4">
                  <c:v>0.12</c:v>
                </c:pt>
                <c:pt idx="5">
                  <c:v>0.08</c:v>
                </c:pt>
              </c:numCache>
            </c:numRef>
          </c:val>
          <c:extLst>
            <c:ext xmlns:c16="http://schemas.microsoft.com/office/drawing/2014/chart" uri="{C3380CC4-5D6E-409C-BE32-E72D297353CC}">
              <c16:uniqueId val="{00000000-B3C8-4335-8F34-1C54BFB7618A}"/>
            </c:ext>
          </c:extLst>
        </c:ser>
        <c:dLbls>
          <c:showLegendKey val="1"/>
          <c:showVal val="1"/>
          <c:showCatName val="1"/>
          <c:showSerName val="1"/>
          <c:showPercent val="1"/>
          <c:showBubbleSize val="1"/>
          <c:showLeaderLines val="1"/>
        </c:dLbls>
        <c:firstSliceAng val="0"/>
        <c:holeSize val="50"/>
      </c:doughnutChart>
    </c:plotArea>
    <c:legend>
      <c:legendPos val="b"/>
      <c:overlay val="1"/>
      <c:txPr>
        <a:bodyPr/>
        <a:lstStyle/>
        <a:p>
          <a:pPr>
            <a:defRPr sz="900" b="0">
              <a:solidFill>
                <a:srgbClr val="586079"/>
              </a:solidFill>
              <a:latin typeface="Cairo"/>
              <a:cs typeface="Cairo"/>
            </a:defRPr>
          </a:pPr>
          <a:endParaRPr lang="en-US"/>
        </a:p>
      </c:txPr>
    </c:legend>
    <c:plotVisOnly val="1"/>
    <c:dispBlanksAs val="gap"/>
    <c:showDLblsOverMax val="1"/>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a:lstStyle/>
          <a:p>
            <a:pPr>
              <a:defRPr sz="1400" b="1">
                <a:solidFill>
                  <a:srgbClr val="0B1437"/>
                </a:solidFill>
                <a:latin typeface="Cairo"/>
                <a:cs typeface="Cairo"/>
              </a:defRPr>
            </a:pPr>
            <a:r>
              <a:rPr lang="ar-EG" sz="1400" b="1">
                <a:solidFill>
                  <a:srgbClr val="0B1437"/>
                </a:solidFill>
                <a:latin typeface="Cairo"/>
                <a:cs typeface="Cairo"/>
              </a:rPr>
              <a:t>مقارنة طرق التقييم السبعة (</a:t>
            </a:r>
            <a:r>
              <a:rPr lang="en-US" sz="1400" b="1">
                <a:solidFill>
                  <a:srgbClr val="0B1437"/>
                </a:solidFill>
                <a:latin typeface="Cairo"/>
                <a:cs typeface="Cairo"/>
              </a:rPr>
              <a:t>EGP/</a:t>
            </a:r>
            <a:r>
              <a:rPr lang="ar-EG" sz="1400" b="1">
                <a:solidFill>
                  <a:srgbClr val="0B1437"/>
                </a:solidFill>
                <a:latin typeface="Cairo"/>
                <a:cs typeface="Cairo"/>
              </a:rPr>
              <a:t>م²)</a:t>
            </a:r>
          </a:p>
        </c:rich>
      </c:tx>
      <c:overlay val="0"/>
    </c:title>
    <c:autoTitleDeleted val="0"/>
    <c:plotArea>
      <c:layout/>
      <c:barChart>
        <c:barDir val="col"/>
        <c:grouping val="clustered"/>
        <c:varyColors val="0"/>
        <c:ser>
          <c:idx val="0"/>
          <c:order val="0"/>
          <c:tx>
            <c:v>سعر المتر (EGP/م²)</c:v>
          </c:tx>
          <c:spPr>
            <a:solidFill>
              <a:srgbClr val="12224F"/>
            </a:solidFill>
            <a:ln w="15000">
              <a:solidFill>
                <a:srgbClr val="12224F"/>
              </a:solidFill>
              <a:prstDash val="solid"/>
            </a:ln>
          </c:spPr>
          <c:invertIfNegative val="0"/>
          <c:dLbls>
            <c:spPr>
              <a:noFill/>
              <a:ln>
                <a:noFill/>
                <a:prstDash val="solid"/>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'لوحة القيادة التنفيذية'!$A$9:$A$14</c:f>
              <c:strCache>
                <c:ptCount val="6"/>
                <c:pt idx="0">
                  <c:v> ملاحظة الخبير: القيمة السوقية = 4,989,300 EGP | قيمة DCF = 578,286 EGP | الفارق يعكس مستوى الثقة في افتراضات النمو والخصم.</c:v>
                </c:pt>
                <c:pt idx="1">
                  <c:v>أسلوب حساب التكلفة (DRC)</c:v>
                </c:pt>
                <c:pt idx="2">
                  <c:v>محاور تقييم العقار — Property Scoring Radar</c:v>
                </c:pt>
                <c:pt idx="3">
                  <c:v>المحور</c:v>
                </c:pt>
                <c:pt idx="4">
                  <c:v>الموقع</c:v>
                </c:pt>
                <c:pt idx="5">
                  <c:v>الحالة الإنشائية</c:v>
                </c:pt>
              </c:strCache>
            </c:strRef>
          </c:cat>
          <c:val>
            <c:numRef>
              <c:f>'لوحة القيادة التنفيذية'!$B$9:$B$14</c:f>
              <c:numCache>
                <c:formatCode>#,##0;\(#,##0\);"-"</c:formatCode>
                <c:ptCount val="6"/>
                <c:pt idx="1">
                  <c:v>10512</c:v>
                </c:pt>
                <c:pt idx="3" formatCode="#,##0">
                  <c:v>0</c:v>
                </c:pt>
                <c:pt idx="4" formatCode="0.0">
                  <c:v>6.6524000000000001</c:v>
                </c:pt>
                <c:pt idx="5" formatCode="0.0">
                  <c:v>5.333333333333333</c:v>
                </c:pt>
              </c:numCache>
            </c:numRef>
          </c:val>
          <c:extLst>
            <c:ext xmlns:c16="http://schemas.microsoft.com/office/drawing/2014/chart" uri="{C3380CC4-5D6E-409C-BE32-E72D297353CC}">
              <c16:uniqueId val="{00000000-2767-46CA-9924-B49B91ABAE85}"/>
            </c:ext>
          </c:extLst>
        </c:ser>
        <c:dLbls>
          <c:showLegendKey val="0"/>
          <c:showVal val="0"/>
          <c:showCatName val="0"/>
          <c:showSerName val="0"/>
          <c:showPercent val="0"/>
          <c:showBubbleSize val="0"/>
        </c:dLbls>
        <c:gapWidth val="150"/>
        <c:axId val="50020001"/>
        <c:axId val="50020002"/>
      </c:barChart>
      <c:catAx>
        <c:axId val="50020001"/>
        <c:scaling>
          <c:orientation val="minMax"/>
        </c:scaling>
        <c:delete val="0"/>
        <c:axPos val="b"/>
        <c:title>
          <c:tx>
            <c:rich>
              <a:bodyPr/>
              <a:lstStyle/>
              <a:p>
                <a:pPr>
                  <a:defRPr/>
                </a:pPr>
                <a:r>
                  <a:rPr lang="en-US"/>
                  <a:t>طريقة التقييم</a:t>
                </a:r>
              </a:p>
            </c:rich>
          </c:tx>
          <c:overlay val="0"/>
        </c:title>
        <c:numFmt formatCode="General" sourceLinked="0"/>
        <c:majorTickMark val="out"/>
        <c:minorTickMark val="none"/>
        <c:tickLblPos val="nextTo"/>
        <c:crossAx val="50020002"/>
        <c:crosses val="autoZero"/>
        <c:auto val="1"/>
        <c:lblAlgn val="ctr"/>
        <c:lblOffset val="100"/>
        <c:noMultiLvlLbl val="0"/>
      </c:catAx>
      <c:valAx>
        <c:axId val="50020002"/>
        <c:scaling>
          <c:orientation val="minMax"/>
        </c:scaling>
        <c:delete val="0"/>
        <c:axPos val="l"/>
        <c:majorGridlines/>
        <c:title>
          <c:tx>
            <c:rich>
              <a:bodyPr/>
              <a:lstStyle/>
              <a:p>
                <a:pPr>
                  <a:defRPr/>
                </a:pPr>
                <a:r>
                  <a:rPr lang="en-US"/>
                  <a:t>EGP/م²</a:t>
                </a:r>
              </a:p>
            </c:rich>
          </c:tx>
          <c:overlay val="0"/>
        </c:title>
        <c:numFmt formatCode="#,##0" sourceLinked="0"/>
        <c:majorTickMark val="out"/>
        <c:minorTickMark val="none"/>
        <c:tickLblPos val="nextTo"/>
        <c:crossAx val="50020001"/>
        <c:crosses val="autoZero"/>
        <c:crossBetween val="between"/>
      </c:valAx>
    </c:plotArea>
    <c:legend>
      <c:legendPos val="b"/>
      <c:overlay val="0"/>
      <c:txPr>
        <a:bodyPr/>
        <a:lstStyle/>
        <a:p>
          <a:pPr>
            <a:defRPr sz="900" b="0">
              <a:solidFill>
                <a:srgbClr val="586079"/>
              </a:solidFill>
              <a:latin typeface="Cairo"/>
              <a:cs typeface="Cairo"/>
            </a:defRPr>
          </a:pPr>
          <a:endParaRPr lang="en-US"/>
        </a:p>
      </c:txPr>
    </c:legend>
    <c:plotVisOnly val="1"/>
    <c:dispBlanksAs val="gap"/>
    <c:showDLblsOverMax val="1"/>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a:lstStyle/>
          <a:p>
            <a:pPr>
              <a:defRPr sz="1400" b="1">
                <a:solidFill>
                  <a:srgbClr val="0B1437"/>
                </a:solidFill>
                <a:latin typeface="Cairo"/>
                <a:cs typeface="Cairo"/>
              </a:defRPr>
            </a:pPr>
            <a:r>
              <a:rPr lang="ar-EG" sz="1400" b="1">
                <a:solidFill>
                  <a:srgbClr val="0B1437"/>
                </a:solidFill>
                <a:latin typeface="Cairo"/>
                <a:cs typeface="Cairo"/>
              </a:rPr>
              <a:t>نقاط قوة العقار</a:t>
            </a:r>
          </a:p>
        </c:rich>
      </c:tx>
      <c:overlay val="1"/>
    </c:title>
    <c:autoTitleDeleted val="0"/>
    <c:plotArea>
      <c:layout/>
      <c:radarChart>
        <c:radarStyle val="filled"/>
        <c:varyColors val="1"/>
        <c:ser>
          <c:idx val="0"/>
          <c:order val="0"/>
          <c:tx>
            <c:strRef>
              <c:f>'لوحة القيادة التنفيذية'!$B$12</c:f>
              <c:strCache>
                <c:ptCount val="1"/>
                <c:pt idx="0">
                  <c:v>الدرجة (0-10)</c:v>
                </c:pt>
              </c:strCache>
            </c:strRef>
          </c:tx>
          <c:spPr>
            <a:solidFill>
              <a:srgbClr val="12224F"/>
            </a:solidFill>
            <a:ln w="15000">
              <a:solidFill>
                <a:srgbClr val="12224F"/>
              </a:solidFill>
              <a:prstDash val="solid"/>
            </a:ln>
          </c:spPr>
          <c:cat>
            <c:strRef>
              <c:f>'لوحة القيادة التنفيذية'!$A$13:$A$17</c:f>
              <c:strCache>
                <c:ptCount val="5"/>
                <c:pt idx="0">
                  <c:v>الموقع</c:v>
                </c:pt>
                <c:pt idx="1">
                  <c:v>الحالة الإنشائية</c:v>
                </c:pt>
                <c:pt idx="2">
                  <c:v>العائد المالي</c:v>
                </c:pt>
                <c:pt idx="3">
                  <c:v>السيولة السوقية</c:v>
                </c:pt>
                <c:pt idx="4">
                  <c:v>القيمة مقابل السعر</c:v>
                </c:pt>
              </c:strCache>
            </c:strRef>
          </c:cat>
          <c:val>
            <c:numRef>
              <c:f>'لوحة القيادة التنفيذية'!$B$13:$B$17</c:f>
              <c:numCache>
                <c:formatCode>0.0</c:formatCode>
                <c:ptCount val="5"/>
                <c:pt idx="0">
                  <c:v>6.6524000000000001</c:v>
                </c:pt>
                <c:pt idx="1">
                  <c:v>5.333333333333333</c:v>
                </c:pt>
                <c:pt idx="2">
                  <c:v>1</c:v>
                </c:pt>
                <c:pt idx="3">
                  <c:v>8.3155000000000001</c:v>
                </c:pt>
                <c:pt idx="4">
                  <c:v>1</c:v>
                </c:pt>
              </c:numCache>
            </c:numRef>
          </c:val>
          <c:extLst>
            <c:ext xmlns:c16="http://schemas.microsoft.com/office/drawing/2014/chart" uri="{C3380CC4-5D6E-409C-BE32-E72D297353CC}">
              <c16:uniqueId val="{00000000-A985-4CBD-9498-BA0AC1726860}"/>
            </c:ext>
          </c:extLst>
        </c:ser>
        <c:dLbls>
          <c:showLegendKey val="0"/>
          <c:showVal val="0"/>
          <c:showCatName val="0"/>
          <c:showSerName val="0"/>
          <c:showPercent val="0"/>
          <c:showBubbleSize val="0"/>
        </c:dLbls>
        <c:axId val="10"/>
        <c:axId val="100"/>
      </c:radarChart>
      <c:catAx>
        <c:axId val="10"/>
        <c:scaling>
          <c:orientation val="minMax"/>
        </c:scaling>
        <c:delete val="1"/>
        <c:axPos val="b"/>
        <c:numFmt formatCode="General" sourceLinked="1"/>
        <c:majorTickMark val="none"/>
        <c:minorTickMark val="none"/>
        <c:tickLblPos val="nextTo"/>
        <c:crossAx val="100"/>
        <c:crosses val="autoZero"/>
        <c:auto val="1"/>
        <c:lblAlgn val="ctr"/>
        <c:lblOffset val="100"/>
        <c:noMultiLvlLbl val="1"/>
      </c:catAx>
      <c:valAx>
        <c:axId val="100"/>
        <c:scaling>
          <c:orientation val="minMax"/>
        </c:scaling>
        <c:delete val="1"/>
        <c:axPos val="l"/>
        <c:majorGridlines/>
        <c:numFmt formatCode="0.0" sourceLinked="0"/>
        <c:majorTickMark val="none"/>
        <c:minorTickMark val="none"/>
        <c:tickLblPos val="nextTo"/>
        <c:crossAx val="10"/>
        <c:crosses val="autoZero"/>
        <c:crossBetween val="between"/>
      </c:valAx>
    </c:plotArea>
    <c:legend>
      <c:legendPos val="b"/>
      <c:overlay val="1"/>
      <c:txPr>
        <a:bodyPr/>
        <a:lstStyle/>
        <a:p>
          <a:pPr>
            <a:defRPr sz="900" b="0">
              <a:solidFill>
                <a:srgbClr val="586079"/>
              </a:solidFill>
              <a:latin typeface="Cairo"/>
              <a:cs typeface="Cairo"/>
            </a:defRPr>
          </a:pPr>
          <a:endParaRPr lang="en-US"/>
        </a:p>
      </c:txPr>
    </c:legend>
    <c:plotVisOnly val="1"/>
    <c:dispBlanksAs val="gap"/>
    <c:showDLblsOverMax val="1"/>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a:lstStyle/>
          <a:p>
            <a:pPr>
              <a:defRPr sz="1400" b="1">
                <a:solidFill>
                  <a:srgbClr val="0B1437"/>
                </a:solidFill>
                <a:latin typeface="Cairo"/>
                <a:cs typeface="Cairo"/>
              </a:defRPr>
            </a:pPr>
            <a:r>
              <a:rPr sz="1400" b="1">
                <a:solidFill>
                  <a:srgbClr val="0B1437"/>
                </a:solidFill>
                <a:latin typeface="Cairo"/>
                <a:cs typeface="Cairo"/>
              </a:rPr>
              <a:t>التدفقات النقدية المخصومة</a:t>
            </a:r>
          </a:p>
        </c:rich>
      </c:tx>
      <c:overlay val="0"/>
    </c:title>
    <c:autoTitleDeleted val="0"/>
    <c:plotArea>
      <c:layout/>
      <c:lineChart>
        <c:grouping val="standard"/>
        <c:varyColors val="1"/>
        <c:ser>
          <c:idx val="0"/>
          <c:order val="0"/>
          <c:spPr>
            <a:ln w="15000">
              <a:solidFill>
                <a:srgbClr val="12224F"/>
              </a:solidFill>
              <a:prstDash val="solid"/>
            </a:ln>
          </c:spPr>
          <c:marker>
            <c:symbol val="none"/>
          </c:marker>
          <c:cat>
            <c:strRef>
              <c:f>'DCF — التدفقات النقدية'!$A$50:$A$56</c:f>
              <c:strCache>
                <c:ptCount val="7"/>
                <c:pt idx="0">
                  <c:v>WACC \ g</c:v>
                </c:pt>
                <c:pt idx="1">
                  <c:v>9.0%</c:v>
                </c:pt>
                <c:pt idx="2">
                  <c:v>10.0%</c:v>
                </c:pt>
                <c:pt idx="3">
                  <c:v>11.0%</c:v>
                </c:pt>
                <c:pt idx="4">
                  <c:v>12.0%</c:v>
                </c:pt>
                <c:pt idx="5">
                  <c:v>13.0%</c:v>
                </c:pt>
                <c:pt idx="6">
                  <c:v>14.0%</c:v>
                </c:pt>
              </c:strCache>
            </c:strRef>
          </c:cat>
          <c:val>
            <c:numRef>
              <c:f>'DCF — التدفقات النقدية'!$B$50:$B$56</c:f>
              <c:numCache>
                <c:formatCode>#,##0;\(#,##0\);"-"</c:formatCode>
                <c:ptCount val="7"/>
                <c:pt idx="0" formatCode="0.0%">
                  <c:v>0.03</c:v>
                </c:pt>
                <c:pt idx="1">
                  <c:v>619533</c:v>
                </c:pt>
                <c:pt idx="2">
                  <c:v>578775</c:v>
                </c:pt>
                <c:pt idx="3">
                  <c:v>541500</c:v>
                </c:pt>
                <c:pt idx="4">
                  <c:v>507368</c:v>
                </c:pt>
                <c:pt idx="5">
                  <c:v>476076</c:v>
                </c:pt>
                <c:pt idx="6">
                  <c:v>447355</c:v>
                </c:pt>
              </c:numCache>
            </c:numRef>
          </c:val>
          <c:smooth val="1"/>
          <c:extLst>
            <c:ext xmlns:c16="http://schemas.microsoft.com/office/drawing/2014/chart" uri="{C3380CC4-5D6E-409C-BE32-E72D297353CC}">
              <c16:uniqueId val="{00000000-6CD7-4DA5-AD98-8C9A23575081}"/>
            </c:ext>
          </c:extLst>
        </c:ser>
        <c:dLbls>
          <c:showLegendKey val="0"/>
          <c:showVal val="0"/>
          <c:showCatName val="0"/>
          <c:showSerName val="0"/>
          <c:showPercent val="0"/>
          <c:showBubbleSize val="0"/>
        </c:dLbls>
        <c:smooth val="0"/>
        <c:axId val="10"/>
        <c:axId val="100"/>
      </c:lineChart>
      <c:catAx>
        <c:axId val="10"/>
        <c:scaling>
          <c:orientation val="minMax"/>
        </c:scaling>
        <c:delete val="1"/>
        <c:axPos val="b"/>
        <c:numFmt formatCode="General" sourceLinked="1"/>
        <c:majorTickMark val="none"/>
        <c:minorTickMark val="none"/>
        <c:tickLblPos val="nextTo"/>
        <c:crossAx val="100"/>
        <c:crosses val="autoZero"/>
        <c:auto val="1"/>
        <c:lblAlgn val="ctr"/>
        <c:lblOffset val="100"/>
        <c:noMultiLvlLbl val="1"/>
      </c:catAx>
      <c:valAx>
        <c:axId val="100"/>
        <c:scaling>
          <c:orientation val="minMax"/>
        </c:scaling>
        <c:delete val="1"/>
        <c:axPos val="l"/>
        <c:majorGridlines/>
        <c:numFmt formatCode="0.0%" sourceLinked="1"/>
        <c:majorTickMark val="none"/>
        <c:minorTickMark val="none"/>
        <c:tickLblPos val="nextTo"/>
        <c:crossAx val="10"/>
        <c:crosses val="autoZero"/>
        <c:crossBetween val="between"/>
      </c:valAx>
    </c:plotArea>
    <c:legend>
      <c:legendPos val="b"/>
      <c:overlay val="0"/>
      <c:txPr>
        <a:bodyPr/>
        <a:lstStyle/>
        <a:p>
          <a:pPr>
            <a:defRPr sz="900" b="0">
              <a:solidFill>
                <a:srgbClr val="586079"/>
              </a:solidFill>
              <a:latin typeface="Cairo"/>
              <a:cs typeface="Cairo"/>
            </a:defRPr>
          </a:pPr>
          <a:endParaRPr lang="en-US"/>
        </a:p>
      </c:txPr>
    </c:legend>
    <c:plotVisOnly val="1"/>
    <c:dispBlanksAs val="gap"/>
    <c:showDLblsOverMax val="1"/>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hart" Target="../charts/chart2.xml"/></Relationships>
</file>

<file path=xl/drawings/_rels/drawing6.xml.rels><?xml version="1.0" encoding="UTF-8" standalone="yes"?>
<Relationships xmlns="http://schemas.openxmlformats.org/package/2006/relationships"><Relationship Id="rId1" Type="http://schemas.openxmlformats.org/officeDocument/2006/relationships/image" Target="../media/image5.png"/></Relationships>
</file>

<file path=xl/drawings/_rels/drawing7.xml.rels><?xml version="1.0" encoding="UTF-8" standalone="yes"?>
<Relationships xmlns="http://schemas.openxmlformats.org/package/2006/relationships"><Relationship Id="rId3" Type="http://schemas.openxmlformats.org/officeDocument/2006/relationships/image" Target="../media/image8.png"/><Relationship Id="rId2" Type="http://schemas.openxmlformats.org/officeDocument/2006/relationships/image" Target="../media/image7.png"/><Relationship Id="rId1" Type="http://schemas.openxmlformats.org/officeDocument/2006/relationships/image" Target="../media/image6.png"/><Relationship Id="rId5" Type="http://schemas.openxmlformats.org/officeDocument/2006/relationships/image" Target="../media/image10.png"/><Relationship Id="rId4" Type="http://schemas.openxmlformats.org/officeDocument/2006/relationships/image" Target="../media/image9.png"/></Relationships>
</file>

<file path=xl/drawings/_rels/drawing8.xml.rels><?xml version="1.0" encoding="UTF-8" standalone="yes"?>
<Relationships xmlns="http://schemas.openxmlformats.org/package/2006/relationships"><Relationship Id="rId1" Type="http://schemas.openxmlformats.org/officeDocument/2006/relationships/image" Target="../media/image11.png"/></Relationships>
</file>

<file path=xl/drawings/_rels/drawing9.xml.rels><?xml version="1.0" encoding="UTF-8" standalone="yes"?>
<Relationships xmlns="http://schemas.openxmlformats.org/package/2006/relationships"><Relationship Id="rId3" Type="http://schemas.openxmlformats.org/officeDocument/2006/relationships/image" Target="../media/image14.png"/><Relationship Id="rId2" Type="http://schemas.openxmlformats.org/officeDocument/2006/relationships/image" Target="../media/image13.png"/><Relationship Id="rId1" Type="http://schemas.openxmlformats.org/officeDocument/2006/relationships/image" Target="../media/image12.png"/></Relationships>
</file>

<file path=xl/drawings/_rels/drawing10.xml.rels><?xml version="1.0" encoding="UTF-8" standalone="yes"?>
<Relationships xmlns="http://schemas.openxmlformats.org/package/2006/relationships"><Relationship Id="rId1" Type="http://schemas.openxmlformats.org/officeDocument/2006/relationships/chart" Target="../charts/chart3.xml"/></Relationships>
</file>

<file path=xl/drawings/_rels/drawing11.xml.rels><?xml version="1.0" encoding="UTF-8" standalone="yes"?>
<Relationships xmlns="http://schemas.openxmlformats.org/package/2006/relationships"><Relationship Id="rId3" Type="http://schemas.openxmlformats.org/officeDocument/2006/relationships/image" Target="../media/image15.png"/><Relationship Id="rId2" Type="http://schemas.openxmlformats.org/officeDocument/2006/relationships/chart" Target="../charts/chart5.xml"/><Relationship Id="rId1" Type="http://schemas.openxmlformats.org/officeDocument/2006/relationships/chart" Target="../charts/chart4.xml"/></Relationships>
</file>

<file path=xl/drawings/_rels/drawing12.xml.rels><?xml version="1.0" encoding="UTF-8" standalone="yes"?>
<Relationships xmlns="http://schemas.openxmlformats.org/package/2006/relationships"><Relationship Id="rId3" Type="http://schemas.openxmlformats.org/officeDocument/2006/relationships/image" Target="../media/image17.png"/><Relationship Id="rId2" Type="http://schemas.openxmlformats.org/officeDocument/2006/relationships/image" Target="../media/image16.png"/><Relationship Id="rId1" Type="http://schemas.openxmlformats.org/officeDocument/2006/relationships/chart" Target="../charts/chart6.xml"/></Relationships>
</file>

<file path=xl/drawings/_rels/drawing13.xml.rels><?xml version="1.0" encoding="UTF-8" standalone="yes"?>
<Relationships xmlns="http://schemas.openxmlformats.org/package/2006/relationships"><Relationship Id="rId1" Type="http://schemas.openxmlformats.org/officeDocument/2006/relationships/image" Target="../media/image18.png"/></Relationships>
</file>

<file path=xl/drawings/_rels/drawing14.xml.rels><?xml version="1.0" encoding="UTF-8" standalone="yes"?>
<Relationships xmlns="http://schemas.openxmlformats.org/package/2006/relationships"><Relationship Id="rId2" Type="http://schemas.openxmlformats.org/officeDocument/2006/relationships/image" Target="../media/image20.png"/><Relationship Id="rId1" Type="http://schemas.openxmlformats.org/officeDocument/2006/relationships/image" Target="../media/image19.png"/></Relationships>
</file>

<file path=xl/drawings/_rels/drawing15.xml.rels><?xml version="1.0" encoding="UTF-8" standalone="yes"?>
<Relationships xmlns="http://schemas.openxmlformats.org/package/2006/relationships"><Relationship Id="rId1" Type="http://schemas.openxmlformats.org/officeDocument/2006/relationships/image" Target="../media/image21.png"/></Relationships>
</file>

<file path=xl/drawings/_rels/drawing16.xml.rels><?xml version="1.0" encoding="UTF-8" standalone="yes"?>
<Relationships xmlns="http://schemas.openxmlformats.org/package/2006/relationships"><Relationship Id="rId1" Type="http://schemas.openxmlformats.org/officeDocument/2006/relationships/image" Target="../media/image22.png"/></Relationships>
</file>

<file path=xl/drawings/_rels/drawing17.xml.rels><?xml version="1.0" encoding="UTF-8" standalone="yes"?>
<Relationships xmlns="http://schemas.openxmlformats.org/package/2006/relationships"><Relationship Id="rId1" Type="http://schemas.openxmlformats.org/officeDocument/2006/relationships/image" Target="../media/image23.png"/></Relationships>
</file>

<file path=xl/drawings/_rels/drawing18.xml.rels><?xml version="1.0" encoding="UTF-8" standalone="yes"?>
<Relationships xmlns="http://schemas.openxmlformats.org/package/2006/relationships"><Relationship Id="rId1" Type="http://schemas.openxmlformats.org/officeDocument/2006/relationships/image" Target="../media/image24.png"/></Relationships>
</file>

<file path=xl/drawings/_rels/drawing19.xml.rels><?xml version="1.0" encoding="UTF-8" standalone="yes"?>
<Relationships xmlns="http://schemas.openxmlformats.org/package/2006/relationships"><Relationship Id="rId1" Type="http://schemas.openxmlformats.org/officeDocument/2006/relationships/image" Target="../media/image25.png"/></Relationships>
</file>

<file path=xl/drawings/_rels/drawing20.xml.rels><?xml version="1.0" encoding="UTF-8" standalone="yes"?>
<Relationships xmlns="http://schemas.openxmlformats.org/package/2006/relationships"><Relationship Id="rId1" Type="http://schemas.openxmlformats.org/officeDocument/2006/relationships/image" Target="../media/image26.png"/></Relationships>
</file>

<file path=xl/drawings/_rels/drawing21.xml.rels><?xml version="1.0" encoding="UTF-8" standalone="yes"?>
<Relationships xmlns="http://schemas.openxmlformats.org/package/2006/relationships"><Relationship Id="rId1" Type="http://schemas.openxmlformats.org/officeDocument/2006/relationships/image" Target="../media/image27.png"/></Relationships>
</file>

<file path=xl/drawings/_rels/drawing22.xml.rels><?xml version="1.0" encoding="UTF-8" standalone="yes"?>
<Relationships xmlns="http://schemas.openxmlformats.org/package/2006/relationships"><Relationship Id="rId1" Type="http://schemas.openxmlformats.org/officeDocument/2006/relationships/image" Target="../media/image28.png"/></Relationships>
</file>

<file path=xl/drawings/_rels/drawing23.xml.rels><?xml version="1.0" encoding="UTF-8" standalone="yes"?>
<Relationships xmlns="http://schemas.openxmlformats.org/package/2006/relationships"><Relationship Id="rId1" Type="http://schemas.openxmlformats.org/officeDocument/2006/relationships/image" Target="../media/image29.png"/></Relationships>
</file>

<file path=xl/drawings/_rels/drawing24.xml.rels><?xml version="1.0" encoding="UTF-8" standalone="yes"?>
<Relationships xmlns="http://schemas.openxmlformats.org/package/2006/relationships"><Relationship Id="rId1" Type="http://schemas.openxmlformats.org/officeDocument/2006/relationships/image" Target="../media/image30.png"/></Relationships>
</file>

<file path=xl/drawings/_rels/drawing25.xml.rels><?xml version="1.0" encoding="UTF-8" standalone="yes"?>
<Relationships xmlns="http://schemas.openxmlformats.org/package/2006/relationships"><Relationship Id="rId1" Type="http://schemas.openxmlformats.org/officeDocument/2006/relationships/image" Target="../media/image31.png"/></Relationships>
</file>

<file path=xl/drawings/drawing1.xml><?xml version="1.0" encoding="utf-8"?>
<xdr:wsDr xmlns:xdr="http://schemas.openxmlformats.org/drawingml/2006/spreadsheetDrawing" xmlns:a="http://schemas.openxmlformats.org/drawingml/2006/main">
  <xdr:oneCellAnchor>
    <xdr:from>
      <xdr:col>0</xdr:col>
      <xdr:colOff>0</xdr:colOff>
      <xdr:row>30</xdr:row>
      <xdr:rowOff>0</xdr:rowOff>
    </xdr:from>
    <xdr:ext cx="7620000" cy="5715000"/>
    <xdr:pic>
      <xdr:nvPicPr>
        <xdr:cNvPr id="2" name="Image 1" descr="Picture">
          <a:extLst>
            <a:ext uri="{FF2B5EF4-FFF2-40B4-BE49-F238E27FC236}">
              <a16:creationId xmlns:a16="http://schemas.microsoft.com/office/drawing/2014/main" id="{00000000-0008-0000-0000-000002000000}"/>
            </a:ext>
          </a:extLst>
        </xdr:cNvPr>
        <xdr:cNvPicPr/>
      </xdr:nvPicPr>
      <xdr:blipFill>
        <a:blip xmlns:r="http://schemas.openxmlformats.org/officeDocument/2006/relationships" r:embed="rId1" cstate="print"/>
        <a:stretch>
          <a:fillRect/>
        </a:stretch>
      </xdr:blipFill>
      <xdr:spPr>
        <a:prstGeom prst="rect">
          <a:avLst/>
        </a:prstGeom>
        <a:ln>
          <a:prstDash val="solid"/>
        </a:ln>
      </xdr:spPr>
    </xdr:pic>
    <xdr:clientData/>
  </xdr:oneCellAnchor>
</xdr:wsDr>
</file>

<file path=xl/drawings/drawing2.xml><?xml version="1.0" encoding="utf-8"?>
<xdr:wsDr xmlns:xdr="http://schemas.openxmlformats.org/drawingml/2006/spreadsheetDrawing" xmlns:a="http://schemas.openxmlformats.org/drawingml/2006/main">
  <xdr:oneCellAnchor>
    <xdr:from>
      <xdr:col>1</xdr:col>
      <xdr:colOff>0</xdr:colOff>
      <xdr:row>2</xdr:row>
      <xdr:rowOff>0</xdr:rowOff>
    </xdr:from>
    <xdr:ext cx="10477500" cy="7858125"/>
    <xdr:pic>
      <xdr:nvPicPr>
        <xdr:cNvPr id="2" name="Image 1" descr="Picture">
          <a:extLst>
            <a:ext uri="{FF2B5EF4-FFF2-40B4-BE49-F238E27FC236}">
              <a16:creationId xmlns:a16="http://schemas.microsoft.com/office/drawing/2014/main" id="{00000000-0008-0000-0100-000002000000}"/>
            </a:ext>
          </a:extLst>
        </xdr:cNvPr>
        <xdr:cNvPicPr/>
      </xdr:nvPicPr>
      <xdr:blipFill>
        <a:blip xmlns:r="http://schemas.openxmlformats.org/officeDocument/2006/relationships" r:embed="rId1" cstate="print"/>
        <a:stretch>
          <a:fillRect/>
        </a:stretch>
      </xdr:blipFill>
      <xdr:spPr>
        <a:prstGeom prst="rect">
          <a:avLst/>
        </a:prstGeom>
        <a:ln>
          <a:prstDash val="solid"/>
        </a:ln>
      </xdr:spPr>
    </xdr:pic>
    <xdr:clientData/>
  </xdr:oneCellAnchor>
</xdr:wsDr>
</file>

<file path=xl/drawings/drawing3.xml><?xml version="1.0" encoding="utf-8"?>
<xdr:wsDr xmlns:xdr="http://schemas.openxmlformats.org/drawingml/2006/spreadsheetDrawing" xmlns:a="http://schemas.openxmlformats.org/drawingml/2006/main">
  <xdr:oneCellAnchor>
    <xdr:from>
      <xdr:col>0</xdr:col>
      <xdr:colOff>0</xdr:colOff>
      <xdr:row>44</xdr:row>
      <xdr:rowOff>0</xdr:rowOff>
    </xdr:from>
    <xdr:ext cx="8763000" cy="6572250"/>
    <xdr:pic>
      <xdr:nvPicPr>
        <xdr:cNvPr id="2" name="Image 1" descr="Picture">
          <a:extLst>
            <a:ext uri="{FF2B5EF4-FFF2-40B4-BE49-F238E27FC236}">
              <a16:creationId xmlns:a16="http://schemas.microsoft.com/office/drawing/2014/main" id="{00000000-0008-0000-0500-000002000000}"/>
            </a:ext>
          </a:extLst>
        </xdr:cNvPr>
        <xdr:cNvPicPr/>
      </xdr:nvPicPr>
      <xdr:blipFill>
        <a:blip xmlns:r="http://schemas.openxmlformats.org/officeDocument/2006/relationships" r:embed="rId1" cstate="print"/>
        <a:stretch>
          <a:fillRect/>
        </a:stretch>
      </xdr:blipFill>
      <xdr:spPr>
        <a:prstGeom prst="rect">
          <a:avLst/>
        </a:prstGeom>
        <a:ln>
          <a:prstDash val="solid"/>
        </a:ln>
      </xdr:spPr>
    </xdr:pic>
    <xdr:clientData/>
  </xdr:oneCellAnchor>
</xdr:wsDr>
</file>

<file path=xl/drawings/drawing4.xml><?xml version="1.0" encoding="utf-8"?>
<xdr:wsDr xmlns:xdr="http://schemas.openxmlformats.org/drawingml/2006/spreadsheetDrawing" xmlns:a="http://schemas.openxmlformats.org/drawingml/2006/main">
  <xdr:oneCellAnchor>
    <xdr:from>
      <xdr:col>1</xdr:col>
      <xdr:colOff>0</xdr:colOff>
      <xdr:row>13</xdr:row>
      <xdr:rowOff>0</xdr:rowOff>
    </xdr:from>
    <xdr:ext cx="5760000" cy="3240000"/>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oneCellAnchor>
  <xdr:oneCellAnchor>
    <xdr:from>
      <xdr:col>0</xdr:col>
      <xdr:colOff>0</xdr:colOff>
      <xdr:row>44</xdr:row>
      <xdr:rowOff>0</xdr:rowOff>
    </xdr:from>
    <xdr:ext cx="8763000" cy="6572250"/>
    <xdr:pic>
      <xdr:nvPicPr>
        <xdr:cNvPr id="3" name="Image 2" descr="Picture">
          <a:extLst>
            <a:ext uri="{FF2B5EF4-FFF2-40B4-BE49-F238E27FC236}">
              <a16:creationId xmlns:a16="http://schemas.microsoft.com/office/drawing/2014/main" id="{00000000-0008-0000-0600-000003000000}"/>
            </a:ext>
          </a:extLst>
        </xdr:cNvPr>
        <xdr:cNvPicPr/>
      </xdr:nvPicPr>
      <xdr:blipFill>
        <a:blip xmlns:r="http://schemas.openxmlformats.org/officeDocument/2006/relationships" r:embed="rId2" cstate="print"/>
        <a:stretch>
          <a:fillRect/>
        </a:stretch>
      </xdr:blipFill>
      <xdr:spPr>
        <a:prstGeom prst="rect">
          <a:avLst/>
        </a:prstGeom>
        <a:ln>
          <a:prstDash val="solid"/>
        </a:ln>
      </xdr:spPr>
    </xdr:pic>
    <xdr:clientData/>
  </xdr:oneCellAnchor>
</xdr:wsDr>
</file>

<file path=xl/drawings/drawing5.xml><?xml version="1.0" encoding="utf-8"?>
<xdr:wsDr xmlns:xdr="http://schemas.openxmlformats.org/drawingml/2006/spreadsheetDrawing" xmlns:a="http://schemas.openxmlformats.org/drawingml/2006/main">
  <xdr:twoCellAnchor>
    <xdr:from>
      <xdr:col>0</xdr:col>
      <xdr:colOff>47625</xdr:colOff>
      <xdr:row>53</xdr:row>
      <xdr:rowOff>47625</xdr:rowOff>
    </xdr:from>
    <xdr:to>
      <xdr:col>2</xdr:col>
      <xdr:colOff>257175</xdr:colOff>
      <xdr:row>68</xdr:row>
      <xdr:rowOff>47625</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0</xdr:col>
      <xdr:colOff>0</xdr:colOff>
      <xdr:row>84</xdr:row>
      <xdr:rowOff>0</xdr:rowOff>
    </xdr:from>
    <xdr:ext cx="8763000" cy="6572250"/>
    <xdr:pic>
      <xdr:nvPicPr>
        <xdr:cNvPr id="3" name="Image 2" descr="Picture">
          <a:extLst>
            <a:ext uri="{FF2B5EF4-FFF2-40B4-BE49-F238E27FC236}">
              <a16:creationId xmlns:a16="http://schemas.microsoft.com/office/drawing/2014/main" id="{00000000-0008-0000-0700-000003000000}"/>
            </a:ext>
          </a:extLst>
        </xdr:cNvPr>
        <xdr:cNvPicPr/>
      </xdr:nvPicPr>
      <xdr:blipFill>
        <a:blip xmlns:r="http://schemas.openxmlformats.org/officeDocument/2006/relationships" r:embed="rId2" cstate="print"/>
        <a:stretch>
          <a:fillRect/>
        </a:stretch>
      </xdr:blipFill>
      <xdr:spPr>
        <a:prstGeom prst="rect">
          <a:avLst/>
        </a:prstGeom>
        <a:ln>
          <a:prstDash val="solid"/>
        </a:ln>
      </xdr:spPr>
    </xdr:pic>
    <xdr:clientData/>
  </xdr:oneCellAnchor>
</xdr:wsDr>
</file>

<file path=xl/drawings/drawing6.xml><?xml version="1.0" encoding="utf-8"?>
<xdr:wsDr xmlns:xdr="http://schemas.openxmlformats.org/drawingml/2006/spreadsheetDrawing" xmlns:a="http://schemas.openxmlformats.org/drawingml/2006/main">
  <xdr:oneCellAnchor>
    <xdr:from>
      <xdr:col>0</xdr:col>
      <xdr:colOff>0</xdr:colOff>
      <xdr:row>44</xdr:row>
      <xdr:rowOff>0</xdr:rowOff>
    </xdr:from>
    <xdr:ext cx="8763000" cy="6572250"/>
    <xdr:pic>
      <xdr:nvPicPr>
        <xdr:cNvPr id="2" name="Image 1" descr="Picture">
          <a:extLst>
            <a:ext uri="{FF2B5EF4-FFF2-40B4-BE49-F238E27FC236}">
              <a16:creationId xmlns:a16="http://schemas.microsoft.com/office/drawing/2014/main" id="{00000000-0008-0000-0800-000002000000}"/>
            </a:ext>
          </a:extLst>
        </xdr:cNvPr>
        <xdr:cNvPicPr/>
      </xdr:nvPicPr>
      <xdr:blipFill>
        <a:blip xmlns:r="http://schemas.openxmlformats.org/officeDocument/2006/relationships" r:embed="rId1" cstate="print"/>
        <a:stretch>
          <a:fillRect/>
        </a:stretch>
      </xdr:blipFill>
      <xdr:spPr>
        <a:prstGeom prst="rect">
          <a:avLst/>
        </a:prstGeom>
        <a:ln>
          <a:prstDash val="solid"/>
        </a:ln>
      </xdr:spPr>
    </xdr:pic>
    <xdr:clientData/>
  </xdr:oneCellAnchor>
</xdr:wsDr>
</file>

<file path=xl/drawings/drawing7.xml><?xml version="1.0" encoding="utf-8"?>
<xdr:wsDr xmlns:xdr="http://schemas.openxmlformats.org/drawingml/2006/spreadsheetDrawing" xmlns:a="http://schemas.openxmlformats.org/drawingml/2006/main">
  <xdr:oneCellAnchor>
    <xdr:from>
      <xdr:col>0</xdr:col>
      <xdr:colOff>0</xdr:colOff>
      <xdr:row>8</xdr:row>
      <xdr:rowOff>0</xdr:rowOff>
    </xdr:from>
    <xdr:ext cx="7048500" cy="4476750"/>
    <xdr:pic>
      <xdr:nvPicPr>
        <xdr:cNvPr id="2" name="Image 1" descr="Picture">
          <a:extLst>
            <a:ext uri="{FF2B5EF4-FFF2-40B4-BE49-F238E27FC236}">
              <a16:creationId xmlns:a16="http://schemas.microsoft.com/office/drawing/2014/main" id="{00000000-0008-0000-0900-000002000000}"/>
            </a:ext>
          </a:extLst>
        </xdr:cNvPr>
        <xdr:cNvPicPr/>
      </xdr:nvPicPr>
      <xdr:blipFill>
        <a:blip xmlns:r="http://schemas.openxmlformats.org/officeDocument/2006/relationships" r:embed="rId1" cstate="print"/>
        <a:stretch>
          <a:fillRect/>
        </a:stretch>
      </xdr:blipFill>
      <xdr:spPr>
        <a:prstGeom prst="rect">
          <a:avLst/>
        </a:prstGeom>
        <a:ln>
          <a:prstDash val="solid"/>
        </a:ln>
      </xdr:spPr>
    </xdr:pic>
    <xdr:clientData/>
  </xdr:oneCellAnchor>
  <xdr:oneCellAnchor>
    <xdr:from>
      <xdr:col>0</xdr:col>
      <xdr:colOff>0</xdr:colOff>
      <xdr:row>35</xdr:row>
      <xdr:rowOff>0</xdr:rowOff>
    </xdr:from>
    <xdr:ext cx="7048500" cy="4572000"/>
    <xdr:pic>
      <xdr:nvPicPr>
        <xdr:cNvPr id="3" name="Image 2" descr="Picture">
          <a:extLst>
            <a:ext uri="{FF2B5EF4-FFF2-40B4-BE49-F238E27FC236}">
              <a16:creationId xmlns:a16="http://schemas.microsoft.com/office/drawing/2014/main" id="{00000000-0008-0000-0900-000003000000}"/>
            </a:ext>
          </a:extLst>
        </xdr:cNvPr>
        <xdr:cNvPicPr/>
      </xdr:nvPicPr>
      <xdr:blipFill>
        <a:blip xmlns:r="http://schemas.openxmlformats.org/officeDocument/2006/relationships" r:embed="rId2" cstate="print"/>
        <a:stretch>
          <a:fillRect/>
        </a:stretch>
      </xdr:blipFill>
      <xdr:spPr>
        <a:prstGeom prst="rect">
          <a:avLst/>
        </a:prstGeom>
        <a:ln>
          <a:prstDash val="solid"/>
        </a:ln>
      </xdr:spPr>
    </xdr:pic>
    <xdr:clientData/>
  </xdr:oneCellAnchor>
  <xdr:oneCellAnchor>
    <xdr:from>
      <xdr:col>0</xdr:col>
      <xdr:colOff>0</xdr:colOff>
      <xdr:row>77</xdr:row>
      <xdr:rowOff>0</xdr:rowOff>
    </xdr:from>
    <xdr:ext cx="8763000" cy="6572250"/>
    <xdr:pic>
      <xdr:nvPicPr>
        <xdr:cNvPr id="4" name="Image 3" descr="Picture">
          <a:extLst>
            <a:ext uri="{FF2B5EF4-FFF2-40B4-BE49-F238E27FC236}">
              <a16:creationId xmlns:a16="http://schemas.microsoft.com/office/drawing/2014/main" id="{00000000-0008-0000-0900-000004000000}"/>
            </a:ext>
          </a:extLst>
        </xdr:cNvPr>
        <xdr:cNvPicPr/>
      </xdr:nvPicPr>
      <xdr:blipFill>
        <a:blip xmlns:r="http://schemas.openxmlformats.org/officeDocument/2006/relationships" r:embed="rId3" cstate="print"/>
        <a:stretch>
          <a:fillRect/>
        </a:stretch>
      </xdr:blipFill>
      <xdr:spPr>
        <a:prstGeom prst="rect">
          <a:avLst/>
        </a:prstGeom>
        <a:ln>
          <a:prstDash val="solid"/>
        </a:ln>
      </xdr:spPr>
    </xdr:pic>
    <xdr:clientData/>
  </xdr:oneCellAnchor>
  <xdr:oneCellAnchor>
    <xdr:from>
      <xdr:col>0</xdr:col>
      <xdr:colOff>0</xdr:colOff>
      <xdr:row>83</xdr:row>
      <xdr:rowOff>0</xdr:rowOff>
    </xdr:from>
    <xdr:ext cx="10477500" cy="7429500"/>
    <xdr:pic>
      <xdr:nvPicPr>
        <xdr:cNvPr id="5" name="Image 4" descr="Picture">
          <a:extLst>
            <a:ext uri="{FF2B5EF4-FFF2-40B4-BE49-F238E27FC236}">
              <a16:creationId xmlns:a16="http://schemas.microsoft.com/office/drawing/2014/main" id="{00000000-0008-0000-0900-000005000000}"/>
            </a:ext>
          </a:extLst>
        </xdr:cNvPr>
        <xdr:cNvPicPr/>
      </xdr:nvPicPr>
      <xdr:blipFill>
        <a:blip xmlns:r="http://schemas.openxmlformats.org/officeDocument/2006/relationships" r:embed="rId4" cstate="print"/>
        <a:stretch>
          <a:fillRect/>
        </a:stretch>
      </xdr:blipFill>
      <xdr:spPr>
        <a:prstGeom prst="rect">
          <a:avLst/>
        </a:prstGeom>
        <a:ln>
          <a:prstDash val="solid"/>
        </a:ln>
      </xdr:spPr>
    </xdr:pic>
    <xdr:clientData/>
  </xdr:oneCellAnchor>
  <xdr:oneCellAnchor>
    <xdr:from>
      <xdr:col>0</xdr:col>
      <xdr:colOff>0</xdr:colOff>
      <xdr:row>131</xdr:row>
      <xdr:rowOff>0</xdr:rowOff>
    </xdr:from>
    <xdr:ext cx="10477500" cy="7429500"/>
    <xdr:pic>
      <xdr:nvPicPr>
        <xdr:cNvPr id="6" name="Image 5" descr="Picture">
          <a:extLst>
            <a:ext uri="{FF2B5EF4-FFF2-40B4-BE49-F238E27FC236}">
              <a16:creationId xmlns:a16="http://schemas.microsoft.com/office/drawing/2014/main" id="{00000000-0008-0000-0900-000006000000}"/>
            </a:ext>
          </a:extLst>
        </xdr:cNvPr>
        <xdr:cNvPicPr/>
      </xdr:nvPicPr>
      <xdr:blipFill>
        <a:blip xmlns:r="http://schemas.openxmlformats.org/officeDocument/2006/relationships" r:embed="rId5" cstate="print"/>
        <a:stretch>
          <a:fillRect/>
        </a:stretch>
      </xdr:blipFill>
      <xdr:spPr>
        <a:prstGeom prst="rect">
          <a:avLst/>
        </a:prstGeom>
        <a:ln>
          <a:prstDash val="solid"/>
        </a:ln>
      </xdr:spPr>
    </xdr:pic>
    <xdr:clientData/>
  </xdr:oneCellAnchor>
</xdr:wsDr>
</file>

<file path=xl/drawings/drawing8.xml><?xml version="1.0" encoding="utf-8"?>
<xdr:wsDr xmlns:xdr="http://schemas.openxmlformats.org/drawingml/2006/spreadsheetDrawing" xmlns:a="http://schemas.openxmlformats.org/drawingml/2006/main">
  <xdr:oneCellAnchor>
    <xdr:from>
      <xdr:col>0</xdr:col>
      <xdr:colOff>0</xdr:colOff>
      <xdr:row>79</xdr:row>
      <xdr:rowOff>0</xdr:rowOff>
    </xdr:from>
    <xdr:ext cx="8763000" cy="6572250"/>
    <xdr:pic>
      <xdr:nvPicPr>
        <xdr:cNvPr id="2" name="Image 1" descr="Picture">
          <a:extLst>
            <a:ext uri="{FF2B5EF4-FFF2-40B4-BE49-F238E27FC236}">
              <a16:creationId xmlns:a16="http://schemas.microsoft.com/office/drawing/2014/main" id="{00000000-0008-0000-0A00-000002000000}"/>
            </a:ext>
          </a:extLst>
        </xdr:cNvPr>
        <xdr:cNvPicPr/>
      </xdr:nvPicPr>
      <xdr:blipFill>
        <a:blip xmlns:r="http://schemas.openxmlformats.org/officeDocument/2006/relationships" r:embed="rId1" cstate="print"/>
        <a:stretch>
          <a:fillRect/>
        </a:stretch>
      </xdr:blipFill>
      <xdr:spPr>
        <a:prstGeom prst="rect">
          <a:avLst/>
        </a:prstGeom>
        <a:ln>
          <a:prstDash val="solid"/>
        </a:ln>
      </xdr:spPr>
    </xdr:pic>
    <xdr:clientData/>
  </xdr:oneCellAnchor>
</xdr:wsDr>
</file>

<file path=xl/drawings/drawing9.xml><?xml version="1.0" encoding="utf-8"?>
<xdr:wsDr xmlns:xdr="http://schemas.openxmlformats.org/drawingml/2006/spreadsheetDrawing" xmlns:a="http://schemas.openxmlformats.org/drawingml/2006/main">
  <xdr:oneCellAnchor>
    <xdr:from>
      <xdr:col>0</xdr:col>
      <xdr:colOff>0</xdr:colOff>
      <xdr:row>63</xdr:row>
      <xdr:rowOff>0</xdr:rowOff>
    </xdr:from>
    <xdr:ext cx="6858000" cy="4191000"/>
    <xdr:pic>
      <xdr:nvPicPr>
        <xdr:cNvPr id="2" name="Image 1" descr="Picture">
          <a:extLst>
            <a:ext uri="{FF2B5EF4-FFF2-40B4-BE49-F238E27FC236}">
              <a16:creationId xmlns:a16="http://schemas.microsoft.com/office/drawing/2014/main" id="{00000000-0008-0000-0B00-000002000000}"/>
            </a:ext>
          </a:extLst>
        </xdr:cNvPr>
        <xdr:cNvPicPr/>
      </xdr:nvPicPr>
      <xdr:blipFill>
        <a:blip xmlns:r="http://schemas.openxmlformats.org/officeDocument/2006/relationships" r:embed="rId1" cstate="print"/>
        <a:stretch>
          <a:fillRect/>
        </a:stretch>
      </xdr:blipFill>
      <xdr:spPr>
        <a:prstGeom prst="rect">
          <a:avLst/>
        </a:prstGeom>
        <a:ln>
          <a:prstDash val="solid"/>
        </a:ln>
      </xdr:spPr>
    </xdr:pic>
    <xdr:clientData/>
  </xdr:oneCellAnchor>
  <xdr:oneCellAnchor>
    <xdr:from>
      <xdr:col>0</xdr:col>
      <xdr:colOff>0</xdr:colOff>
      <xdr:row>101</xdr:row>
      <xdr:rowOff>0</xdr:rowOff>
    </xdr:from>
    <xdr:ext cx="8763000" cy="6572250"/>
    <xdr:pic>
      <xdr:nvPicPr>
        <xdr:cNvPr id="3" name="Image 2" descr="Picture">
          <a:extLst>
            <a:ext uri="{FF2B5EF4-FFF2-40B4-BE49-F238E27FC236}">
              <a16:creationId xmlns:a16="http://schemas.microsoft.com/office/drawing/2014/main" id="{00000000-0008-0000-0B00-000003000000}"/>
            </a:ext>
          </a:extLst>
        </xdr:cNvPr>
        <xdr:cNvPicPr/>
      </xdr:nvPicPr>
      <xdr:blipFill>
        <a:blip xmlns:r="http://schemas.openxmlformats.org/officeDocument/2006/relationships" r:embed="rId2" cstate="print"/>
        <a:stretch>
          <a:fillRect/>
        </a:stretch>
      </xdr:blipFill>
      <xdr:spPr>
        <a:prstGeom prst="rect">
          <a:avLst/>
        </a:prstGeom>
        <a:ln>
          <a:prstDash val="solid"/>
        </a:ln>
      </xdr:spPr>
    </xdr:pic>
    <xdr:clientData/>
  </xdr:oneCellAnchor>
  <xdr:oneCellAnchor>
    <xdr:from>
      <xdr:col>0</xdr:col>
      <xdr:colOff>0</xdr:colOff>
      <xdr:row>107</xdr:row>
      <xdr:rowOff>0</xdr:rowOff>
    </xdr:from>
    <xdr:ext cx="11430000" cy="7858125"/>
    <xdr:pic>
      <xdr:nvPicPr>
        <xdr:cNvPr id="4" name="Image 3" descr="Picture">
          <a:extLst>
            <a:ext uri="{FF2B5EF4-FFF2-40B4-BE49-F238E27FC236}">
              <a16:creationId xmlns:a16="http://schemas.microsoft.com/office/drawing/2014/main" id="{00000000-0008-0000-0B00-000004000000}"/>
            </a:ext>
          </a:extLst>
        </xdr:cNvPr>
        <xdr:cNvPicPr/>
      </xdr:nvPicPr>
      <xdr:blipFill>
        <a:blip xmlns:r="http://schemas.openxmlformats.org/officeDocument/2006/relationships" r:embed="rId3" cstate="print"/>
        <a:stretch>
          <a:fillRect/>
        </a:stretch>
      </xdr:blipFill>
      <xdr:spPr>
        <a:prstGeom prst="rect">
          <a:avLst/>
        </a:prstGeom>
        <a:ln>
          <a:prstDash val="solid"/>
        </a:ln>
      </xdr:spPr>
    </xdr:pic>
    <xdr:clientData/>
  </xdr:oneCellAnchor>
</xdr:wsDr>
</file>

<file path=xl/drawings/drawing10.xml><?xml version="1.0" encoding="utf-8"?>
<xdr:wsDr xmlns:xdr="http://schemas.openxmlformats.org/drawingml/2006/spreadsheetDrawing" xmlns:a="http://schemas.openxmlformats.org/drawingml/2006/main">
  <xdr:oneCellAnchor>
    <xdr:from>
      <xdr:col>6</xdr:col>
      <xdr:colOff>0</xdr:colOff>
      <xdr:row>3</xdr:row>
      <xdr:rowOff>0</xdr:rowOff>
    </xdr:from>
    <xdr:ext cx="5400000" cy="3600000"/>
    <xdr:graphicFrame macro="">
      <xdr:nvGraphicFramePr>
        <xdr:cNvPr id="2" name="Chart 1">
          <a:extLst>
            <a:ext uri="{FF2B5EF4-FFF2-40B4-BE49-F238E27FC236}">
              <a16:creationId xmlns:a16="http://schemas.microsoft.com/office/drawing/2014/main" id="{00000000-0008-0000-0C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oneCellAnchor>
</xdr:wsDr>
</file>

<file path=xl/drawings/drawing11.xml><?xml version="1.0" encoding="utf-8"?>
<xdr:wsDr xmlns:xdr="http://schemas.openxmlformats.org/drawingml/2006/spreadsheetDrawing" xmlns:a="http://schemas.openxmlformats.org/drawingml/2006/main">
  <xdr:twoCellAnchor>
    <xdr:from>
      <xdr:col>4</xdr:col>
      <xdr:colOff>47625</xdr:colOff>
      <xdr:row>4</xdr:row>
      <xdr:rowOff>47625</xdr:rowOff>
    </xdr:from>
    <xdr:to>
      <xdr:col>5</xdr:col>
      <xdr:colOff>904875</xdr:colOff>
      <xdr:row>15</xdr:row>
      <xdr:rowOff>180975</xdr:rowOff>
    </xdr:to>
    <xdr:graphicFrame macro="">
      <xdr:nvGraphicFramePr>
        <xdr:cNvPr id="2" name="Chart 2">
          <a:extLst>
            <a:ext uri="{FF2B5EF4-FFF2-40B4-BE49-F238E27FC236}">
              <a16:creationId xmlns:a16="http://schemas.microsoft.com/office/drawing/2014/main" id="{00000000-0008-0000-0F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3</xdr:col>
      <xdr:colOff>0</xdr:colOff>
      <xdr:row>10</xdr:row>
      <xdr:rowOff>0</xdr:rowOff>
    </xdr:from>
    <xdr:ext cx="5040000" cy="4320000"/>
    <xdr:graphicFrame macro="">
      <xdr:nvGraphicFramePr>
        <xdr:cNvPr id="3" name="Chart 1">
          <a:extLst>
            <a:ext uri="{FF2B5EF4-FFF2-40B4-BE49-F238E27FC236}">
              <a16:creationId xmlns:a16="http://schemas.microsoft.com/office/drawing/2014/main" id="{00000000-0008-0000-0F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oneCellAnchor>
  <xdr:oneCellAnchor>
    <xdr:from>
      <xdr:col>10</xdr:col>
      <xdr:colOff>0</xdr:colOff>
      <xdr:row>10</xdr:row>
      <xdr:rowOff>0</xdr:rowOff>
    </xdr:from>
    <xdr:ext cx="3333750" cy="3048000"/>
    <xdr:pic>
      <xdr:nvPicPr>
        <xdr:cNvPr id="4" name="Image 3" descr="Picture">
          <a:extLst>
            <a:ext uri="{FF2B5EF4-FFF2-40B4-BE49-F238E27FC236}">
              <a16:creationId xmlns:a16="http://schemas.microsoft.com/office/drawing/2014/main" id="{00000000-0008-0000-0F00-000004000000}"/>
            </a:ext>
          </a:extLst>
        </xdr:cNvPr>
        <xdr:cNvPicPr/>
      </xdr:nvPicPr>
      <xdr:blipFill>
        <a:blip xmlns:r="http://schemas.openxmlformats.org/officeDocument/2006/relationships" r:embed="rId3" cstate="print"/>
        <a:stretch>
          <a:fillRect/>
        </a:stretch>
      </xdr:blipFill>
      <xdr:spPr>
        <a:prstGeom prst="rect">
          <a:avLst/>
        </a:prstGeom>
        <a:ln>
          <a:prstDash val="solid"/>
        </a:ln>
      </xdr:spPr>
    </xdr:pic>
    <xdr:clientData/>
  </xdr:oneCellAnchor>
</xdr:wsDr>
</file>

<file path=xl/drawings/drawing12.xml><?xml version="1.0" encoding="utf-8"?>
<xdr:wsDr xmlns:xdr="http://schemas.openxmlformats.org/drawingml/2006/spreadsheetDrawing" xmlns:a="http://schemas.openxmlformats.org/drawingml/2006/main">
  <xdr:oneCellAnchor>
    <xdr:from>
      <xdr:col>4</xdr:col>
      <xdr:colOff>0</xdr:colOff>
      <xdr:row>1</xdr:row>
      <xdr:rowOff>0</xdr:rowOff>
    </xdr:from>
    <xdr:ext cx="6480000" cy="3600000"/>
    <xdr:graphicFrame macro="">
      <xdr:nvGraphicFramePr>
        <xdr:cNvPr id="2" name="Chart 1">
          <a:extLst>
            <a:ext uri="{FF2B5EF4-FFF2-40B4-BE49-F238E27FC236}">
              <a16:creationId xmlns:a16="http://schemas.microsoft.com/office/drawing/2014/main" id="{00000000-0008-0000-1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oneCellAnchor>
  <xdr:oneCellAnchor>
    <xdr:from>
      <xdr:col>0</xdr:col>
      <xdr:colOff>0</xdr:colOff>
      <xdr:row>62</xdr:row>
      <xdr:rowOff>0</xdr:rowOff>
    </xdr:from>
    <xdr:ext cx="7239000" cy="3810000"/>
    <xdr:pic>
      <xdr:nvPicPr>
        <xdr:cNvPr id="3" name="Image 1" descr="Picture">
          <a:extLst>
            <a:ext uri="{FF2B5EF4-FFF2-40B4-BE49-F238E27FC236}">
              <a16:creationId xmlns:a16="http://schemas.microsoft.com/office/drawing/2014/main" id="{00000000-0008-0000-1100-000003000000}"/>
            </a:ext>
          </a:extLst>
        </xdr:cNvPr>
        <xdr:cNvPicPr/>
      </xdr:nvPicPr>
      <xdr:blipFill>
        <a:blip xmlns:r="http://schemas.openxmlformats.org/officeDocument/2006/relationships" r:embed="rId2" cstate="print"/>
        <a:stretch>
          <a:fillRect/>
        </a:stretch>
      </xdr:blipFill>
      <xdr:spPr>
        <a:prstGeom prst="rect">
          <a:avLst/>
        </a:prstGeom>
        <a:ln>
          <a:prstDash val="solid"/>
        </a:ln>
      </xdr:spPr>
    </xdr:pic>
    <xdr:clientData/>
  </xdr:oneCellAnchor>
  <xdr:oneCellAnchor>
    <xdr:from>
      <xdr:col>0</xdr:col>
      <xdr:colOff>0</xdr:colOff>
      <xdr:row>69</xdr:row>
      <xdr:rowOff>0</xdr:rowOff>
    </xdr:from>
    <xdr:ext cx="8763000" cy="6572250"/>
    <xdr:pic>
      <xdr:nvPicPr>
        <xdr:cNvPr id="4" name="Image 3" descr="Picture">
          <a:extLst>
            <a:ext uri="{FF2B5EF4-FFF2-40B4-BE49-F238E27FC236}">
              <a16:creationId xmlns:a16="http://schemas.microsoft.com/office/drawing/2014/main" id="{00000000-0008-0000-1100-000004000000}"/>
            </a:ext>
          </a:extLst>
        </xdr:cNvPr>
        <xdr:cNvPicPr/>
      </xdr:nvPicPr>
      <xdr:blipFill>
        <a:blip xmlns:r="http://schemas.openxmlformats.org/officeDocument/2006/relationships" r:embed="rId3" cstate="print"/>
        <a:stretch>
          <a:fillRect/>
        </a:stretch>
      </xdr:blipFill>
      <xdr:spPr>
        <a:prstGeom prst="rect">
          <a:avLst/>
        </a:prstGeom>
        <a:ln>
          <a:prstDash val="solid"/>
        </a:ln>
      </xdr:spPr>
    </xdr:pic>
    <xdr:clientData/>
  </xdr:oneCellAnchor>
</xdr:wsDr>
</file>

<file path=xl/drawings/drawing13.xml><?xml version="1.0" encoding="utf-8"?>
<xdr:wsDr xmlns:xdr="http://schemas.openxmlformats.org/drawingml/2006/spreadsheetDrawing" xmlns:a="http://schemas.openxmlformats.org/drawingml/2006/main">
  <xdr:oneCellAnchor>
    <xdr:from>
      <xdr:col>0</xdr:col>
      <xdr:colOff>0</xdr:colOff>
      <xdr:row>56</xdr:row>
      <xdr:rowOff>0</xdr:rowOff>
    </xdr:from>
    <xdr:ext cx="8763000" cy="6572250"/>
    <xdr:pic>
      <xdr:nvPicPr>
        <xdr:cNvPr id="2" name="Image 1" descr="Picture">
          <a:extLst>
            <a:ext uri="{FF2B5EF4-FFF2-40B4-BE49-F238E27FC236}">
              <a16:creationId xmlns:a16="http://schemas.microsoft.com/office/drawing/2014/main" id="{00000000-0008-0000-1200-000002000000}"/>
            </a:ext>
          </a:extLst>
        </xdr:cNvPr>
        <xdr:cNvPicPr/>
      </xdr:nvPicPr>
      <xdr:blipFill>
        <a:blip xmlns:r="http://schemas.openxmlformats.org/officeDocument/2006/relationships" r:embed="rId1" cstate="print"/>
        <a:stretch>
          <a:fillRect/>
        </a:stretch>
      </xdr:blipFill>
      <xdr:spPr>
        <a:prstGeom prst="rect">
          <a:avLst/>
        </a:prstGeom>
        <a:ln>
          <a:prstDash val="solid"/>
        </a:ln>
      </xdr:spPr>
    </xdr:pic>
    <xdr:clientData/>
  </xdr:oneCellAnchor>
</xdr:wsDr>
</file>

<file path=xl/drawings/drawing14.xml><?xml version="1.0" encoding="utf-8"?>
<xdr:wsDr xmlns:xdr="http://schemas.openxmlformats.org/drawingml/2006/spreadsheetDrawing" xmlns:a="http://schemas.openxmlformats.org/drawingml/2006/main">
  <xdr:oneCellAnchor>
    <xdr:from>
      <xdr:col>0</xdr:col>
      <xdr:colOff>0</xdr:colOff>
      <xdr:row>56</xdr:row>
      <xdr:rowOff>0</xdr:rowOff>
    </xdr:from>
    <xdr:ext cx="6858000" cy="3619500"/>
    <xdr:pic>
      <xdr:nvPicPr>
        <xdr:cNvPr id="2" name="Image 1" descr="Picture">
          <a:extLst>
            <a:ext uri="{FF2B5EF4-FFF2-40B4-BE49-F238E27FC236}">
              <a16:creationId xmlns:a16="http://schemas.microsoft.com/office/drawing/2014/main" id="{00000000-0008-0000-1300-000002000000}"/>
            </a:ext>
          </a:extLst>
        </xdr:cNvPr>
        <xdr:cNvPicPr/>
      </xdr:nvPicPr>
      <xdr:blipFill>
        <a:blip xmlns:r="http://schemas.openxmlformats.org/officeDocument/2006/relationships" r:embed="rId1" cstate="print"/>
        <a:stretch>
          <a:fillRect/>
        </a:stretch>
      </xdr:blipFill>
      <xdr:spPr>
        <a:prstGeom prst="rect">
          <a:avLst/>
        </a:prstGeom>
        <a:ln>
          <a:prstDash val="solid"/>
        </a:ln>
      </xdr:spPr>
    </xdr:pic>
    <xdr:clientData/>
  </xdr:oneCellAnchor>
  <xdr:oneCellAnchor>
    <xdr:from>
      <xdr:col>0</xdr:col>
      <xdr:colOff>0</xdr:colOff>
      <xdr:row>62</xdr:row>
      <xdr:rowOff>0</xdr:rowOff>
    </xdr:from>
    <xdr:ext cx="8763000" cy="6572250"/>
    <xdr:pic>
      <xdr:nvPicPr>
        <xdr:cNvPr id="3" name="Image 2" descr="Picture">
          <a:extLst>
            <a:ext uri="{FF2B5EF4-FFF2-40B4-BE49-F238E27FC236}">
              <a16:creationId xmlns:a16="http://schemas.microsoft.com/office/drawing/2014/main" id="{00000000-0008-0000-1300-000003000000}"/>
            </a:ext>
          </a:extLst>
        </xdr:cNvPr>
        <xdr:cNvPicPr/>
      </xdr:nvPicPr>
      <xdr:blipFill>
        <a:blip xmlns:r="http://schemas.openxmlformats.org/officeDocument/2006/relationships" r:embed="rId2" cstate="print"/>
        <a:stretch>
          <a:fillRect/>
        </a:stretch>
      </xdr:blipFill>
      <xdr:spPr>
        <a:prstGeom prst="rect">
          <a:avLst/>
        </a:prstGeom>
        <a:ln>
          <a:prstDash val="solid"/>
        </a:ln>
      </xdr:spPr>
    </xdr:pic>
    <xdr:clientData/>
  </xdr:oneCellAnchor>
</xdr:wsDr>
</file>

<file path=xl/drawings/drawing15.xml><?xml version="1.0" encoding="utf-8"?>
<xdr:wsDr xmlns:xdr="http://schemas.openxmlformats.org/drawingml/2006/spreadsheetDrawing" xmlns:a="http://schemas.openxmlformats.org/drawingml/2006/main">
  <xdr:oneCellAnchor>
    <xdr:from>
      <xdr:col>0</xdr:col>
      <xdr:colOff>0</xdr:colOff>
      <xdr:row>36</xdr:row>
      <xdr:rowOff>0</xdr:rowOff>
    </xdr:from>
    <xdr:ext cx="8763000" cy="6572250"/>
    <xdr:pic>
      <xdr:nvPicPr>
        <xdr:cNvPr id="2" name="Image 1" descr="Picture">
          <a:extLst>
            <a:ext uri="{FF2B5EF4-FFF2-40B4-BE49-F238E27FC236}">
              <a16:creationId xmlns:a16="http://schemas.microsoft.com/office/drawing/2014/main" id="{00000000-0008-0000-1500-000002000000}"/>
            </a:ext>
          </a:extLst>
        </xdr:cNvPr>
        <xdr:cNvPicPr/>
      </xdr:nvPicPr>
      <xdr:blipFill>
        <a:blip xmlns:r="http://schemas.openxmlformats.org/officeDocument/2006/relationships" r:embed="rId1" cstate="print"/>
        <a:stretch>
          <a:fillRect/>
        </a:stretch>
      </xdr:blipFill>
      <xdr:spPr>
        <a:prstGeom prst="rect">
          <a:avLst/>
        </a:prstGeom>
        <a:ln>
          <a:prstDash val="solid"/>
        </a:ln>
      </xdr:spPr>
    </xdr:pic>
    <xdr:clientData/>
  </xdr:oneCellAnchor>
</xdr:wsDr>
</file>

<file path=xl/drawings/drawing16.xml><?xml version="1.0" encoding="utf-8"?>
<xdr:wsDr xmlns:xdr="http://schemas.openxmlformats.org/drawingml/2006/spreadsheetDrawing" xmlns:a="http://schemas.openxmlformats.org/drawingml/2006/main">
  <xdr:oneCellAnchor>
    <xdr:from>
      <xdr:col>0</xdr:col>
      <xdr:colOff>0</xdr:colOff>
      <xdr:row>2</xdr:row>
      <xdr:rowOff>0</xdr:rowOff>
    </xdr:from>
    <xdr:ext cx="10477500" cy="7429500"/>
    <xdr:pic>
      <xdr:nvPicPr>
        <xdr:cNvPr id="2" name="Image 1" descr="Picture">
          <a:extLst>
            <a:ext uri="{FF2B5EF4-FFF2-40B4-BE49-F238E27FC236}">
              <a16:creationId xmlns:a16="http://schemas.microsoft.com/office/drawing/2014/main" id="{00000000-0008-0000-2200-000002000000}"/>
            </a:ext>
          </a:extLst>
        </xdr:cNvPr>
        <xdr:cNvPicPr/>
      </xdr:nvPicPr>
      <xdr:blipFill>
        <a:blip xmlns:r="http://schemas.openxmlformats.org/officeDocument/2006/relationships" r:embed="rId1" cstate="print"/>
        <a:stretch>
          <a:fillRect/>
        </a:stretch>
      </xdr:blipFill>
      <xdr:spPr>
        <a:prstGeom prst="rect">
          <a:avLst/>
        </a:prstGeom>
        <a:ln>
          <a:prstDash val="solid"/>
        </a:ln>
      </xdr:spPr>
    </xdr:pic>
    <xdr:clientData/>
  </xdr:oneCellAnchor>
</xdr:wsDr>
</file>

<file path=xl/drawings/drawing17.xml><?xml version="1.0" encoding="utf-8"?>
<xdr:wsDr xmlns:xdr="http://schemas.openxmlformats.org/drawingml/2006/spreadsheetDrawing" xmlns:a="http://schemas.openxmlformats.org/drawingml/2006/main">
  <xdr:oneCellAnchor>
    <xdr:from>
      <xdr:col>0</xdr:col>
      <xdr:colOff>0</xdr:colOff>
      <xdr:row>2</xdr:row>
      <xdr:rowOff>0</xdr:rowOff>
    </xdr:from>
    <xdr:ext cx="10477500" cy="7429500"/>
    <xdr:pic>
      <xdr:nvPicPr>
        <xdr:cNvPr id="2" name="Image 1" descr="Picture">
          <a:extLst>
            <a:ext uri="{FF2B5EF4-FFF2-40B4-BE49-F238E27FC236}">
              <a16:creationId xmlns:a16="http://schemas.microsoft.com/office/drawing/2014/main" id="{00000000-0008-0000-2300-000002000000}"/>
            </a:ext>
          </a:extLst>
        </xdr:cNvPr>
        <xdr:cNvPicPr/>
      </xdr:nvPicPr>
      <xdr:blipFill>
        <a:blip xmlns:r="http://schemas.openxmlformats.org/officeDocument/2006/relationships" r:embed="rId1" cstate="print"/>
        <a:stretch>
          <a:fillRect/>
        </a:stretch>
      </xdr:blipFill>
      <xdr:spPr>
        <a:prstGeom prst="rect">
          <a:avLst/>
        </a:prstGeom>
        <a:ln>
          <a:prstDash val="solid"/>
        </a:ln>
      </xdr:spPr>
    </xdr:pic>
    <xdr:clientData/>
  </xdr:oneCellAnchor>
</xdr:wsDr>
</file>

<file path=xl/drawings/drawing18.xml><?xml version="1.0" encoding="utf-8"?>
<xdr:wsDr xmlns:xdr="http://schemas.openxmlformats.org/drawingml/2006/spreadsheetDrawing" xmlns:a="http://schemas.openxmlformats.org/drawingml/2006/main">
  <xdr:oneCellAnchor>
    <xdr:from>
      <xdr:col>0</xdr:col>
      <xdr:colOff>0</xdr:colOff>
      <xdr:row>2</xdr:row>
      <xdr:rowOff>0</xdr:rowOff>
    </xdr:from>
    <xdr:ext cx="10477500" cy="7429500"/>
    <xdr:pic>
      <xdr:nvPicPr>
        <xdr:cNvPr id="2" name="Image 1" descr="Picture">
          <a:extLst>
            <a:ext uri="{FF2B5EF4-FFF2-40B4-BE49-F238E27FC236}">
              <a16:creationId xmlns:a16="http://schemas.microsoft.com/office/drawing/2014/main" id="{00000000-0008-0000-2400-000002000000}"/>
            </a:ext>
          </a:extLst>
        </xdr:cNvPr>
        <xdr:cNvPicPr/>
      </xdr:nvPicPr>
      <xdr:blipFill>
        <a:blip xmlns:r="http://schemas.openxmlformats.org/officeDocument/2006/relationships" r:embed="rId1" cstate="print"/>
        <a:stretch>
          <a:fillRect/>
        </a:stretch>
      </xdr:blipFill>
      <xdr:spPr>
        <a:prstGeom prst="rect">
          <a:avLst/>
        </a:prstGeom>
        <a:ln>
          <a:prstDash val="solid"/>
        </a:ln>
      </xdr:spPr>
    </xdr:pic>
    <xdr:clientData/>
  </xdr:oneCellAnchor>
</xdr:wsDr>
</file>

<file path=xl/drawings/drawing19.xml><?xml version="1.0" encoding="utf-8"?>
<xdr:wsDr xmlns:xdr="http://schemas.openxmlformats.org/drawingml/2006/spreadsheetDrawing" xmlns:a="http://schemas.openxmlformats.org/drawingml/2006/main">
  <xdr:oneCellAnchor>
    <xdr:from>
      <xdr:col>0</xdr:col>
      <xdr:colOff>0</xdr:colOff>
      <xdr:row>2</xdr:row>
      <xdr:rowOff>0</xdr:rowOff>
    </xdr:from>
    <xdr:ext cx="10477500" cy="7429500"/>
    <xdr:pic>
      <xdr:nvPicPr>
        <xdr:cNvPr id="2" name="Image 1" descr="Picture">
          <a:extLst>
            <a:ext uri="{FF2B5EF4-FFF2-40B4-BE49-F238E27FC236}">
              <a16:creationId xmlns:a16="http://schemas.microsoft.com/office/drawing/2014/main" id="{00000000-0008-0000-2500-000002000000}"/>
            </a:ext>
          </a:extLst>
        </xdr:cNvPr>
        <xdr:cNvPicPr/>
      </xdr:nvPicPr>
      <xdr:blipFill>
        <a:blip xmlns:r="http://schemas.openxmlformats.org/officeDocument/2006/relationships" r:embed="rId1" cstate="print"/>
        <a:stretch>
          <a:fillRect/>
        </a:stretch>
      </xdr:blipFill>
      <xdr:spPr>
        <a:prstGeom prst="rect">
          <a:avLst/>
        </a:prstGeom>
        <a:ln>
          <a:prstDash val="solid"/>
        </a:ln>
      </xdr:spPr>
    </xdr:pic>
    <xdr:clientData/>
  </xdr:oneCellAnchor>
</xdr:wsDr>
</file>

<file path=xl/drawings/drawing20.xml><?xml version="1.0" encoding="utf-8"?>
<xdr:wsDr xmlns:xdr="http://schemas.openxmlformats.org/drawingml/2006/spreadsheetDrawing" xmlns:a="http://schemas.openxmlformats.org/drawingml/2006/main">
  <xdr:oneCellAnchor>
    <xdr:from>
      <xdr:col>0</xdr:col>
      <xdr:colOff>0</xdr:colOff>
      <xdr:row>2</xdr:row>
      <xdr:rowOff>0</xdr:rowOff>
    </xdr:from>
    <xdr:ext cx="10477500" cy="7429500"/>
    <xdr:pic>
      <xdr:nvPicPr>
        <xdr:cNvPr id="2" name="Image 1" descr="Picture">
          <a:extLst>
            <a:ext uri="{FF2B5EF4-FFF2-40B4-BE49-F238E27FC236}">
              <a16:creationId xmlns:a16="http://schemas.microsoft.com/office/drawing/2014/main" id="{00000000-0008-0000-2600-000002000000}"/>
            </a:ext>
          </a:extLst>
        </xdr:cNvPr>
        <xdr:cNvPicPr/>
      </xdr:nvPicPr>
      <xdr:blipFill>
        <a:blip xmlns:r="http://schemas.openxmlformats.org/officeDocument/2006/relationships" r:embed="rId1" cstate="print"/>
        <a:stretch>
          <a:fillRect/>
        </a:stretch>
      </xdr:blipFill>
      <xdr:spPr>
        <a:prstGeom prst="rect">
          <a:avLst/>
        </a:prstGeom>
        <a:ln>
          <a:prstDash val="solid"/>
        </a:ln>
      </xdr:spPr>
    </xdr:pic>
    <xdr:clientData/>
  </xdr:oneCellAnchor>
</xdr:wsDr>
</file>

<file path=xl/drawings/drawing21.xml><?xml version="1.0" encoding="utf-8"?>
<xdr:wsDr xmlns:xdr="http://schemas.openxmlformats.org/drawingml/2006/spreadsheetDrawing" xmlns:a="http://schemas.openxmlformats.org/drawingml/2006/main">
  <xdr:oneCellAnchor>
    <xdr:from>
      <xdr:col>0</xdr:col>
      <xdr:colOff>0</xdr:colOff>
      <xdr:row>2</xdr:row>
      <xdr:rowOff>0</xdr:rowOff>
    </xdr:from>
    <xdr:ext cx="10477500" cy="7429500"/>
    <xdr:pic>
      <xdr:nvPicPr>
        <xdr:cNvPr id="2" name="Image 1" descr="Picture">
          <a:extLst>
            <a:ext uri="{FF2B5EF4-FFF2-40B4-BE49-F238E27FC236}">
              <a16:creationId xmlns:a16="http://schemas.microsoft.com/office/drawing/2014/main" id="{00000000-0008-0000-2700-000002000000}"/>
            </a:ext>
          </a:extLst>
        </xdr:cNvPr>
        <xdr:cNvPicPr/>
      </xdr:nvPicPr>
      <xdr:blipFill>
        <a:blip xmlns:r="http://schemas.openxmlformats.org/officeDocument/2006/relationships" r:embed="rId1" cstate="print"/>
        <a:stretch>
          <a:fillRect/>
        </a:stretch>
      </xdr:blipFill>
      <xdr:spPr>
        <a:prstGeom prst="rect">
          <a:avLst/>
        </a:prstGeom>
        <a:ln>
          <a:prstDash val="solid"/>
        </a:ln>
      </xdr:spPr>
    </xdr:pic>
    <xdr:clientData/>
  </xdr:oneCellAnchor>
</xdr:wsDr>
</file>

<file path=xl/drawings/drawing22.xml><?xml version="1.0" encoding="utf-8"?>
<xdr:wsDr xmlns:xdr="http://schemas.openxmlformats.org/drawingml/2006/spreadsheetDrawing" xmlns:a="http://schemas.openxmlformats.org/drawingml/2006/main">
  <xdr:oneCellAnchor>
    <xdr:from>
      <xdr:col>0</xdr:col>
      <xdr:colOff>0</xdr:colOff>
      <xdr:row>2</xdr:row>
      <xdr:rowOff>0</xdr:rowOff>
    </xdr:from>
    <xdr:ext cx="10477500" cy="7429500"/>
    <xdr:pic>
      <xdr:nvPicPr>
        <xdr:cNvPr id="2" name="Image 1" descr="Picture">
          <a:extLst>
            <a:ext uri="{FF2B5EF4-FFF2-40B4-BE49-F238E27FC236}">
              <a16:creationId xmlns:a16="http://schemas.microsoft.com/office/drawing/2014/main" id="{00000000-0008-0000-2800-000002000000}"/>
            </a:ext>
          </a:extLst>
        </xdr:cNvPr>
        <xdr:cNvPicPr/>
      </xdr:nvPicPr>
      <xdr:blipFill>
        <a:blip xmlns:r="http://schemas.openxmlformats.org/officeDocument/2006/relationships" r:embed="rId1" cstate="print"/>
        <a:stretch>
          <a:fillRect/>
        </a:stretch>
      </xdr:blipFill>
      <xdr:spPr>
        <a:prstGeom prst="rect">
          <a:avLst/>
        </a:prstGeom>
        <a:ln>
          <a:prstDash val="solid"/>
        </a:ln>
      </xdr:spPr>
    </xdr:pic>
    <xdr:clientData/>
  </xdr:oneCellAnchor>
</xdr:wsDr>
</file>

<file path=xl/drawings/drawing23.xml><?xml version="1.0" encoding="utf-8"?>
<xdr:wsDr xmlns:xdr="http://schemas.openxmlformats.org/drawingml/2006/spreadsheetDrawing" xmlns:a="http://schemas.openxmlformats.org/drawingml/2006/main">
  <xdr:oneCellAnchor>
    <xdr:from>
      <xdr:col>0</xdr:col>
      <xdr:colOff>0</xdr:colOff>
      <xdr:row>2</xdr:row>
      <xdr:rowOff>0</xdr:rowOff>
    </xdr:from>
    <xdr:ext cx="10477500" cy="7429500"/>
    <xdr:pic>
      <xdr:nvPicPr>
        <xdr:cNvPr id="2" name="Image 1" descr="Picture">
          <a:extLst>
            <a:ext uri="{FF2B5EF4-FFF2-40B4-BE49-F238E27FC236}">
              <a16:creationId xmlns:a16="http://schemas.microsoft.com/office/drawing/2014/main" id="{00000000-0008-0000-2900-000002000000}"/>
            </a:ext>
          </a:extLst>
        </xdr:cNvPr>
        <xdr:cNvPicPr/>
      </xdr:nvPicPr>
      <xdr:blipFill>
        <a:blip xmlns:r="http://schemas.openxmlformats.org/officeDocument/2006/relationships" r:embed="rId1" cstate="print"/>
        <a:stretch>
          <a:fillRect/>
        </a:stretch>
      </xdr:blipFill>
      <xdr:spPr>
        <a:prstGeom prst="rect">
          <a:avLst/>
        </a:prstGeom>
        <a:ln>
          <a:prstDash val="solid"/>
        </a:ln>
      </xdr:spPr>
    </xdr:pic>
    <xdr:clientData/>
  </xdr:oneCellAnchor>
</xdr:wsDr>
</file>

<file path=xl/drawings/drawing24.xml><?xml version="1.0" encoding="utf-8"?>
<xdr:wsDr xmlns:xdr="http://schemas.openxmlformats.org/drawingml/2006/spreadsheetDrawing" xmlns:a="http://schemas.openxmlformats.org/drawingml/2006/main">
  <xdr:oneCellAnchor>
    <xdr:from>
      <xdr:col>0</xdr:col>
      <xdr:colOff>0</xdr:colOff>
      <xdr:row>2</xdr:row>
      <xdr:rowOff>0</xdr:rowOff>
    </xdr:from>
    <xdr:ext cx="10477500" cy="7429500"/>
    <xdr:pic>
      <xdr:nvPicPr>
        <xdr:cNvPr id="2" name="Image 1" descr="Picture">
          <a:extLst>
            <a:ext uri="{FF2B5EF4-FFF2-40B4-BE49-F238E27FC236}">
              <a16:creationId xmlns:a16="http://schemas.microsoft.com/office/drawing/2014/main" id="{00000000-0008-0000-2A00-000002000000}"/>
            </a:ext>
          </a:extLst>
        </xdr:cNvPr>
        <xdr:cNvPicPr/>
      </xdr:nvPicPr>
      <xdr:blipFill>
        <a:blip xmlns:r="http://schemas.openxmlformats.org/officeDocument/2006/relationships" r:embed="rId1" cstate="print"/>
        <a:stretch>
          <a:fillRect/>
        </a:stretch>
      </xdr:blipFill>
      <xdr:spPr>
        <a:prstGeom prst="rect">
          <a:avLst/>
        </a:prstGeom>
        <a:ln>
          <a:prstDash val="solid"/>
        </a:ln>
      </xdr:spPr>
    </xdr:pic>
    <xdr:clientData/>
  </xdr:oneCellAnchor>
</xdr:wsDr>
</file>

<file path=xl/drawings/drawing25.xml><?xml version="1.0" encoding="utf-8"?>
<xdr:wsDr xmlns:xdr="http://schemas.openxmlformats.org/drawingml/2006/spreadsheetDrawing" xmlns:a="http://schemas.openxmlformats.org/drawingml/2006/main">
  <xdr:oneCellAnchor>
    <xdr:from>
      <xdr:col>0</xdr:col>
      <xdr:colOff>0</xdr:colOff>
      <xdr:row>2</xdr:row>
      <xdr:rowOff>0</xdr:rowOff>
    </xdr:from>
    <xdr:ext cx="10477500" cy="7429500"/>
    <xdr:pic>
      <xdr:nvPicPr>
        <xdr:cNvPr id="2" name="Image 1" descr="Picture">
          <a:extLst>
            <a:ext uri="{FF2B5EF4-FFF2-40B4-BE49-F238E27FC236}">
              <a16:creationId xmlns:a16="http://schemas.microsoft.com/office/drawing/2014/main" id="{00000000-0008-0000-2B00-000002000000}"/>
            </a:ext>
          </a:extLst>
        </xdr:cNvPr>
        <xdr:cNvPicPr/>
      </xdr:nvPicPr>
      <xdr:blipFill>
        <a:blip xmlns:r="http://schemas.openxmlformats.org/officeDocument/2006/relationships" r:embed="rId1" cstate="print"/>
        <a:stretch>
          <a:fillRect/>
        </a:stretch>
      </xdr:blipFill>
      <xdr:spPr>
        <a:prstGeom prst="rect">
          <a:avLst/>
        </a:prstGeom>
        <a:ln>
          <a:prstDash val="solid"/>
        </a:ln>
      </xdr:spPr>
    </xdr:pic>
    <xdr:clientData/>
  </xdr:one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DCF%20&#8212;%20&#1575;&#1604;&#1578;&#1583;&#1602;&#1575;&#1578;%20&#1575;&#1604;&#1606;&#1602;&#1583;&#1610;&#1577;"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CF — التدقات النقدية"/>
    </sheetNames>
    <sheetDataSet>
      <sheetData sheetId="0" refreshError="1"/>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7.xml.rels><?xml version="1.0" encoding="UTF-8" standalone="yes"?>
<Relationships xmlns="http://schemas.openxmlformats.org/package/2006/relationships"><Relationship Id="rId8" Type="http://schemas.openxmlformats.org/officeDocument/2006/relationships/hyperlink" Target="https://investinegypt.gov.eg/english/pages/realestate.aspx" TargetMode="External"/><Relationship Id="rId3" Type="http://schemas.openxmlformats.org/officeDocument/2006/relationships/hyperlink" Target="https://www.olx.com.eg/real-estate_c1484/cairo_c1498/?search%5Bfilter_float_price:from%5D=1000000" TargetMode="External"/><Relationship Id="rId7" Type="http://schemas.openxmlformats.org/officeDocument/2006/relationships/hyperlink" Target="https://www.capmas.gov.eg/Pages/StaticPages.aspx?page_id=5035" TargetMode="External"/><Relationship Id="rId2" Type="http://schemas.openxmlformats.org/officeDocument/2006/relationships/hyperlink" Target="https://www.propertyfinder.eg/en/buy/apartments-for-sale-in-fifth-settlement.html" TargetMode="External"/><Relationship Id="rId1" Type="http://schemas.openxmlformats.org/officeDocument/2006/relationships/hyperlink" Target="https://aqarmap.com.eg/ar/for-sale/apartment/cairo/new-cairo/fifth-settlement/" TargetMode="External"/><Relationship Id="rId6" Type="http://schemas.openxmlformats.org/officeDocument/2006/relationships/hyperlink" Target="https://www.cbe.org.eg/en/monetary-policy/mpc-decisions" TargetMode="External"/><Relationship Id="rId5" Type="http://schemas.openxmlformats.org/officeDocument/2006/relationships/hyperlink" Target="https://www.national.com.eg/properties" TargetMode="External"/><Relationship Id="rId10" Type="http://schemas.openxmlformats.org/officeDocument/2006/relationships/hyperlink" Target="https://www.ivsc.org/standards/" TargetMode="External"/><Relationship Id="rId4" Type="http://schemas.openxmlformats.org/officeDocument/2006/relationships/hyperlink" Target="https://www.bayut.com.eg/for-sale/apartments/new-cairo/" TargetMode="External"/><Relationship Id="rId9" Type="http://schemas.openxmlformats.org/officeDocument/2006/relationships/hyperlink" Target="https://www.msci.com/real-estate" TargetMode="Externa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35.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36.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37.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38.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39.xml.rels><?xml version="1.0" encoding="UTF-8" standalone="yes"?>
<Relationships xmlns="http://schemas.openxmlformats.org/package/2006/relationships"><Relationship Id="rId1" Type="http://schemas.openxmlformats.org/officeDocument/2006/relationships/drawing" Target="../drawings/drawing20.xml"/></Relationships>
</file>

<file path=xl/worksheets/_rels/sheet40.xml.rels><?xml version="1.0" encoding="UTF-8" standalone="yes"?>
<Relationships xmlns="http://schemas.openxmlformats.org/package/2006/relationships"><Relationship Id="rId1" Type="http://schemas.openxmlformats.org/officeDocument/2006/relationships/drawing" Target="../drawings/drawing21.xml"/></Relationships>
</file>

<file path=xl/worksheets/_rels/sheet41.xml.rels><?xml version="1.0" encoding="UTF-8" standalone="yes"?>
<Relationships xmlns="http://schemas.openxmlformats.org/package/2006/relationships"><Relationship Id="rId1" Type="http://schemas.openxmlformats.org/officeDocument/2006/relationships/drawing" Target="../drawings/drawing22.xml"/></Relationships>
</file>

<file path=xl/worksheets/_rels/sheet42.xml.rels><?xml version="1.0" encoding="UTF-8" standalone="yes"?>
<Relationships xmlns="http://schemas.openxmlformats.org/package/2006/relationships"><Relationship Id="rId1" Type="http://schemas.openxmlformats.org/officeDocument/2006/relationships/drawing" Target="../drawings/drawing23.xml"/></Relationships>
</file>

<file path=xl/worksheets/_rels/sheet43.xml.rels><?xml version="1.0" encoding="UTF-8" standalone="yes"?>
<Relationships xmlns="http://schemas.openxmlformats.org/package/2006/relationships"><Relationship Id="rId1" Type="http://schemas.openxmlformats.org/officeDocument/2006/relationships/drawing" Target="../drawings/drawing24.xml"/></Relationships>
</file>

<file path=xl/worksheets/_rels/sheet44.xml.rels><?xml version="1.0" encoding="UTF-8" standalone="yes"?>
<Relationships xmlns="http://schemas.openxmlformats.org/package/2006/relationships"><Relationship Id="rId1" Type="http://schemas.openxmlformats.org/officeDocument/2006/relationships/drawing" Target="../drawings/drawing2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H29"/>
  <sheetViews>
    <sheetView rightToLeft="1" workbookViewId="0">
      <pane ySplit="1" topLeftCell="A2" activePane="bottomLeft" state="frozen"/>
      <selection pane="bottomLeft" activeCell="B5" sqref="B5"/>
    </sheetView>
  </sheetViews>
  <sheetFormatPr defaultRowHeight="14.4"/>
  <cols>
    <col min="1" max="1" width="34" customWidth="1"/>
    <col min="2" max="2" width="38" customWidth="1"/>
    <col min="3" max="3" width="13" customWidth="1"/>
  </cols>
  <sheetData>
    <row r="1" spans="1:3" ht="37.950000000000003" customHeight="1">
      <c r="A1" s="117" t="s">
        <v>21</v>
      </c>
      <c r="B1" s="116"/>
      <c r="C1" s="116"/>
    </row>
    <row r="3" spans="1:3">
      <c r="A3" s="112" t="s">
        <v>22</v>
      </c>
      <c r="B3" s="113"/>
      <c r="C3" s="114"/>
    </row>
    <row r="4" spans="1:3" ht="15.6">
      <c r="A4" s="18" t="s">
        <v>23</v>
      </c>
      <c r="B4" s="19">
        <f>'الافتراضات والمدخلات'!$B$4</f>
        <v>150</v>
      </c>
      <c r="C4" s="20" t="s">
        <v>24</v>
      </c>
    </row>
    <row r="5" spans="1:3" ht="15.6">
      <c r="A5" s="18" t="s">
        <v>25</v>
      </c>
      <c r="B5" s="19">
        <f>'الافتراضات والمدخلات'!$B$5</f>
        <v>33262</v>
      </c>
      <c r="C5" s="20" t="s">
        <v>26</v>
      </c>
    </row>
    <row r="6" spans="1:3" ht="15.6">
      <c r="A6" s="18" t="s">
        <v>27</v>
      </c>
      <c r="B6" s="19">
        <f>'الافتراضات والمدخلات'!$B$6</f>
        <v>380</v>
      </c>
      <c r="C6" s="20" t="s">
        <v>26</v>
      </c>
    </row>
    <row r="7" spans="1:3" ht="15.6">
      <c r="A7" s="18" t="s">
        <v>28</v>
      </c>
      <c r="B7" s="19">
        <f>'الافتراضات والمدخلات'!$B$7</f>
        <v>0.08</v>
      </c>
      <c r="C7" s="20" t="s">
        <v>29</v>
      </c>
    </row>
    <row r="8" spans="1:3" ht="15.6">
      <c r="A8" s="18" t="s">
        <v>30</v>
      </c>
      <c r="B8" s="19">
        <f>'الافتراضات والمدخلات'!$B$10</f>
        <v>2010</v>
      </c>
      <c r="C8" s="20" t="s">
        <v>29</v>
      </c>
    </row>
    <row r="9" spans="1:3" ht="15.6">
      <c r="A9" s="18" t="s">
        <v>31</v>
      </c>
      <c r="B9" s="19">
        <f ca="1">YEAR(TODAY())-'الافتراضات والمدخلات'!$B$10</f>
        <v>16</v>
      </c>
      <c r="C9" s="20" t="s">
        <v>32</v>
      </c>
    </row>
    <row r="11" spans="1:3">
      <c r="A11" s="112" t="s">
        <v>33</v>
      </c>
      <c r="B11" s="113"/>
      <c r="C11" s="114"/>
    </row>
    <row r="12" spans="1:3" ht="15.6">
      <c r="A12" s="18" t="s">
        <v>34</v>
      </c>
      <c r="B12" s="19">
        <f>'توفيق النتائج'!C5</f>
        <v>3399779.25</v>
      </c>
      <c r="C12" s="20" t="s">
        <v>35</v>
      </c>
    </row>
    <row r="13" spans="1:3" ht="15.6">
      <c r="A13" s="18" t="s">
        <v>36</v>
      </c>
      <c r="B13" s="19">
        <f>'توفيق النتائج'!C6</f>
        <v>1576775.0000000009</v>
      </c>
      <c r="C13" s="20" t="s">
        <v>35</v>
      </c>
    </row>
    <row r="14" spans="1:3" ht="15.6">
      <c r="A14" s="18" t="s">
        <v>37</v>
      </c>
      <c r="B14" s="19">
        <f>'توفيق النتائج'!C7</f>
        <v>476202.53164556972</v>
      </c>
      <c r="C14" s="20" t="s">
        <v>35</v>
      </c>
    </row>
    <row r="15" spans="1:3" ht="15.6">
      <c r="A15" s="18" t="s">
        <v>38</v>
      </c>
      <c r="B15" s="19">
        <f>'توفيق النتائج'!C8</f>
        <v>3537517.4755532909</v>
      </c>
      <c r="C15" s="20" t="s">
        <v>35</v>
      </c>
    </row>
    <row r="16" spans="1:3" ht="15.6">
      <c r="A16" s="18" t="s">
        <v>39</v>
      </c>
      <c r="B16" s="19">
        <f>'توفيق النتائج'!C9</f>
        <v>3447674.3072107667</v>
      </c>
      <c r="C16" s="20" t="s">
        <v>35</v>
      </c>
    </row>
    <row r="17" spans="1:8" ht="15.6">
      <c r="A17" s="18" t="s">
        <v>40</v>
      </c>
      <c r="B17" s="19">
        <f>'توفيق النتائج'!C10</f>
        <v>3652501.5487530734</v>
      </c>
      <c r="C17" s="20" t="s">
        <v>35</v>
      </c>
    </row>
    <row r="19" spans="1:8">
      <c r="A19" s="112" t="s">
        <v>41</v>
      </c>
      <c r="B19" s="113"/>
      <c r="C19" s="114"/>
    </row>
    <row r="20" spans="1:8" ht="15.6">
      <c r="A20" s="18" t="s">
        <v>42</v>
      </c>
      <c r="B20" s="19">
        <f>'توفيق النتائج'!E13</f>
        <v>17621.785445635782</v>
      </c>
      <c r="C20" s="20" t="s">
        <v>26</v>
      </c>
    </row>
    <row r="21" spans="1:8" ht="15.6">
      <c r="A21" s="18" t="s">
        <v>43</v>
      </c>
      <c r="B21" s="19">
        <f>'توفيق النتائج'!E14</f>
        <v>2643267.8168453672</v>
      </c>
      <c r="C21" s="20" t="s">
        <v>35</v>
      </c>
    </row>
    <row r="23" spans="1:8">
      <c r="A23" s="112" t="s">
        <v>44</v>
      </c>
      <c r="B23" s="113"/>
      <c r="C23" s="114"/>
    </row>
    <row r="24" spans="1:8" ht="15.6">
      <c r="A24" s="18" t="s">
        <v>45</v>
      </c>
      <c r="B24" s="19" t="str">
        <f>'أفضل وأعلى استخدام — HABU'!B19</f>
        <v>تجاري (Commercial)</v>
      </c>
      <c r="C24" s="20" t="s">
        <v>29</v>
      </c>
    </row>
    <row r="25" spans="1:8" ht="15.6">
      <c r="A25" s="18" t="s">
        <v>46</v>
      </c>
      <c r="B25" s="19">
        <f>'أفضل وأعلى استخدام — HABU'!B20</f>
        <v>866400</v>
      </c>
      <c r="C25" s="20" t="s">
        <v>35</v>
      </c>
    </row>
    <row r="26" spans="1:8" ht="15.6">
      <c r="A26" s="18" t="s">
        <v>47</v>
      </c>
      <c r="B26" s="19">
        <f>'أفضل وأعلى استخدام — HABU'!B21</f>
        <v>1.4000000000000001</v>
      </c>
      <c r="C26" s="20" t="s">
        <v>48</v>
      </c>
    </row>
    <row r="29" spans="1:8" ht="40.049999999999997" customHeight="1">
      <c r="A29" s="115" t="s">
        <v>49</v>
      </c>
      <c r="B29" s="116"/>
      <c r="C29" s="116"/>
      <c r="D29" s="116"/>
      <c r="E29" s="116"/>
      <c r="F29" s="116"/>
      <c r="G29" s="116"/>
      <c r="H29" s="116"/>
    </row>
  </sheetData>
  <mergeCells count="6">
    <mergeCell ref="A19:C19"/>
    <mergeCell ref="A11:C11"/>
    <mergeCell ref="A29:H29"/>
    <mergeCell ref="A1:C1"/>
    <mergeCell ref="A23:C23"/>
    <mergeCell ref="A3:C3"/>
  </mergeCells>
  <conditionalFormatting sqref="B4:B9">
    <cfRule type="colorScale" priority="1">
      <colorScale>
        <cfvo type="min"/>
        <cfvo type="percentile" val="50"/>
        <cfvo type="max"/>
        <color rgb="FFC9EAD9"/>
        <color rgb="FFF8EFC9"/>
        <color rgb="FFFBE0D7"/>
      </colorScale>
    </cfRule>
  </conditionalFormatting>
  <conditionalFormatting sqref="B12:B17">
    <cfRule type="colorScale" priority="2">
      <colorScale>
        <cfvo type="min"/>
        <cfvo type="percentile" val="50"/>
        <cfvo type="max"/>
        <color rgb="FFFBE0D7"/>
        <color rgb="FFF8EFC9"/>
        <color rgb="FFC9EAD9"/>
      </colorScale>
    </cfRule>
  </conditionalFormatting>
  <conditionalFormatting sqref="B20:B21">
    <cfRule type="colorScale" priority="3">
      <colorScale>
        <cfvo type="min"/>
        <cfvo type="max"/>
        <color rgb="FFF8EFC9"/>
        <color rgb="FFC9A961"/>
      </colorScale>
    </cfRule>
  </conditionalFormatting>
  <conditionalFormatting sqref="B24:B26">
    <cfRule type="colorScale" priority="4">
      <colorScale>
        <cfvo type="min"/>
        <cfvo type="percentile" val="50"/>
        <cfvo type="max"/>
        <color rgb="FFE0D7EE"/>
        <color rgb="FFF8EFC9"/>
        <color rgb="FFC9EAD9"/>
      </colorScale>
    </cfRule>
  </conditionalFormatting>
  <pageMargins left="0.75" right="0.75" top="1" bottom="1" header="0.5" footer="0.5"/>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N48"/>
  <sheetViews>
    <sheetView showGridLines="0" rightToLeft="1" workbookViewId="0">
      <selection sqref="A1:N1"/>
    </sheetView>
  </sheetViews>
  <sheetFormatPr defaultRowHeight="14.4"/>
  <cols>
    <col min="1" max="15" width="14" customWidth="1"/>
  </cols>
  <sheetData>
    <row r="1" spans="1:14" ht="49.95" customHeight="1">
      <c r="A1" s="120" t="s">
        <v>50</v>
      </c>
      <c r="B1" s="116"/>
      <c r="C1" s="116"/>
      <c r="D1" s="116"/>
      <c r="E1" s="116"/>
      <c r="F1" s="116"/>
      <c r="G1" s="116"/>
      <c r="H1" s="116"/>
      <c r="I1" s="116"/>
      <c r="J1" s="116"/>
      <c r="K1" s="116"/>
      <c r="L1" s="116"/>
      <c r="M1" s="116"/>
      <c r="N1" s="116"/>
    </row>
    <row r="48" spans="1:14" ht="28.05" customHeight="1">
      <c r="A48" s="118" t="s">
        <v>51</v>
      </c>
      <c r="B48" s="119"/>
      <c r="C48" s="119"/>
      <c r="D48" s="119"/>
      <c r="E48" s="119"/>
      <c r="F48" s="119"/>
      <c r="G48" s="119"/>
      <c r="H48" s="119"/>
      <c r="I48" s="119"/>
      <c r="J48" s="119"/>
      <c r="K48" s="119"/>
      <c r="L48" s="119"/>
      <c r="M48" s="119"/>
      <c r="N48" s="119"/>
    </row>
  </sheetData>
  <mergeCells count="2">
    <mergeCell ref="A48:N48"/>
    <mergeCell ref="A1:N1"/>
  </mergeCells>
  <pageMargins left="0.75" right="0.75" top="1" bottom="1" header="0.5" footer="0.5"/>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L20"/>
  <sheetViews>
    <sheetView showGridLines="0" rightToLeft="1" topLeftCell="A7" workbookViewId="0">
      <selection sqref="A1:L1"/>
    </sheetView>
  </sheetViews>
  <sheetFormatPr defaultRowHeight="14.4"/>
  <cols>
    <col min="1" max="12" width="14" customWidth="1"/>
  </cols>
  <sheetData>
    <row r="1" spans="1:12" ht="49.95" customHeight="1">
      <c r="A1" s="120" t="s">
        <v>52</v>
      </c>
      <c r="B1" s="116"/>
      <c r="C1" s="116"/>
      <c r="D1" s="116"/>
      <c r="E1" s="116"/>
      <c r="F1" s="116"/>
      <c r="G1" s="116"/>
      <c r="H1" s="116"/>
      <c r="I1" s="116"/>
      <c r="J1" s="116"/>
      <c r="K1" s="116"/>
      <c r="L1" s="116"/>
    </row>
    <row r="3" spans="1:12" ht="30" customHeight="1">
      <c r="E3" s="127" t="s">
        <v>53</v>
      </c>
      <c r="F3" s="119"/>
      <c r="G3" s="119"/>
      <c r="H3" s="119"/>
    </row>
    <row r="4" spans="1:12" ht="43.95" customHeight="1">
      <c r="E4" s="138">
        <f>'توفيق النتائج'!$E$14</f>
        <v>2643267.8168453672</v>
      </c>
      <c r="F4" s="119"/>
      <c r="G4" s="119"/>
      <c r="H4" s="119"/>
    </row>
    <row r="5" spans="1:12" ht="28.05" customHeight="1">
      <c r="E5" s="132" t="s">
        <v>54</v>
      </c>
      <c r="F5" s="119"/>
      <c r="G5" s="119"/>
      <c r="H5" s="119"/>
    </row>
    <row r="7" spans="1:12" ht="28.05" customHeight="1">
      <c r="B7" s="123" t="s">
        <v>55</v>
      </c>
      <c r="C7" s="111"/>
      <c r="D7" s="123" t="s">
        <v>56</v>
      </c>
      <c r="E7" s="111"/>
      <c r="F7" s="123" t="s">
        <v>57</v>
      </c>
      <c r="G7" s="111"/>
      <c r="H7" s="123" t="s">
        <v>58</v>
      </c>
      <c r="I7" s="111"/>
      <c r="J7" s="123" t="s">
        <v>59</v>
      </c>
      <c r="K7" s="111"/>
    </row>
    <row r="8" spans="1:12" ht="25.95" customHeight="1">
      <c r="B8" s="123" t="s">
        <v>60</v>
      </c>
      <c r="C8" s="111"/>
      <c r="D8" s="122">
        <f>'توفيق النتائج'!$B$5</f>
        <v>22665.195</v>
      </c>
      <c r="E8" s="111"/>
      <c r="F8" s="122">
        <f>'توفيق النتائج'!$C$5</f>
        <v>3399779.25</v>
      </c>
      <c r="G8" s="111"/>
      <c r="H8" s="124">
        <f>'توفيق النتائج'!$D$5</f>
        <v>0.3</v>
      </c>
      <c r="I8" s="111"/>
      <c r="J8" s="122">
        <f>'توفيق النتائج'!$E$5</f>
        <v>6799.5585000000001</v>
      </c>
      <c r="K8" s="111"/>
    </row>
    <row r="9" spans="1:12" ht="25.95" customHeight="1">
      <c r="B9" s="140" t="s">
        <v>61</v>
      </c>
      <c r="C9" s="111"/>
      <c r="D9" s="121">
        <f>'توفيق النتائج'!$B$6</f>
        <v>10511.833333333339</v>
      </c>
      <c r="E9" s="111"/>
      <c r="F9" s="121">
        <f>'توفيق النتائج'!$C$6</f>
        <v>1576775.0000000009</v>
      </c>
      <c r="G9" s="111"/>
      <c r="H9" s="125">
        <f>'توفيق النتائج'!$D$6</f>
        <v>0.2</v>
      </c>
      <c r="I9" s="111"/>
      <c r="J9" s="121">
        <f>'توفيق النتائج'!$E$6</f>
        <v>2102.3666666666682</v>
      </c>
      <c r="K9" s="111"/>
    </row>
    <row r="10" spans="1:12" ht="25.95" customHeight="1">
      <c r="B10" s="139" t="s">
        <v>62</v>
      </c>
      <c r="C10" s="111"/>
      <c r="D10" s="122">
        <f>'توفيق النتائج'!$B$7</f>
        <v>3174.683544303798</v>
      </c>
      <c r="E10" s="111"/>
      <c r="F10" s="122">
        <f>'توفيق النتائج'!$C$7</f>
        <v>476202.53164556972</v>
      </c>
      <c r="G10" s="111"/>
      <c r="H10" s="124">
        <f>'توفيق النتائج'!$D$7</f>
        <v>0.15</v>
      </c>
      <c r="I10" s="111"/>
      <c r="J10" s="122">
        <f>'توفيق النتائج'!$E$7</f>
        <v>476.20253164556971</v>
      </c>
      <c r="K10" s="111"/>
    </row>
    <row r="11" spans="1:12" ht="25.95" customHeight="1">
      <c r="B11" s="128" t="s">
        <v>63</v>
      </c>
      <c r="C11" s="111"/>
      <c r="D11" s="121">
        <f>'توفيق النتائج'!$B$8</f>
        <v>23583.449837021941</v>
      </c>
      <c r="E11" s="111"/>
      <c r="F11" s="121">
        <f>'توفيق النتائج'!$C$8</f>
        <v>3537517.4755532909</v>
      </c>
      <c r="G11" s="111"/>
      <c r="H11" s="125">
        <f>'توفيق النتائج'!$D$8</f>
        <v>0.15</v>
      </c>
      <c r="I11" s="111"/>
      <c r="J11" s="121">
        <f>'توفيق النتائج'!$E$8</f>
        <v>3537.5174755532912</v>
      </c>
      <c r="K11" s="111"/>
    </row>
    <row r="12" spans="1:12" ht="25.95" customHeight="1">
      <c r="B12" s="126" t="s">
        <v>64</v>
      </c>
      <c r="C12" s="111"/>
      <c r="D12" s="122">
        <f>'توفيق النتائج'!$B$9</f>
        <v>22984.495381405111</v>
      </c>
      <c r="E12" s="111"/>
      <c r="F12" s="122">
        <f>'توفيق النتائج'!$C$9</f>
        <v>3447674.3072107667</v>
      </c>
      <c r="G12" s="111"/>
      <c r="H12" s="124">
        <f>'توفيق النتائج'!$D$9</f>
        <v>0.12</v>
      </c>
      <c r="I12" s="111"/>
      <c r="J12" s="122">
        <f>'توفيق النتائج'!$E$9</f>
        <v>2758.1394457686133</v>
      </c>
      <c r="K12" s="111"/>
    </row>
    <row r="13" spans="1:12" ht="25.95" customHeight="1">
      <c r="B13" s="134" t="s">
        <v>65</v>
      </c>
      <c r="C13" s="111"/>
      <c r="D13" s="121">
        <f>'توفيق النتائج'!$B$10</f>
        <v>24350.010325020488</v>
      </c>
      <c r="E13" s="111"/>
      <c r="F13" s="121">
        <f>'توفيق النتائج'!$C$10</f>
        <v>3652501.5487530734</v>
      </c>
      <c r="G13" s="111"/>
      <c r="H13" s="125">
        <f>'توفيق النتائج'!$D$10</f>
        <v>0.08</v>
      </c>
      <c r="I13" s="111"/>
      <c r="J13" s="121">
        <f>'توفيق النتائج'!$E$10</f>
        <v>1948.0008260016391</v>
      </c>
      <c r="K13" s="111"/>
    </row>
    <row r="15" spans="1:12" ht="31.95" customHeight="1">
      <c r="A15" s="142" t="s">
        <v>66</v>
      </c>
      <c r="B15" s="119"/>
      <c r="C15" s="119"/>
      <c r="D15" s="119"/>
      <c r="E15" s="119"/>
      <c r="F15" s="119"/>
      <c r="G15" s="119"/>
      <c r="H15" s="119"/>
      <c r="I15" s="119"/>
      <c r="J15" s="119"/>
      <c r="K15" s="119"/>
      <c r="L15" s="119"/>
    </row>
    <row r="16" spans="1:12" ht="28.05" customHeight="1">
      <c r="A16" s="126" t="s">
        <v>45</v>
      </c>
      <c r="B16" s="110"/>
      <c r="C16" s="110"/>
      <c r="D16" s="110"/>
      <c r="E16" s="111"/>
      <c r="F16" s="129" t="str">
        <f>'أفضل وأعلى استخدام — HABU'!$B$19</f>
        <v>تجاري (Commercial)</v>
      </c>
      <c r="G16" s="130"/>
      <c r="H16" s="130"/>
      <c r="I16" s="130"/>
      <c r="J16" s="130"/>
      <c r="K16" s="130"/>
      <c r="L16" s="131"/>
    </row>
    <row r="17" spans="1:12" ht="28.05" customHeight="1">
      <c r="A17" s="139" t="s">
        <v>67</v>
      </c>
      <c r="B17" s="110"/>
      <c r="C17" s="110"/>
      <c r="D17" s="110"/>
      <c r="E17" s="111"/>
      <c r="F17" s="143">
        <f>'أفضل وأعلى استخدام — HABU'!$B$20</f>
        <v>866400</v>
      </c>
      <c r="G17" s="130"/>
      <c r="H17" s="130"/>
      <c r="I17" s="130"/>
      <c r="J17" s="130"/>
      <c r="K17" s="130"/>
      <c r="L17" s="131"/>
    </row>
    <row r="18" spans="1:12" ht="28.05" customHeight="1">
      <c r="A18" s="133" t="s">
        <v>68</v>
      </c>
      <c r="B18" s="110"/>
      <c r="C18" s="110"/>
      <c r="D18" s="110"/>
      <c r="E18" s="111"/>
      <c r="F18" s="141">
        <f>'أفضل وأعلى استخدام — HABU'!$B$21</f>
        <v>1.4000000000000001</v>
      </c>
      <c r="G18" s="130"/>
      <c r="H18" s="130"/>
      <c r="I18" s="130"/>
      <c r="J18" s="130"/>
      <c r="K18" s="130"/>
      <c r="L18" s="131"/>
    </row>
    <row r="20" spans="1:12" ht="36" customHeight="1">
      <c r="A20" s="135" t="str">
        <f>IF('DCF — التدفقات النقدية'!$B$41&gt;0.15,"🟢  استثمار موصى به بقوة — IRR قوى",IF('DCF — التدفقات النقدية'!$B$41&gt;0.1,"🟡  استثمار محتمل — يحتاج دراسة جدوى تكميلية","🔴  لا يُنصح بالاستثمار — IRR منخفض"))</f>
        <v>🔴  لا يُنصح بالاستثمار — IRR منخفض</v>
      </c>
      <c r="B20" s="136"/>
      <c r="C20" s="136"/>
      <c r="D20" s="136"/>
      <c r="E20" s="136"/>
      <c r="F20" s="136"/>
      <c r="G20" s="136"/>
      <c r="H20" s="136"/>
      <c r="I20" s="136"/>
      <c r="J20" s="136"/>
      <c r="K20" s="136"/>
      <c r="L20" s="137"/>
    </row>
  </sheetData>
  <mergeCells count="47">
    <mergeCell ref="F17:L17"/>
    <mergeCell ref="A1:L1"/>
    <mergeCell ref="H8:I8"/>
    <mergeCell ref="J8:K8"/>
    <mergeCell ref="A18:E18"/>
    <mergeCell ref="F8:G8"/>
    <mergeCell ref="B13:C13"/>
    <mergeCell ref="A20:L20"/>
    <mergeCell ref="H11:I11"/>
    <mergeCell ref="J11:K11"/>
    <mergeCell ref="B10:C10"/>
    <mergeCell ref="F13:G13"/>
    <mergeCell ref="B9:C9"/>
    <mergeCell ref="D9:E9"/>
    <mergeCell ref="H13:I13"/>
    <mergeCell ref="A17:E17"/>
    <mergeCell ref="F9:G9"/>
    <mergeCell ref="D12:E12"/>
    <mergeCell ref="F18:L18"/>
    <mergeCell ref="D8:E8"/>
    <mergeCell ref="B12:C12"/>
    <mergeCell ref="F12:G12"/>
    <mergeCell ref="E3:H3"/>
    <mergeCell ref="B11:C11"/>
    <mergeCell ref="A16:E16"/>
    <mergeCell ref="D11:E11"/>
    <mergeCell ref="D13:E13"/>
    <mergeCell ref="F16:L16"/>
    <mergeCell ref="B8:C8"/>
    <mergeCell ref="E5:H5"/>
    <mergeCell ref="D7:E7"/>
    <mergeCell ref="H7:I7"/>
    <mergeCell ref="E4:H4"/>
    <mergeCell ref="J7:K7"/>
    <mergeCell ref="H12:I12"/>
    <mergeCell ref="A15:L15"/>
    <mergeCell ref="J10:K10"/>
    <mergeCell ref="J13:K13"/>
    <mergeCell ref="H9:I9"/>
    <mergeCell ref="F7:G7"/>
    <mergeCell ref="J9:K9"/>
    <mergeCell ref="J12:K12"/>
    <mergeCell ref="F11:G11"/>
    <mergeCell ref="D10:E10"/>
    <mergeCell ref="B7:C7"/>
    <mergeCell ref="F10:G10"/>
    <mergeCell ref="H10:I10"/>
  </mergeCells>
  <conditionalFormatting sqref="H8:H13">
    <cfRule type="dataBar" priority="1">
      <dataBar>
        <cfvo type="num" val="0"/>
        <cfvo type="num" val="1"/>
        <color rgb="FFC9A961"/>
      </dataBar>
    </cfRule>
  </conditionalFormatting>
  <conditionalFormatting sqref="F8:F13">
    <cfRule type="colorScale" priority="2">
      <colorScale>
        <cfvo type="min"/>
        <cfvo type="percentile" val="50"/>
        <cfvo type="max"/>
        <color rgb="FFFBE0D7"/>
        <color rgb="FFF8EFC9"/>
        <color rgb="FFC9EAD9"/>
      </colorScale>
    </cfRule>
  </conditionalFormatting>
  <pageMargins left="0.75" right="0.75" top="1" bottom="1" header="0.5" footer="0.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tabColor rgb="FF1F4E78"/>
  </sheetPr>
  <dimension ref="A1:I160"/>
  <sheetViews>
    <sheetView rightToLeft="1" workbookViewId="0">
      <pane ySplit="1" topLeftCell="A16" activePane="bottomLeft" state="frozen"/>
      <selection pane="bottomLeft" activeCell="D1" sqref="D1"/>
    </sheetView>
  </sheetViews>
  <sheetFormatPr defaultRowHeight="14.4"/>
  <cols>
    <col min="1" max="1" width="38" customWidth="1"/>
    <col min="2" max="2" width="22" customWidth="1"/>
    <col min="3" max="3" width="33.21875" customWidth="1"/>
    <col min="4" max="4" width="42" customWidth="1"/>
    <col min="5" max="5" width="18" customWidth="1"/>
    <col min="6" max="7" width="14" customWidth="1"/>
    <col min="8" max="9" width="38" customWidth="1"/>
  </cols>
  <sheetData>
    <row r="1" spans="1:9" ht="37.950000000000003" customHeight="1">
      <c r="A1" s="153" t="s">
        <v>69</v>
      </c>
      <c r="B1" s="116"/>
      <c r="C1" s="154"/>
      <c r="E1" s="20" t="s">
        <v>70</v>
      </c>
      <c r="H1" s="23">
        <f>COUNTA(B4,B5,B6,B7,B9,B10,B13,B14,B20,B21,B22,B23,B25)</f>
        <v>13</v>
      </c>
      <c r="I1" s="19" t="str">
        <f>IF(H1&gt;=12,"✅  مكتمل — جاهز للتقرير",IF(H1&gt;=7,"⚠  مكتمل جزئياً — "&amp;(13-H1)&amp;" حقل ناقص","❌  بيانات ناقصة — "&amp;(13-H1)&amp;" حقل مطلوب"))</f>
        <v>✅  مكتمل — جاهز للتقرير</v>
      </c>
    </row>
    <row r="2" spans="1:9" ht="19.95" customHeight="1">
      <c r="A2" s="109" t="s">
        <v>71</v>
      </c>
      <c r="B2" s="110"/>
      <c r="C2" s="111"/>
      <c r="E2" s="20" t="s">
        <v>72</v>
      </c>
      <c r="H2" s="19" t="str">
        <f>H1&amp;"/13 حقل مُكتمل"</f>
        <v>13/13 حقل مُكتمل</v>
      </c>
    </row>
    <row r="3" spans="1:9" ht="19.95" customHeight="1">
      <c r="A3" s="24" t="s">
        <v>73</v>
      </c>
      <c r="B3" s="24" t="s">
        <v>74</v>
      </c>
      <c r="C3" s="24" t="s">
        <v>75</v>
      </c>
      <c r="E3" s="24" t="s">
        <v>76</v>
      </c>
    </row>
    <row r="4" spans="1:9" ht="22.05" customHeight="1">
      <c r="A4" s="18" t="s">
        <v>23</v>
      </c>
      <c r="B4" s="25">
        <v>150</v>
      </c>
      <c r="C4" s="20" t="s">
        <v>77</v>
      </c>
    </row>
    <row r="5" spans="1:9" ht="22.05" customHeight="1">
      <c r="A5" s="18" t="s">
        <v>78</v>
      </c>
      <c r="B5" s="26">
        <v>33262</v>
      </c>
      <c r="C5" s="20" t="s">
        <v>79</v>
      </c>
    </row>
    <row r="6" spans="1:9" ht="22.05" customHeight="1">
      <c r="A6" s="18" t="s">
        <v>80</v>
      </c>
      <c r="B6" s="25">
        <v>380</v>
      </c>
      <c r="C6" s="20" t="s">
        <v>81</v>
      </c>
    </row>
    <row r="7" spans="1:9" ht="22.05" customHeight="1">
      <c r="A7" s="18" t="s">
        <v>82</v>
      </c>
      <c r="B7" s="27">
        <v>0.08</v>
      </c>
      <c r="C7" s="20" t="s">
        <v>83</v>
      </c>
    </row>
    <row r="8" spans="1:9" ht="22.05" customHeight="1">
      <c r="A8" s="18" t="s">
        <v>84</v>
      </c>
      <c r="B8" s="25">
        <v>0</v>
      </c>
      <c r="C8" s="20" t="s">
        <v>85</v>
      </c>
    </row>
    <row r="9" spans="1:9" ht="22.05" customHeight="1">
      <c r="A9" s="18" t="s">
        <v>86</v>
      </c>
      <c r="B9" s="25">
        <v>0</v>
      </c>
      <c r="C9" s="20" t="s">
        <v>87</v>
      </c>
    </row>
    <row r="10" spans="1:9" ht="22.05" customHeight="1">
      <c r="A10" s="18" t="s">
        <v>30</v>
      </c>
      <c r="B10" s="26">
        <v>2010</v>
      </c>
      <c r="C10" s="20" t="s">
        <v>88</v>
      </c>
    </row>
    <row r="11" spans="1:9" ht="22.05" customHeight="1">
      <c r="A11" s="18" t="s">
        <v>89</v>
      </c>
      <c r="B11" s="27">
        <v>0.12</v>
      </c>
      <c r="C11" s="20" t="s">
        <v>90</v>
      </c>
    </row>
    <row r="12" spans="1:9" ht="22.05" customHeight="1">
      <c r="A12" s="18" t="s">
        <v>91</v>
      </c>
      <c r="B12" s="27">
        <v>0.05</v>
      </c>
      <c r="C12" s="20" t="s">
        <v>92</v>
      </c>
    </row>
    <row r="13" spans="1:9" ht="22.05" customHeight="1">
      <c r="A13" s="18" t="s">
        <v>93</v>
      </c>
      <c r="B13" s="20" t="s">
        <v>94</v>
      </c>
      <c r="C13" s="1"/>
    </row>
    <row r="14" spans="1:9" ht="22.05" customHeight="1">
      <c r="A14" s="18" t="s">
        <v>95</v>
      </c>
      <c r="B14" s="20" t="s">
        <v>96</v>
      </c>
      <c r="C14" s="1"/>
    </row>
    <row r="15" spans="1:9" ht="22.05" customHeight="1">
      <c r="A15" s="18" t="s">
        <v>97</v>
      </c>
      <c r="B15" s="20" t="s">
        <v>98</v>
      </c>
      <c r="C15" s="1"/>
    </row>
    <row r="16" spans="1:9" ht="22.05" customHeight="1">
      <c r="A16" s="112" t="s">
        <v>99</v>
      </c>
      <c r="B16" s="113"/>
      <c r="C16" s="114"/>
    </row>
    <row r="17" spans="1:3" ht="22.05" customHeight="1">
      <c r="A17" s="18" t="s">
        <v>100</v>
      </c>
      <c r="B17" s="25">
        <v>350</v>
      </c>
      <c r="C17" s="20" t="s">
        <v>101</v>
      </c>
    </row>
    <row r="18" spans="1:3" ht="22.05" customHeight="1">
      <c r="A18" s="18" t="s">
        <v>102</v>
      </c>
      <c r="B18" s="26">
        <v>1200</v>
      </c>
      <c r="C18" s="20" t="s">
        <v>103</v>
      </c>
    </row>
    <row r="19" spans="1:3" ht="22.05" customHeight="1">
      <c r="A19" s="18" t="s">
        <v>104</v>
      </c>
      <c r="B19" s="25">
        <v>800</v>
      </c>
      <c r="C19" s="20" t="s">
        <v>105</v>
      </c>
    </row>
    <row r="20" spans="1:3" ht="22.05" customHeight="1">
      <c r="A20" s="18" t="s">
        <v>106</v>
      </c>
      <c r="B20" s="27">
        <v>0.12</v>
      </c>
      <c r="C20" s="20" t="s">
        <v>107</v>
      </c>
    </row>
    <row r="21" spans="1:3" ht="22.05" customHeight="1">
      <c r="A21" s="18" t="s">
        <v>108</v>
      </c>
      <c r="B21" s="27">
        <v>0.05</v>
      </c>
      <c r="C21" s="20" t="s">
        <v>109</v>
      </c>
    </row>
    <row r="22" spans="1:3" ht="22.05" customHeight="1">
      <c r="A22" s="18" t="s">
        <v>110</v>
      </c>
      <c r="B22" s="27">
        <v>0.08</v>
      </c>
      <c r="C22" s="20" t="s">
        <v>111</v>
      </c>
    </row>
    <row r="23" spans="1:3" ht="22.05" customHeight="1">
      <c r="A23" s="18" t="s">
        <v>112</v>
      </c>
      <c r="B23" s="27">
        <v>0.05</v>
      </c>
      <c r="C23" s="20" t="s">
        <v>113</v>
      </c>
    </row>
    <row r="24" spans="1:3" ht="22.05" customHeight="1">
      <c r="A24" s="18" t="s">
        <v>114</v>
      </c>
      <c r="B24" s="27">
        <v>0.2</v>
      </c>
      <c r="C24" s="20" t="s">
        <v>115</v>
      </c>
    </row>
    <row r="25" spans="1:3" ht="22.05" customHeight="1">
      <c r="A25" s="18" t="s">
        <v>116</v>
      </c>
      <c r="B25" s="25">
        <v>10</v>
      </c>
      <c r="C25" s="20" t="s">
        <v>117</v>
      </c>
    </row>
    <row r="26" spans="1:3" ht="22.05" customHeight="1">
      <c r="A26" s="18" t="s">
        <v>118</v>
      </c>
      <c r="B26" s="25">
        <v>350</v>
      </c>
      <c r="C26" s="20" t="s">
        <v>119</v>
      </c>
    </row>
    <row r="27" spans="1:3" ht="22.05" customHeight="1">
      <c r="A27" s="18" t="s">
        <v>120</v>
      </c>
      <c r="B27" s="28">
        <f>B4*B5</f>
        <v>4989300</v>
      </c>
      <c r="C27" s="20" t="s">
        <v>121</v>
      </c>
    </row>
    <row r="28" spans="1:3" ht="15.6">
      <c r="A28" s="18" t="s">
        <v>122</v>
      </c>
      <c r="B28" s="19">
        <f>B4*B6</f>
        <v>57000</v>
      </c>
    </row>
    <row r="29" spans="1:3" ht="19.95" customHeight="1">
      <c r="A29" s="18" t="s">
        <v>123</v>
      </c>
      <c r="B29" s="19">
        <f>B28*(1-B23)*(1-B24)</f>
        <v>43320</v>
      </c>
    </row>
    <row r="30" spans="1:3" ht="22.05" customHeight="1">
      <c r="A30" s="24" t="s">
        <v>124</v>
      </c>
      <c r="B30" s="29">
        <f>IF(B7&gt;0,B29/B7,0)</f>
        <v>541500</v>
      </c>
      <c r="C30" s="24" t="e">
        <f>المساحة * سعر المتر</f>
        <v>#NAME?</v>
      </c>
    </row>
    <row r="31" spans="1:3" ht="22.05" customHeight="1">
      <c r="A31" s="24" t="s">
        <v>125</v>
      </c>
      <c r="B31" s="29">
        <f>'الافتراضات والمدخلات'!B4*'الافتراضات والمدخلات'!B6*0.9</f>
        <v>51300</v>
      </c>
      <c r="C31" s="24">
        <v>0</v>
      </c>
    </row>
    <row r="32" spans="1:3" ht="22.05" customHeight="1">
      <c r="A32" s="24" t="s">
        <v>126</v>
      </c>
      <c r="B32" s="29">
        <f>('الافتراضات والمدخلات'!B4*'الافتراضات والمدخلات'!B6*0.9)/'الافتراضات والمدخلات'!B7</f>
        <v>641250</v>
      </c>
      <c r="C32" s="24" t="e">
        <f>NOI / معدل الرسملة</f>
        <v>#NAME?</v>
      </c>
    </row>
    <row r="33" spans="1:9" ht="22.05" customHeight="1">
      <c r="A33" s="24" t="s">
        <v>127</v>
      </c>
      <c r="B33" s="29">
        <f>B4*SUM(B17:B26)*(1+B27)</f>
        <v>2028525054075</v>
      </c>
      <c r="C33" s="24" t="e">
        <f>المساحة * مجموع معدلات البنود * (1+نسبة الطوارئ)</f>
        <v>#NAME?</v>
      </c>
    </row>
    <row r="34" spans="1:9" ht="24" customHeight="1">
      <c r="A34" s="112" t="s">
        <v>128</v>
      </c>
      <c r="B34" s="113"/>
      <c r="C34" s="113"/>
      <c r="D34" s="113"/>
      <c r="E34" s="113"/>
      <c r="F34" s="113"/>
      <c r="G34" s="113"/>
      <c r="H34" s="113"/>
      <c r="I34" s="114"/>
    </row>
    <row r="35" spans="1:9" ht="37.950000000000003" customHeight="1">
      <c r="A35" s="145" t="str">
        <f>"المدخلات تُشير إلى عقار مساحته "&amp;TEXT('الافتراضات والمدخلات'!B4,"#,##0")&amp;" م² بسعر "&amp;TEXT('الافتراضات والمدخلات'!B5,"#,##0")&amp;" EGP/م². القيمة الإجمالية الأولية: "&amp;TEXT('الافتراضات والمدخلات'!B4*'الافتراضات والمدخلات'!B5,"#,##0")&amp;" EGP."</f>
        <v>المدخلات تُشير إلى عقار مساحته 150 م² بسعر 33,262 EGP/م². القيمة الإجمالية الأولية: 4,989,300 EGP.</v>
      </c>
      <c r="B35" s="110"/>
      <c r="C35" s="110"/>
      <c r="D35" s="110"/>
      <c r="E35" s="110"/>
      <c r="F35" s="110"/>
      <c r="G35" s="110"/>
      <c r="H35" s="110"/>
      <c r="I35" s="111"/>
    </row>
    <row r="36" spans="1:9" ht="37.950000000000003" customHeight="1">
      <c r="A36" s="145" t="str">
        <f>"معدل الرسملة "&amp;TEXT('الافتراضات والمدخلات'!B7,"0.0%")&amp;" يعني أنك ستسترد رأس مالك من الإيجار وحده خلال "&amp;TEXT(IF('الافتراضات والمدخلات'!B7&gt;0,1/'الافتراضات والمدخلات'!B7,0),"0")&amp;" سنة تقريباً."</f>
        <v>معدل الرسملة 8.0% يعني أنك ستسترد رأس مالك من الإيجار وحده خلال 13 سنة تقريباً.</v>
      </c>
      <c r="B36" s="110"/>
      <c r="C36" s="110"/>
      <c r="D36" s="110"/>
      <c r="E36" s="110"/>
      <c r="F36" s="110"/>
      <c r="G36" s="110"/>
      <c r="H36" s="110"/>
      <c r="I36" s="111"/>
    </row>
    <row r="37" spans="1:9" ht="37.950000000000003" customHeight="1">
      <c r="A37" s="145" t="str">
        <f>"ختم الاكتمال: "&amp;'الافتراضات والمدخلات'!I1&amp;" — "&amp;IF('الافتراضات والمدخلات'!H1&gt;=12,"جميع الحقول جاهزة للإصدار.","يُرجى استكمال "&amp;(13-'الافتراضات والمدخلات'!H1)&amp;" حقل قبل إصدار التقرير.")</f>
        <v>ختم الاكتمال: ✅  مكتمل — جاهز للتقرير — جميع الحقول جاهزة للإصدار.</v>
      </c>
      <c r="B37" s="110"/>
      <c r="C37" s="110"/>
      <c r="D37" s="110"/>
      <c r="E37" s="110"/>
      <c r="F37" s="110"/>
      <c r="G37" s="110"/>
      <c r="H37" s="110"/>
      <c r="I37" s="111"/>
    </row>
    <row r="38" spans="1:9" ht="37.950000000000003" customHeight="1">
      <c r="A38" s="109" t="s">
        <v>129</v>
      </c>
      <c r="B38" s="110"/>
      <c r="C38" s="110"/>
      <c r="D38" s="110"/>
      <c r="E38" s="110"/>
      <c r="F38" s="110"/>
      <c r="G38" s="110"/>
      <c r="H38" s="110"/>
      <c r="I38" s="111"/>
    </row>
    <row r="41" spans="1:9" ht="49.95" customHeight="1">
      <c r="A41" s="152" t="s">
        <v>130</v>
      </c>
      <c r="B41" s="119"/>
      <c r="C41" s="119"/>
      <c r="D41" s="119"/>
    </row>
    <row r="42" spans="1:9" ht="31.95" customHeight="1">
      <c r="A42" s="118" t="s">
        <v>131</v>
      </c>
      <c r="B42" s="119"/>
      <c r="C42" s="119"/>
      <c r="D42" s="119"/>
    </row>
    <row r="44" spans="1:9" ht="30" customHeight="1">
      <c r="A44" s="62" t="s">
        <v>132</v>
      </c>
      <c r="B44" s="62" t="s">
        <v>133</v>
      </c>
      <c r="C44" s="62" t="s">
        <v>134</v>
      </c>
      <c r="D44" s="62" t="s">
        <v>75</v>
      </c>
    </row>
    <row r="45" spans="1:9" ht="31.95" customHeight="1">
      <c r="A45" s="150" t="s">
        <v>135</v>
      </c>
      <c r="B45" s="119"/>
      <c r="C45" s="119"/>
      <c r="D45" s="119"/>
    </row>
    <row r="46" spans="1:9" ht="25.95" customHeight="1">
      <c r="A46" s="43" t="s">
        <v>136</v>
      </c>
      <c r="B46" s="104" t="s">
        <v>137</v>
      </c>
      <c r="C46" s="105" t="s">
        <v>29</v>
      </c>
      <c r="D46" s="99" t="s">
        <v>138</v>
      </c>
    </row>
    <row r="47" spans="1:9" ht="25.95" customHeight="1">
      <c r="A47" s="43" t="s">
        <v>139</v>
      </c>
      <c r="B47" s="106">
        <v>29</v>
      </c>
      <c r="C47" s="105" t="s">
        <v>29</v>
      </c>
      <c r="D47" s="99" t="s">
        <v>140</v>
      </c>
    </row>
    <row r="48" spans="1:9" ht="25.95" customHeight="1">
      <c r="A48" s="43" t="s">
        <v>141</v>
      </c>
      <c r="B48" s="104" t="s">
        <v>142</v>
      </c>
      <c r="C48" s="105" t="s">
        <v>29</v>
      </c>
      <c r="D48" s="99" t="s">
        <v>143</v>
      </c>
    </row>
    <row r="49" spans="1:4" ht="25.95" customHeight="1">
      <c r="A49" s="43" t="s">
        <v>144</v>
      </c>
      <c r="B49" s="104" t="s">
        <v>145</v>
      </c>
      <c r="C49" s="105" t="s">
        <v>29</v>
      </c>
      <c r="D49" s="99" t="s">
        <v>146</v>
      </c>
    </row>
    <row r="50" spans="1:4" ht="25.95" customHeight="1">
      <c r="A50" s="43" t="s">
        <v>147</v>
      </c>
      <c r="B50" s="104" t="s">
        <v>148</v>
      </c>
      <c r="C50" s="105" t="s">
        <v>29</v>
      </c>
      <c r="D50" s="99" t="s">
        <v>149</v>
      </c>
    </row>
    <row r="51" spans="1:4" ht="25.95" customHeight="1">
      <c r="A51" s="43" t="s">
        <v>150</v>
      </c>
      <c r="B51" s="104" t="s">
        <v>151</v>
      </c>
      <c r="C51" s="105" t="s">
        <v>152</v>
      </c>
      <c r="D51" s="99" t="s">
        <v>153</v>
      </c>
    </row>
    <row r="52" spans="1:4" ht="25.95" customHeight="1">
      <c r="A52" s="43" t="s">
        <v>154</v>
      </c>
      <c r="B52" s="104" t="s">
        <v>155</v>
      </c>
      <c r="C52" s="105" t="s">
        <v>152</v>
      </c>
      <c r="D52" s="99" t="s">
        <v>156</v>
      </c>
    </row>
    <row r="54" spans="1:4" ht="31.95" customHeight="1">
      <c r="A54" s="151" t="s">
        <v>157</v>
      </c>
      <c r="B54" s="119"/>
      <c r="C54" s="119"/>
      <c r="D54" s="119"/>
    </row>
    <row r="55" spans="1:4" ht="25.95" customHeight="1">
      <c r="A55" s="43" t="s">
        <v>158</v>
      </c>
      <c r="B55" s="104" t="s">
        <v>159</v>
      </c>
      <c r="C55" s="105" t="s">
        <v>29</v>
      </c>
      <c r="D55" s="99" t="s">
        <v>160</v>
      </c>
    </row>
    <row r="56" spans="1:4" ht="25.95" customHeight="1">
      <c r="A56" s="43" t="s">
        <v>95</v>
      </c>
      <c r="B56" s="104" t="s">
        <v>161</v>
      </c>
      <c r="C56" s="105" t="s">
        <v>29</v>
      </c>
      <c r="D56" s="99" t="s">
        <v>162</v>
      </c>
    </row>
    <row r="57" spans="1:4" ht="25.95" customHeight="1">
      <c r="A57" s="43" t="s">
        <v>163</v>
      </c>
      <c r="B57" s="104" t="s">
        <v>164</v>
      </c>
      <c r="C57" s="105" t="s">
        <v>29</v>
      </c>
      <c r="D57" s="99"/>
    </row>
    <row r="58" spans="1:4" ht="25.95" customHeight="1">
      <c r="A58" s="43" t="s">
        <v>165</v>
      </c>
      <c r="B58" s="104" t="s">
        <v>94</v>
      </c>
      <c r="C58" s="105" t="s">
        <v>29</v>
      </c>
      <c r="D58" s="99"/>
    </row>
    <row r="59" spans="1:4" ht="25.95" customHeight="1">
      <c r="A59" s="43" t="s">
        <v>166</v>
      </c>
      <c r="B59" s="104" t="s">
        <v>29</v>
      </c>
      <c r="C59" s="105" t="s">
        <v>29</v>
      </c>
      <c r="D59" s="99" t="s">
        <v>167</v>
      </c>
    </row>
    <row r="60" spans="1:4" ht="25.95" customHeight="1">
      <c r="A60" s="43" t="s">
        <v>168</v>
      </c>
      <c r="B60" s="106">
        <v>3</v>
      </c>
      <c r="C60" s="105" t="s">
        <v>169</v>
      </c>
      <c r="D60" s="99" t="s">
        <v>170</v>
      </c>
    </row>
    <row r="61" spans="1:4" ht="25.95" customHeight="1">
      <c r="A61" s="43" t="s">
        <v>171</v>
      </c>
      <c r="B61" s="106">
        <v>2</v>
      </c>
      <c r="C61" s="105" t="s">
        <v>172</v>
      </c>
      <c r="D61" s="99"/>
    </row>
    <row r="62" spans="1:4" ht="25.95" customHeight="1">
      <c r="A62" s="43" t="s">
        <v>173</v>
      </c>
      <c r="B62" s="104" t="s">
        <v>174</v>
      </c>
      <c r="C62" s="105" t="s">
        <v>29</v>
      </c>
      <c r="D62" s="99" t="s">
        <v>175</v>
      </c>
    </row>
    <row r="64" spans="1:4" ht="31.95" customHeight="1">
      <c r="A64" s="148" t="s">
        <v>176</v>
      </c>
      <c r="B64" s="119"/>
      <c r="C64" s="119"/>
      <c r="D64" s="119"/>
    </row>
    <row r="65" spans="1:4" ht="25.95" customHeight="1">
      <c r="A65" s="43" t="s">
        <v>177</v>
      </c>
      <c r="B65" s="107">
        <v>0.3</v>
      </c>
      <c r="C65" s="105" t="s">
        <v>178</v>
      </c>
      <c r="D65" s="99" t="s">
        <v>179</v>
      </c>
    </row>
    <row r="66" spans="1:4" ht="25.95" customHeight="1">
      <c r="A66" s="43" t="s">
        <v>180</v>
      </c>
      <c r="B66" s="107">
        <v>0.18</v>
      </c>
      <c r="C66" s="105" t="s">
        <v>181</v>
      </c>
      <c r="D66" s="99" t="s">
        <v>182</v>
      </c>
    </row>
    <row r="67" spans="1:4" ht="25.95" customHeight="1">
      <c r="A67" s="43" t="s">
        <v>183</v>
      </c>
      <c r="B67" s="106">
        <v>20</v>
      </c>
      <c r="C67" s="105" t="s">
        <v>32</v>
      </c>
      <c r="D67" s="99" t="s">
        <v>184</v>
      </c>
    </row>
    <row r="68" spans="1:4" ht="25.95" customHeight="1">
      <c r="A68" s="43" t="s">
        <v>185</v>
      </c>
      <c r="B68" s="107">
        <v>0.12</v>
      </c>
      <c r="C68" s="105" t="s">
        <v>181</v>
      </c>
      <c r="D68" s="99" t="s">
        <v>186</v>
      </c>
    </row>
    <row r="69" spans="1:4" ht="25.95" customHeight="1">
      <c r="A69" s="43" t="s">
        <v>187</v>
      </c>
      <c r="B69" s="107">
        <v>0.1</v>
      </c>
      <c r="C69" s="105" t="s">
        <v>181</v>
      </c>
      <c r="D69" s="99" t="s">
        <v>188</v>
      </c>
    </row>
    <row r="70" spans="1:4" ht="25.95" customHeight="1">
      <c r="A70" s="43" t="s">
        <v>189</v>
      </c>
      <c r="B70" s="107">
        <v>0.02</v>
      </c>
      <c r="C70" s="105" t="s">
        <v>178</v>
      </c>
      <c r="D70" s="99" t="s">
        <v>190</v>
      </c>
    </row>
    <row r="72" spans="1:4" ht="31.95" customHeight="1">
      <c r="A72" s="144" t="s">
        <v>191</v>
      </c>
      <c r="B72" s="119"/>
      <c r="C72" s="119"/>
      <c r="D72" s="119"/>
    </row>
    <row r="73" spans="1:4" ht="25.95" customHeight="1">
      <c r="A73" s="43" t="s">
        <v>192</v>
      </c>
      <c r="B73" s="108">
        <v>4989300</v>
      </c>
      <c r="C73" s="105" t="s">
        <v>35</v>
      </c>
      <c r="D73" s="99" t="s">
        <v>193</v>
      </c>
    </row>
    <row r="74" spans="1:4" ht="25.95" customHeight="1">
      <c r="A74" s="43" t="s">
        <v>194</v>
      </c>
      <c r="B74" s="108">
        <v>1746255</v>
      </c>
      <c r="C74" s="105" t="s">
        <v>35</v>
      </c>
      <c r="D74" s="99" t="s">
        <v>195</v>
      </c>
    </row>
    <row r="75" spans="1:4" ht="25.95" customHeight="1">
      <c r="A75" s="43" t="s">
        <v>196</v>
      </c>
      <c r="B75" s="107">
        <v>0.08</v>
      </c>
      <c r="C75" s="105" t="s">
        <v>178</v>
      </c>
      <c r="D75" s="99" t="s">
        <v>197</v>
      </c>
    </row>
    <row r="76" spans="1:4" ht="25.95" customHeight="1">
      <c r="A76" s="43" t="s">
        <v>198</v>
      </c>
      <c r="B76" s="106">
        <v>1</v>
      </c>
      <c r="C76" s="105" t="s">
        <v>32</v>
      </c>
      <c r="D76" s="99" t="s">
        <v>199</v>
      </c>
    </row>
    <row r="77" spans="1:4" ht="25.95" customHeight="1">
      <c r="A77" s="43" t="s">
        <v>200</v>
      </c>
      <c r="B77" s="107">
        <v>0.08</v>
      </c>
      <c r="C77" s="105" t="s">
        <v>178</v>
      </c>
      <c r="D77" s="99" t="s">
        <v>201</v>
      </c>
    </row>
    <row r="78" spans="1:4" ht="25.95" customHeight="1">
      <c r="A78" s="43" t="s">
        <v>202</v>
      </c>
      <c r="B78" s="106">
        <v>1.0472999999999999</v>
      </c>
      <c r="C78" s="105" t="s">
        <v>203</v>
      </c>
      <c r="D78" s="99" t="s">
        <v>204</v>
      </c>
    </row>
    <row r="79" spans="1:4" ht="25.95" customHeight="1">
      <c r="A79" s="43" t="s">
        <v>205</v>
      </c>
      <c r="B79" s="107">
        <v>0.95479999999999998</v>
      </c>
      <c r="C79" s="105" t="s">
        <v>203</v>
      </c>
      <c r="D79" s="99" t="s">
        <v>206</v>
      </c>
    </row>
    <row r="80" spans="1:4" ht="25.95" customHeight="1">
      <c r="A80" s="43" t="s">
        <v>207</v>
      </c>
      <c r="B80" s="106">
        <v>3</v>
      </c>
      <c r="C80" s="105" t="s">
        <v>208</v>
      </c>
      <c r="D80" s="99" t="s">
        <v>209</v>
      </c>
    </row>
    <row r="82" spans="1:4" ht="31.95" customHeight="1">
      <c r="A82" s="149" t="s">
        <v>210</v>
      </c>
      <c r="B82" s="119"/>
      <c r="C82" s="119"/>
      <c r="D82" s="119"/>
    </row>
    <row r="83" spans="1:4" ht="25.95" customHeight="1">
      <c r="A83" s="43" t="s">
        <v>211</v>
      </c>
      <c r="B83" s="107">
        <v>1</v>
      </c>
      <c r="C83" s="105" t="s">
        <v>48</v>
      </c>
      <c r="D83" s="99" t="s">
        <v>212</v>
      </c>
    </row>
    <row r="84" spans="1:4" ht="25.95" customHeight="1">
      <c r="A84" s="43" t="s">
        <v>213</v>
      </c>
      <c r="B84" s="107">
        <v>1</v>
      </c>
      <c r="C84" s="105" t="s">
        <v>48</v>
      </c>
      <c r="D84" s="99"/>
    </row>
    <row r="85" spans="1:4" ht="25.95" customHeight="1">
      <c r="A85" s="43" t="s">
        <v>214</v>
      </c>
      <c r="B85" s="107">
        <v>7.0000000000000007E-2</v>
      </c>
      <c r="C85" s="105" t="s">
        <v>178</v>
      </c>
      <c r="D85" s="99"/>
    </row>
    <row r="86" spans="1:4" ht="25.95" customHeight="1">
      <c r="A86" s="43" t="s">
        <v>215</v>
      </c>
      <c r="B86" s="106">
        <v>1.35</v>
      </c>
      <c r="C86" s="105" t="s">
        <v>48</v>
      </c>
      <c r="D86" s="99" t="s">
        <v>216</v>
      </c>
    </row>
    <row r="87" spans="1:4" ht="25.95" customHeight="1">
      <c r="A87" s="43" t="s">
        <v>217</v>
      </c>
      <c r="B87" s="106">
        <v>1.6</v>
      </c>
      <c r="C87" s="105" t="s">
        <v>48</v>
      </c>
      <c r="D87" s="99" t="s">
        <v>218</v>
      </c>
    </row>
    <row r="88" spans="1:4" ht="25.95" customHeight="1">
      <c r="A88" s="43" t="s">
        <v>219</v>
      </c>
      <c r="B88" s="107">
        <v>0.08</v>
      </c>
      <c r="C88" s="105" t="s">
        <v>178</v>
      </c>
      <c r="D88" s="99"/>
    </row>
    <row r="89" spans="1:4" ht="25.95" customHeight="1">
      <c r="A89" s="43" t="s">
        <v>220</v>
      </c>
      <c r="B89" s="106">
        <v>1.2</v>
      </c>
      <c r="C89" s="105" t="s">
        <v>48</v>
      </c>
      <c r="D89" s="99"/>
    </row>
    <row r="90" spans="1:4" ht="25.95" customHeight="1">
      <c r="A90" s="43" t="s">
        <v>221</v>
      </c>
      <c r="B90" s="106">
        <v>1.4</v>
      </c>
      <c r="C90" s="105" t="s">
        <v>48</v>
      </c>
      <c r="D90" s="99"/>
    </row>
    <row r="91" spans="1:4" ht="25.95" customHeight="1">
      <c r="A91" s="43" t="s">
        <v>222</v>
      </c>
      <c r="B91" s="107">
        <v>7.4999999999999997E-2</v>
      </c>
      <c r="C91" s="105" t="s">
        <v>178</v>
      </c>
      <c r="D91" s="99"/>
    </row>
    <row r="92" spans="1:4" ht="25.95" customHeight="1">
      <c r="A92" s="43" t="s">
        <v>223</v>
      </c>
      <c r="B92" s="106">
        <v>1.175</v>
      </c>
      <c r="C92" s="105" t="s">
        <v>48</v>
      </c>
      <c r="D92" s="99" t="s">
        <v>224</v>
      </c>
    </row>
    <row r="93" spans="1:4" ht="25.95" customHeight="1">
      <c r="A93" s="43" t="s">
        <v>225</v>
      </c>
      <c r="B93" s="106">
        <v>1.3</v>
      </c>
      <c r="C93" s="105" t="s">
        <v>48</v>
      </c>
      <c r="D93" s="99"/>
    </row>
    <row r="94" spans="1:4" ht="25.95" customHeight="1">
      <c r="A94" s="43" t="s">
        <v>226</v>
      </c>
      <c r="B94" s="107">
        <v>7.4999999999999997E-2</v>
      </c>
      <c r="C94" s="105" t="s">
        <v>178</v>
      </c>
      <c r="D94" s="99"/>
    </row>
    <row r="96" spans="1:4" ht="31.95" customHeight="1">
      <c r="A96" s="146" t="s">
        <v>227</v>
      </c>
      <c r="B96" s="119"/>
      <c r="C96" s="119"/>
      <c r="D96" s="119"/>
    </row>
    <row r="97" spans="1:4" ht="25.95" customHeight="1">
      <c r="A97" s="43" t="s">
        <v>228</v>
      </c>
      <c r="B97" s="108">
        <v>5000</v>
      </c>
      <c r="C97" s="105" t="s">
        <v>26</v>
      </c>
      <c r="D97" s="99" t="s">
        <v>229</v>
      </c>
    </row>
    <row r="98" spans="1:4" ht="25.95" customHeight="1">
      <c r="A98" s="43" t="s">
        <v>230</v>
      </c>
      <c r="B98" s="106">
        <v>200</v>
      </c>
      <c r="C98" s="105" t="s">
        <v>26</v>
      </c>
      <c r="D98" s="99" t="s">
        <v>231</v>
      </c>
    </row>
    <row r="99" spans="1:4" ht="25.95" customHeight="1">
      <c r="A99" s="43" t="s">
        <v>232</v>
      </c>
      <c r="B99" s="106">
        <v>300</v>
      </c>
      <c r="C99" s="105" t="s">
        <v>26</v>
      </c>
      <c r="D99" s="99" t="s">
        <v>233</v>
      </c>
    </row>
    <row r="100" spans="1:4" ht="25.95" customHeight="1">
      <c r="A100" s="43" t="s">
        <v>234</v>
      </c>
      <c r="B100" s="106">
        <v>-100</v>
      </c>
      <c r="C100" s="105" t="s">
        <v>26</v>
      </c>
      <c r="D100" s="99" t="s">
        <v>235</v>
      </c>
    </row>
    <row r="101" spans="1:4" ht="25.95" customHeight="1">
      <c r="A101" s="43" t="s">
        <v>236</v>
      </c>
      <c r="B101" s="108">
        <v>5000</v>
      </c>
      <c r="C101" s="105" t="s">
        <v>26</v>
      </c>
      <c r="D101" s="99" t="s">
        <v>237</v>
      </c>
    </row>
    <row r="102" spans="1:4" ht="25.95" customHeight="1">
      <c r="A102" s="43" t="s">
        <v>238</v>
      </c>
      <c r="B102" s="108">
        <v>2500</v>
      </c>
      <c r="C102" s="105" t="s">
        <v>26</v>
      </c>
      <c r="D102" s="99" t="s">
        <v>239</v>
      </c>
    </row>
    <row r="103" spans="1:4" ht="25.95" customHeight="1">
      <c r="A103" s="43" t="s">
        <v>240</v>
      </c>
      <c r="B103" s="107">
        <v>0.87</v>
      </c>
      <c r="C103" s="105" t="s">
        <v>29</v>
      </c>
      <c r="D103" s="99" t="s">
        <v>241</v>
      </c>
    </row>
    <row r="105" spans="1:4" ht="31.95" customHeight="1">
      <c r="A105" s="151" t="s">
        <v>242</v>
      </c>
      <c r="B105" s="119"/>
      <c r="C105" s="119"/>
      <c r="D105" s="119"/>
    </row>
    <row r="106" spans="1:4" ht="25.95" customHeight="1">
      <c r="A106" s="43" t="s">
        <v>243</v>
      </c>
      <c r="B106" s="104" t="s">
        <v>244</v>
      </c>
      <c r="C106" s="105" t="s">
        <v>152</v>
      </c>
      <c r="D106" s="99" t="s">
        <v>245</v>
      </c>
    </row>
    <row r="107" spans="1:4" ht="25.95" customHeight="1">
      <c r="A107" s="43" t="s">
        <v>246</v>
      </c>
      <c r="B107" s="108">
        <v>20000</v>
      </c>
      <c r="C107" s="105" t="s">
        <v>26</v>
      </c>
      <c r="D107" s="99" t="s">
        <v>247</v>
      </c>
    </row>
    <row r="108" spans="1:4" ht="25.95" customHeight="1">
      <c r="A108" s="43" t="s">
        <v>248</v>
      </c>
      <c r="B108" s="104" t="s">
        <v>249</v>
      </c>
      <c r="C108" s="105" t="s">
        <v>152</v>
      </c>
      <c r="D108" s="99" t="s">
        <v>250</v>
      </c>
    </row>
    <row r="109" spans="1:4" ht="25.95" customHeight="1">
      <c r="A109" s="43" t="s">
        <v>251</v>
      </c>
      <c r="B109" s="108">
        <v>27500</v>
      </c>
      <c r="C109" s="105" t="s">
        <v>26</v>
      </c>
      <c r="D109" s="99" t="s">
        <v>252</v>
      </c>
    </row>
    <row r="111" spans="1:4" ht="31.95" customHeight="1">
      <c r="A111" s="147" t="s">
        <v>253</v>
      </c>
      <c r="B111" s="119"/>
      <c r="C111" s="119"/>
      <c r="D111" s="119"/>
    </row>
    <row r="112" spans="1:4" ht="25.95" customHeight="1">
      <c r="A112" s="43" t="s">
        <v>254</v>
      </c>
      <c r="B112" s="107">
        <v>0.05</v>
      </c>
      <c r="C112" s="105" t="s">
        <v>181</v>
      </c>
      <c r="D112" s="99" t="s">
        <v>255</v>
      </c>
    </row>
    <row r="113" spans="1:4" ht="25.95" customHeight="1">
      <c r="A113" s="43" t="s">
        <v>256</v>
      </c>
      <c r="B113" s="107">
        <v>0.12</v>
      </c>
      <c r="C113" s="105" t="s">
        <v>178</v>
      </c>
      <c r="D113" s="99" t="e">
        <f>WACC</f>
        <v>#NAME?</v>
      </c>
    </row>
    <row r="114" spans="1:4" ht="25.95" customHeight="1">
      <c r="A114" s="43" t="s">
        <v>257</v>
      </c>
      <c r="B114" s="108">
        <v>2032</v>
      </c>
      <c r="C114" s="105" t="s">
        <v>29</v>
      </c>
      <c r="D114" s="99" t="s">
        <v>258</v>
      </c>
    </row>
    <row r="116" spans="1:4" ht="31.95" customHeight="1">
      <c r="A116" s="144" t="s">
        <v>259</v>
      </c>
      <c r="B116" s="119"/>
      <c r="C116" s="119"/>
      <c r="D116" s="119"/>
    </row>
    <row r="117" spans="1:4" ht="25.95" customHeight="1">
      <c r="A117" s="43" t="s">
        <v>260</v>
      </c>
      <c r="B117" s="108">
        <v>10000</v>
      </c>
      <c r="C117" s="105" t="s">
        <v>261</v>
      </c>
      <c r="D117" s="99" t="s">
        <v>262</v>
      </c>
    </row>
    <row r="118" spans="1:4" ht="25.95" customHeight="1">
      <c r="A118" s="43" t="s">
        <v>263</v>
      </c>
      <c r="B118" s="107">
        <v>0.05</v>
      </c>
      <c r="C118" s="105" t="s">
        <v>178</v>
      </c>
      <c r="D118" s="99" t="s">
        <v>264</v>
      </c>
    </row>
    <row r="119" spans="1:4" ht="25.95" customHeight="1">
      <c r="A119" s="43" t="s">
        <v>265</v>
      </c>
      <c r="B119" s="107">
        <v>0.95</v>
      </c>
      <c r="C119" s="105" t="s">
        <v>178</v>
      </c>
      <c r="D119" s="99" t="s">
        <v>266</v>
      </c>
    </row>
    <row r="120" spans="1:4" ht="25.95" customHeight="1">
      <c r="A120" s="43" t="s">
        <v>267</v>
      </c>
      <c r="B120" s="107">
        <v>0.15</v>
      </c>
      <c r="C120" s="105" t="s">
        <v>268</v>
      </c>
      <c r="D120" s="99" t="s">
        <v>269</v>
      </c>
    </row>
    <row r="121" spans="1:4" ht="25.95" customHeight="1">
      <c r="A121" s="43" t="s">
        <v>270</v>
      </c>
      <c r="B121" s="107">
        <v>0.1</v>
      </c>
      <c r="C121" s="105" t="s">
        <v>268</v>
      </c>
      <c r="D121" s="99" t="s">
        <v>269</v>
      </c>
    </row>
    <row r="122" spans="1:4" ht="25.95" customHeight="1">
      <c r="A122" s="43" t="s">
        <v>271</v>
      </c>
      <c r="B122" s="107">
        <v>0.02</v>
      </c>
      <c r="C122" s="105" t="s">
        <v>268</v>
      </c>
      <c r="D122" s="99" t="s">
        <v>269</v>
      </c>
    </row>
    <row r="124" spans="1:4" ht="31.95" customHeight="1">
      <c r="A124" s="148" t="s">
        <v>272</v>
      </c>
      <c r="B124" s="119"/>
      <c r="C124" s="119"/>
      <c r="D124" s="119"/>
    </row>
    <row r="125" spans="1:4" ht="25.95" customHeight="1">
      <c r="A125" s="43" t="s">
        <v>273</v>
      </c>
      <c r="B125" s="106">
        <v>1</v>
      </c>
      <c r="C125" s="105" t="s">
        <v>29</v>
      </c>
      <c r="D125" s="99" t="s">
        <v>274</v>
      </c>
    </row>
    <row r="126" spans="1:4" ht="25.95" customHeight="1">
      <c r="A126" s="43" t="s">
        <v>275</v>
      </c>
      <c r="B126" s="106">
        <v>1</v>
      </c>
      <c r="C126" s="105" t="s">
        <v>29</v>
      </c>
      <c r="D126" s="99" t="s">
        <v>276</v>
      </c>
    </row>
    <row r="127" spans="1:4" ht="25.95" customHeight="1">
      <c r="A127" s="43" t="s">
        <v>277</v>
      </c>
      <c r="B127" s="106">
        <v>1</v>
      </c>
      <c r="C127" s="105" t="s">
        <v>29</v>
      </c>
      <c r="D127" s="99" t="s">
        <v>278</v>
      </c>
    </row>
    <row r="128" spans="1:4" ht="25.95" customHeight="1">
      <c r="A128" s="43" t="s">
        <v>279</v>
      </c>
      <c r="B128" s="106">
        <v>36</v>
      </c>
      <c r="C128" s="105" t="s">
        <v>280</v>
      </c>
      <c r="D128" s="99" t="s">
        <v>281</v>
      </c>
    </row>
    <row r="129" spans="1:4" ht="25.95" customHeight="1">
      <c r="A129" s="43" t="s">
        <v>282</v>
      </c>
      <c r="B129" s="106">
        <v>0</v>
      </c>
      <c r="C129" s="105" t="s">
        <v>283</v>
      </c>
      <c r="D129" s="99" t="s">
        <v>284</v>
      </c>
    </row>
    <row r="131" spans="1:4" ht="31.95" customHeight="1">
      <c r="A131" s="146" t="s">
        <v>285</v>
      </c>
      <c r="B131" s="119"/>
      <c r="C131" s="119"/>
      <c r="D131" s="119"/>
    </row>
    <row r="132" spans="1:4" ht="25.95" customHeight="1">
      <c r="A132" s="43" t="s">
        <v>286</v>
      </c>
      <c r="B132" s="106">
        <v>30.013100000000001</v>
      </c>
      <c r="C132" s="105" t="s">
        <v>287</v>
      </c>
      <c r="D132" s="99" t="s">
        <v>288</v>
      </c>
    </row>
    <row r="133" spans="1:4" ht="25.95" customHeight="1">
      <c r="A133" s="43" t="s">
        <v>289</v>
      </c>
      <c r="B133" s="106">
        <v>31.491299999999999</v>
      </c>
      <c r="C133" s="105" t="s">
        <v>287</v>
      </c>
      <c r="D133" s="99" t="s">
        <v>290</v>
      </c>
    </row>
    <row r="134" spans="1:4" ht="25.95" customHeight="1">
      <c r="A134" s="43" t="s">
        <v>291</v>
      </c>
      <c r="B134" s="106">
        <v>500</v>
      </c>
      <c r="C134" s="105" t="s">
        <v>292</v>
      </c>
      <c r="D134" s="99" t="s">
        <v>293</v>
      </c>
    </row>
    <row r="135" spans="1:4" ht="25.95" customHeight="1">
      <c r="A135" s="43" t="s">
        <v>294</v>
      </c>
      <c r="B135" s="106">
        <v>3</v>
      </c>
      <c r="C135" s="105" t="s">
        <v>295</v>
      </c>
      <c r="D135" s="99" t="s">
        <v>296</v>
      </c>
    </row>
    <row r="136" spans="1:4" ht="25.95" customHeight="1">
      <c r="A136" s="43" t="s">
        <v>297</v>
      </c>
      <c r="B136" s="106">
        <v>2</v>
      </c>
      <c r="C136" s="105" t="s">
        <v>29</v>
      </c>
      <c r="D136" s="99" t="s">
        <v>298</v>
      </c>
    </row>
    <row r="138" spans="1:4" ht="31.95" customHeight="1">
      <c r="A138" s="150" t="s">
        <v>299</v>
      </c>
      <c r="B138" s="119"/>
      <c r="C138" s="119"/>
      <c r="D138" s="119"/>
    </row>
    <row r="139" spans="1:4" ht="25.95" customHeight="1">
      <c r="A139" s="43" t="s">
        <v>300</v>
      </c>
      <c r="B139" s="107">
        <v>0.02</v>
      </c>
      <c r="C139" s="105" t="s">
        <v>181</v>
      </c>
      <c r="D139" s="99" t="s">
        <v>301</v>
      </c>
    </row>
    <row r="140" spans="1:4" ht="25.95" customHeight="1">
      <c r="A140" s="43" t="s">
        <v>302</v>
      </c>
      <c r="B140" s="107">
        <v>0.05</v>
      </c>
      <c r="C140" s="105" t="s">
        <v>178</v>
      </c>
      <c r="D140" s="99" t="s">
        <v>303</v>
      </c>
    </row>
    <row r="141" spans="1:4" ht="25.95" customHeight="1">
      <c r="A141" s="43" t="s">
        <v>304</v>
      </c>
      <c r="B141" s="107">
        <v>2.5000000000000001E-2</v>
      </c>
      <c r="C141" s="105" t="s">
        <v>178</v>
      </c>
      <c r="D141" s="99" t="s">
        <v>305</v>
      </c>
    </row>
    <row r="142" spans="1:4" ht="25.95" customHeight="1">
      <c r="A142" s="43" t="s">
        <v>306</v>
      </c>
      <c r="B142" s="107">
        <v>0.8</v>
      </c>
      <c r="C142" s="105" t="s">
        <v>178</v>
      </c>
      <c r="D142" s="99" t="s">
        <v>307</v>
      </c>
    </row>
    <row r="143" spans="1:4" ht="25.95" customHeight="1">
      <c r="A143" s="43" t="s">
        <v>308</v>
      </c>
      <c r="B143" s="106">
        <v>60</v>
      </c>
      <c r="C143" s="105" t="s">
        <v>32</v>
      </c>
      <c r="D143" s="99" t="s">
        <v>309</v>
      </c>
    </row>
    <row r="144" spans="1:4" ht="25.95" customHeight="1">
      <c r="A144" s="43" t="s">
        <v>310</v>
      </c>
      <c r="B144" s="107">
        <v>0.18</v>
      </c>
      <c r="C144" s="105" t="s">
        <v>178</v>
      </c>
      <c r="D144" s="99" t="s">
        <v>311</v>
      </c>
    </row>
    <row r="146" spans="1:4" ht="31.95" customHeight="1">
      <c r="A146" s="151" t="s">
        <v>312</v>
      </c>
      <c r="B146" s="119"/>
      <c r="C146" s="119"/>
      <c r="D146" s="119"/>
    </row>
    <row r="147" spans="1:4" ht="25.95" customHeight="1">
      <c r="A147" s="43" t="s">
        <v>313</v>
      </c>
      <c r="B147" s="107">
        <v>0.27800000000000002</v>
      </c>
      <c r="C147" s="105" t="s">
        <v>178</v>
      </c>
      <c r="D147" s="99" t="s">
        <v>314</v>
      </c>
    </row>
    <row r="148" spans="1:4" ht="25.95" customHeight="1">
      <c r="A148" s="43" t="s">
        <v>315</v>
      </c>
      <c r="B148" s="106">
        <v>50.5</v>
      </c>
      <c r="C148" s="105" t="s">
        <v>316</v>
      </c>
      <c r="D148" s="99" t="s">
        <v>317</v>
      </c>
    </row>
    <row r="149" spans="1:4" ht="25.95" customHeight="1">
      <c r="A149" s="43" t="s">
        <v>318</v>
      </c>
      <c r="B149" s="107">
        <v>0.27250000000000002</v>
      </c>
      <c r="C149" s="105" t="s">
        <v>178</v>
      </c>
      <c r="D149" s="99" t="s">
        <v>319</v>
      </c>
    </row>
    <row r="150" spans="1:4" ht="25.95" customHeight="1">
      <c r="A150" s="43" t="s">
        <v>320</v>
      </c>
      <c r="B150" s="107">
        <v>0.18</v>
      </c>
      <c r="C150" s="105" t="s">
        <v>181</v>
      </c>
      <c r="D150" s="99" t="s">
        <v>321</v>
      </c>
    </row>
    <row r="151" spans="1:4" ht="25.95" customHeight="1">
      <c r="A151" s="43" t="s">
        <v>322</v>
      </c>
      <c r="B151" s="107">
        <v>0.65</v>
      </c>
      <c r="C151" s="105" t="s">
        <v>178</v>
      </c>
      <c r="D151" s="99" t="s">
        <v>323</v>
      </c>
    </row>
    <row r="153" spans="1:4" ht="31.95" customHeight="1">
      <c r="A153" s="149" t="s">
        <v>324</v>
      </c>
      <c r="B153" s="119"/>
      <c r="C153" s="119"/>
      <c r="D153" s="119"/>
    </row>
    <row r="154" spans="1:4" ht="25.95" customHeight="1">
      <c r="A154" s="43" t="s">
        <v>325</v>
      </c>
      <c r="B154" s="107">
        <v>0.3</v>
      </c>
      <c r="C154" s="105" t="s">
        <v>178</v>
      </c>
      <c r="D154" s="99" t="s">
        <v>326</v>
      </c>
    </row>
    <row r="155" spans="1:4" ht="25.95" customHeight="1">
      <c r="A155" s="43" t="s">
        <v>327</v>
      </c>
      <c r="B155" s="107">
        <v>0.2</v>
      </c>
      <c r="C155" s="105" t="s">
        <v>178</v>
      </c>
      <c r="D155" s="99"/>
    </row>
    <row r="156" spans="1:4" ht="25.95" customHeight="1">
      <c r="A156" s="43" t="s">
        <v>328</v>
      </c>
      <c r="B156" s="107">
        <v>0.15</v>
      </c>
      <c r="C156" s="105" t="s">
        <v>178</v>
      </c>
      <c r="D156" s="99"/>
    </row>
    <row r="157" spans="1:4" ht="25.95" customHeight="1">
      <c r="A157" s="43" t="s">
        <v>329</v>
      </c>
      <c r="B157" s="107">
        <v>0.15</v>
      </c>
      <c r="C157" s="105" t="s">
        <v>178</v>
      </c>
      <c r="D157" s="99"/>
    </row>
    <row r="158" spans="1:4" ht="25.95" customHeight="1">
      <c r="A158" s="43" t="s">
        <v>330</v>
      </c>
      <c r="B158" s="107">
        <v>0.12</v>
      </c>
      <c r="C158" s="105" t="s">
        <v>178</v>
      </c>
      <c r="D158" s="99"/>
    </row>
    <row r="159" spans="1:4" ht="25.95" customHeight="1">
      <c r="A159" s="43" t="s">
        <v>331</v>
      </c>
      <c r="B159" s="107">
        <v>0.08</v>
      </c>
      <c r="C159" s="105" t="s">
        <v>178</v>
      </c>
      <c r="D159" s="99"/>
    </row>
    <row r="160" spans="1:4" ht="25.95" customHeight="1">
      <c r="A160" s="43" t="s">
        <v>332</v>
      </c>
      <c r="B160" s="107">
        <v>1</v>
      </c>
      <c r="C160" s="105">
        <f>100%</f>
        <v>1</v>
      </c>
      <c r="D160" s="99" t="s">
        <v>333</v>
      </c>
    </row>
  </sheetData>
  <mergeCells count="24">
    <mergeCell ref="A1:C1"/>
    <mergeCell ref="A105:D105"/>
    <mergeCell ref="A36:I36"/>
    <mergeCell ref="A42:D42"/>
    <mergeCell ref="A16:C16"/>
    <mergeCell ref="A138:D138"/>
    <mergeCell ref="A45:D45"/>
    <mergeCell ref="A146:D146"/>
    <mergeCell ref="A124:D124"/>
    <mergeCell ref="A153:D153"/>
    <mergeCell ref="A54:D54"/>
    <mergeCell ref="A2:C2"/>
    <mergeCell ref="A64:D64"/>
    <mergeCell ref="A82:D82"/>
    <mergeCell ref="A35:I35"/>
    <mergeCell ref="A38:I38"/>
    <mergeCell ref="A41:D41"/>
    <mergeCell ref="A34:I34"/>
    <mergeCell ref="A116:D116"/>
    <mergeCell ref="A37:I37"/>
    <mergeCell ref="A131:D131"/>
    <mergeCell ref="A96:D96"/>
    <mergeCell ref="A72:D72"/>
    <mergeCell ref="A111:D111"/>
  </mergeCells>
  <conditionalFormatting sqref="I1">
    <cfRule type="expression" dxfId="8" priority="1">
      <formula>$H$1&gt;=12</formula>
    </cfRule>
    <cfRule type="expression" dxfId="7" priority="2">
      <formula>AND($H$1&gt;=7,$H$1&lt;12)</formula>
    </cfRule>
    <cfRule type="expression" dxfId="6" priority="3">
      <formula>$H$1&lt;7</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I59"/>
  <sheetViews>
    <sheetView rightToLeft="1" workbookViewId="0">
      <pane ySplit="1" topLeftCell="A2" activePane="bottomLeft" state="frozen"/>
      <selection pane="bottomLeft" sqref="A1:I1"/>
    </sheetView>
  </sheetViews>
  <sheetFormatPr defaultRowHeight="14.4"/>
  <cols>
    <col min="1" max="1" width="38" customWidth="1"/>
    <col min="2" max="2" width="31" customWidth="1"/>
    <col min="3" max="3" width="28" customWidth="1"/>
    <col min="4" max="4" width="14" customWidth="1"/>
    <col min="5" max="5" width="27" customWidth="1"/>
    <col min="6" max="6" width="19" customWidth="1"/>
    <col min="7" max="7" width="20" customWidth="1"/>
    <col min="8" max="8" width="26" customWidth="1"/>
    <col min="9" max="9" width="14" customWidth="1"/>
  </cols>
  <sheetData>
    <row r="1" spans="1:9" ht="37.950000000000003" customHeight="1">
      <c r="A1" s="153" t="s">
        <v>334</v>
      </c>
      <c r="B1" s="116"/>
      <c r="C1" s="116"/>
      <c r="D1" s="116"/>
      <c r="E1" s="116"/>
      <c r="F1" s="116"/>
      <c r="G1" s="116"/>
      <c r="H1" s="116"/>
      <c r="I1" s="154"/>
    </row>
    <row r="2" spans="1:9" ht="22.05" customHeight="1">
      <c r="A2" s="109" t="s">
        <v>335</v>
      </c>
      <c r="B2" s="110"/>
      <c r="C2" s="110"/>
      <c r="D2" s="110"/>
      <c r="E2" s="110"/>
      <c r="F2" s="110"/>
      <c r="G2" s="110"/>
      <c r="H2" s="110"/>
      <c r="I2" s="111"/>
    </row>
    <row r="3" spans="1:9" ht="4.05" customHeight="1">
      <c r="A3" s="155"/>
      <c r="B3" s="156"/>
      <c r="C3" s="156"/>
      <c r="D3" s="156"/>
      <c r="E3" s="156"/>
      <c r="F3" s="156"/>
      <c r="G3" s="156"/>
      <c r="H3" s="156"/>
      <c r="I3" s="157"/>
    </row>
    <row r="4" spans="1:9" ht="22.05" customHeight="1">
      <c r="A4" s="112" t="s">
        <v>336</v>
      </c>
      <c r="B4" s="113"/>
      <c r="C4" s="113"/>
      <c r="D4" s="113"/>
      <c r="E4" s="113"/>
      <c r="F4" s="113"/>
      <c r="G4" s="113"/>
      <c r="H4" s="113"/>
      <c r="I4" s="114"/>
    </row>
    <row r="5" spans="1:9" ht="20.399999999999999" customHeight="1">
      <c r="A5" s="18" t="s">
        <v>136</v>
      </c>
      <c r="B5" s="20" t="s">
        <v>137</v>
      </c>
      <c r="C5" s="20" t="s">
        <v>337</v>
      </c>
      <c r="D5" s="20" t="s">
        <v>338</v>
      </c>
      <c r="E5" s="20" t="s">
        <v>147</v>
      </c>
      <c r="F5" s="20" t="s">
        <v>148</v>
      </c>
      <c r="G5" s="20" t="s">
        <v>150</v>
      </c>
      <c r="H5" s="20" t="s">
        <v>151</v>
      </c>
    </row>
    <row r="6" spans="1:9" ht="20.399999999999999" customHeight="1">
      <c r="A6" s="18" t="s">
        <v>141</v>
      </c>
      <c r="B6" s="109" t="s">
        <v>142</v>
      </c>
      <c r="C6" s="110"/>
      <c r="D6" s="111"/>
      <c r="E6" s="20" t="s">
        <v>339</v>
      </c>
      <c r="F6" s="20" t="s">
        <v>151</v>
      </c>
      <c r="G6" s="20" t="s">
        <v>340</v>
      </c>
      <c r="H6" s="20" t="s">
        <v>145</v>
      </c>
    </row>
    <row r="7" spans="1:9" ht="22.05" customHeight="1">
      <c r="A7" s="112" t="s">
        <v>341</v>
      </c>
      <c r="B7" s="113"/>
      <c r="C7" s="113"/>
      <c r="D7" s="113"/>
      <c r="E7" s="113"/>
      <c r="F7" s="113"/>
      <c r="G7" s="113"/>
      <c r="H7" s="113"/>
      <c r="I7" s="114"/>
    </row>
    <row r="8" spans="1:9" ht="20.399999999999999" customHeight="1">
      <c r="A8" s="18" t="s">
        <v>158</v>
      </c>
      <c r="B8" s="109" t="s">
        <v>342</v>
      </c>
      <c r="C8" s="110"/>
      <c r="D8" s="111"/>
      <c r="E8" s="20" t="s">
        <v>95</v>
      </c>
      <c r="F8" s="20" t="s">
        <v>161</v>
      </c>
      <c r="G8" s="20" t="s">
        <v>343</v>
      </c>
      <c r="H8" s="20" t="s">
        <v>164</v>
      </c>
    </row>
    <row r="9" spans="1:9" ht="20.399999999999999" customHeight="1">
      <c r="A9" s="18" t="s">
        <v>23</v>
      </c>
      <c r="B9" s="25">
        <f>'الافتراضات والمدخلات'!$B$4</f>
        <v>150</v>
      </c>
      <c r="C9" s="20" t="s">
        <v>344</v>
      </c>
      <c r="D9" s="19">
        <f>'الافتراضات والمدخلات'!$B$9</f>
        <v>0</v>
      </c>
      <c r="E9" s="20" t="s">
        <v>168</v>
      </c>
      <c r="F9" s="19">
        <v>3</v>
      </c>
      <c r="G9" s="20" t="s">
        <v>30</v>
      </c>
      <c r="H9" s="26">
        <f>'الافتراضات والمدخلات'!$B$10</f>
        <v>2010</v>
      </c>
    </row>
    <row r="10" spans="1:9" ht="21.6" customHeight="1">
      <c r="A10" s="18" t="s">
        <v>84</v>
      </c>
      <c r="B10" s="19">
        <f ca="1">YEAR(TODAY())-'الافتراضات والمدخلات'!$B$10</f>
        <v>16</v>
      </c>
      <c r="C10" s="20" t="s">
        <v>345</v>
      </c>
      <c r="D10" s="26">
        <f>'الافتراضات والمدخلات'!$B$5</f>
        <v>33262</v>
      </c>
      <c r="E10" s="20" t="s">
        <v>346</v>
      </c>
      <c r="F10" s="25">
        <f>'الافتراضات والمدخلات'!$B$6</f>
        <v>380</v>
      </c>
      <c r="G10" s="20" t="s">
        <v>28</v>
      </c>
      <c r="H10" s="27">
        <f>'الافتراضات والمدخلات'!$B$7</f>
        <v>0.08</v>
      </c>
    </row>
    <row r="12" spans="1:9" ht="22.05" customHeight="1">
      <c r="A12" s="112" t="s">
        <v>347</v>
      </c>
      <c r="B12" s="113"/>
      <c r="C12" s="113"/>
      <c r="D12" s="113"/>
      <c r="E12" s="113"/>
      <c r="F12" s="113"/>
      <c r="G12" s="113"/>
      <c r="H12" s="113"/>
      <c r="I12" s="114"/>
    </row>
    <row r="13" spans="1:9" ht="21.6" customHeight="1">
      <c r="A13" s="24" t="s">
        <v>348</v>
      </c>
      <c r="B13" s="29">
        <v>27392</v>
      </c>
      <c r="C13" s="24" t="s">
        <v>349</v>
      </c>
      <c r="D13" s="29">
        <v>23583.45</v>
      </c>
      <c r="E13" s="24" t="s">
        <v>350</v>
      </c>
      <c r="F13" s="29">
        <v>17505</v>
      </c>
    </row>
    <row r="15" spans="1:9" ht="22.05" customHeight="1">
      <c r="A15" s="112" t="s">
        <v>351</v>
      </c>
      <c r="B15" s="113"/>
      <c r="C15" s="113"/>
      <c r="D15" s="113"/>
      <c r="E15" s="113"/>
      <c r="F15" s="113"/>
      <c r="G15" s="113"/>
      <c r="H15" s="113"/>
      <c r="I15" s="114"/>
    </row>
    <row r="16" spans="1:9" ht="30" customHeight="1">
      <c r="A16" s="109" t="s">
        <v>352</v>
      </c>
      <c r="B16" s="158"/>
      <c r="C16" s="158"/>
      <c r="D16" s="158"/>
      <c r="E16" s="158"/>
      <c r="F16" s="158"/>
      <c r="G16" s="158"/>
      <c r="H16" s="158"/>
      <c r="I16" s="159"/>
    </row>
    <row r="17" spans="1:9" ht="30" customHeight="1">
      <c r="A17" s="160"/>
      <c r="B17" s="161"/>
      <c r="C17" s="161"/>
      <c r="D17" s="161"/>
      <c r="E17" s="161"/>
      <c r="F17" s="161"/>
      <c r="G17" s="161"/>
      <c r="H17" s="161"/>
      <c r="I17" s="162"/>
    </row>
    <row r="19" spans="1:9" ht="22.05" customHeight="1">
      <c r="A19" s="112" t="s">
        <v>353</v>
      </c>
      <c r="B19" s="113"/>
      <c r="C19" s="113"/>
      <c r="D19" s="113"/>
      <c r="E19" s="113"/>
      <c r="F19" s="113"/>
      <c r="G19" s="113"/>
      <c r="H19" s="113"/>
      <c r="I19" s="114"/>
    </row>
    <row r="20" spans="1:9" ht="20.399999999999999" customHeight="1">
      <c r="A20" s="24" t="s">
        <v>354</v>
      </c>
      <c r="B20" s="24" t="s">
        <v>355</v>
      </c>
      <c r="C20" s="24" t="s">
        <v>356</v>
      </c>
      <c r="E20" s="24" t="s">
        <v>357</v>
      </c>
    </row>
    <row r="21" spans="1:9" ht="20.399999999999999" customHeight="1">
      <c r="A21" s="30" t="s">
        <v>358</v>
      </c>
      <c r="B21" s="26">
        <v>21956</v>
      </c>
      <c r="C21" s="19">
        <v>31.054359999999999</v>
      </c>
      <c r="E21" s="19">
        <v>29.977910000000001</v>
      </c>
    </row>
    <row r="22" spans="1:9" ht="20.399999999999999" customHeight="1">
      <c r="A22" s="30" t="s">
        <v>359</v>
      </c>
      <c r="B22" s="26">
        <v>22000</v>
      </c>
      <c r="C22" s="19">
        <v>31.053830000000001</v>
      </c>
      <c r="E22" s="19">
        <v>29.977910000000001</v>
      </c>
    </row>
    <row r="23" spans="1:9" ht="20.399999999999999" customHeight="1">
      <c r="A23" s="30" t="s">
        <v>360</v>
      </c>
      <c r="B23" s="26">
        <v>21885</v>
      </c>
      <c r="C23" s="19">
        <v>31.046469999999999</v>
      </c>
      <c r="E23" s="19">
        <v>29.97766</v>
      </c>
    </row>
    <row r="24" spans="1:9" ht="20.399999999999999" customHeight="1">
      <c r="A24" s="30" t="s">
        <v>361</v>
      </c>
      <c r="B24" s="26">
        <v>21436</v>
      </c>
      <c r="C24" s="19">
        <v>31.042999999999999</v>
      </c>
      <c r="E24" s="19">
        <v>29.977900000000002</v>
      </c>
    </row>
    <row r="25" spans="1:9" ht="20.399999999999999" customHeight="1">
      <c r="A25" s="30" t="s">
        <v>362</v>
      </c>
      <c r="B25" s="26">
        <v>21368</v>
      </c>
      <c r="C25" s="19">
        <v>31.042000000000002</v>
      </c>
      <c r="E25" s="19">
        <v>29.977900000000002</v>
      </c>
    </row>
    <row r="26" spans="1:9" ht="20.399999999999999" customHeight="1">
      <c r="A26" s="30" t="s">
        <v>363</v>
      </c>
      <c r="B26" s="26">
        <v>26208</v>
      </c>
      <c r="C26" s="19">
        <v>31.058</v>
      </c>
      <c r="E26" s="19">
        <v>29.977599999999999</v>
      </c>
    </row>
    <row r="27" spans="1:9" ht="20.399999999999999" customHeight="1">
      <c r="A27" s="30" t="s">
        <v>364</v>
      </c>
      <c r="B27" s="26">
        <v>25773</v>
      </c>
      <c r="C27" s="19">
        <v>31.056000000000001</v>
      </c>
      <c r="E27" s="19">
        <v>29.977499999999999</v>
      </c>
    </row>
    <row r="28" spans="1:9" ht="20.399999999999999" customHeight="1">
      <c r="A28" s="30" t="s">
        <v>365</v>
      </c>
      <c r="B28" s="26">
        <v>26855</v>
      </c>
      <c r="C28" s="19">
        <v>31.047000000000001</v>
      </c>
      <c r="E28" s="19">
        <v>29.978000000000002</v>
      </c>
    </row>
    <row r="29" spans="1:9" ht="20.399999999999999" customHeight="1">
      <c r="A29" s="30" t="s">
        <v>366</v>
      </c>
      <c r="B29" s="26">
        <v>26925</v>
      </c>
      <c r="C29" s="19">
        <v>31.047499999999999</v>
      </c>
      <c r="E29" s="19">
        <v>29.978100000000001</v>
      </c>
    </row>
    <row r="30" spans="1:9" ht="20.399999999999999" customHeight="1">
      <c r="A30" s="30" t="s">
        <v>367</v>
      </c>
      <c r="B30" s="26">
        <v>23584</v>
      </c>
      <c r="C30" s="19">
        <v>31.059000000000001</v>
      </c>
      <c r="E30" s="19">
        <v>29.975999999999999</v>
      </c>
    </row>
    <row r="31" spans="1:9" ht="20.399999999999999" customHeight="1">
      <c r="A31" s="30" t="s">
        <v>368</v>
      </c>
      <c r="B31" s="26">
        <v>24303</v>
      </c>
      <c r="C31" s="19">
        <v>31.056999999999999</v>
      </c>
      <c r="E31" s="19">
        <v>29.976199999999999</v>
      </c>
    </row>
    <row r="32" spans="1:9" ht="20.399999999999999" customHeight="1">
      <c r="A32" s="30" t="s">
        <v>369</v>
      </c>
      <c r="B32" s="26">
        <v>24849</v>
      </c>
      <c r="C32" s="19">
        <v>31.055</v>
      </c>
      <c r="E32" s="19">
        <v>29.976500000000001</v>
      </c>
    </row>
    <row r="33" spans="1:9" ht="20.399999999999999" customHeight="1">
      <c r="A33" s="30" t="s">
        <v>370</v>
      </c>
      <c r="B33" s="26">
        <v>21749</v>
      </c>
      <c r="C33" s="19">
        <v>31.054359999999999</v>
      </c>
      <c r="E33" s="19">
        <v>29.977910000000001</v>
      </c>
    </row>
    <row r="34" spans="1:9" ht="20.399999999999999" customHeight="1">
      <c r="A34" s="30" t="s">
        <v>371</v>
      </c>
      <c r="B34" s="26">
        <v>21617</v>
      </c>
      <c r="C34" s="19">
        <v>31.044370000000001</v>
      </c>
      <c r="E34" s="19">
        <v>29.977910000000001</v>
      </c>
    </row>
    <row r="35" spans="1:9" ht="20.399999999999999" customHeight="1">
      <c r="A35" s="30" t="s">
        <v>372</v>
      </c>
      <c r="B35" s="26">
        <v>17505</v>
      </c>
      <c r="C35" s="19">
        <v>31.048999999999999</v>
      </c>
      <c r="E35" s="19">
        <v>29.9785</v>
      </c>
    </row>
    <row r="36" spans="1:9" ht="21.6" customHeight="1">
      <c r="A36" s="18" t="s">
        <v>373</v>
      </c>
      <c r="B36" s="26">
        <v>23583.449837021941</v>
      </c>
    </row>
    <row r="38" spans="1:9" ht="22.05" customHeight="1">
      <c r="A38" s="112" t="s">
        <v>374</v>
      </c>
      <c r="B38" s="113"/>
      <c r="C38" s="113"/>
      <c r="D38" s="113"/>
      <c r="E38" s="113"/>
      <c r="F38" s="113"/>
      <c r="G38" s="113"/>
      <c r="H38" s="113"/>
      <c r="I38" s="114"/>
    </row>
    <row r="39" spans="1:9" ht="21.6" customHeight="1">
      <c r="A39" s="18" t="s">
        <v>375</v>
      </c>
      <c r="C39" s="20" t="s">
        <v>376</v>
      </c>
    </row>
    <row r="40" spans="1:9" ht="20.399999999999999" customHeight="1">
      <c r="A40" s="18" t="s">
        <v>377</v>
      </c>
      <c r="B40" s="27">
        <v>0.91087899999999999</v>
      </c>
      <c r="C40" s="20" t="s">
        <v>378</v>
      </c>
      <c r="D40" s="20" t="s">
        <v>379</v>
      </c>
      <c r="E40" s="19">
        <v>20</v>
      </c>
    </row>
    <row r="41" spans="1:9" ht="20.399999999999999" customHeight="1">
      <c r="A41" s="18" t="s">
        <v>380</v>
      </c>
      <c r="B41" s="27">
        <v>0.82969999999999999</v>
      </c>
      <c r="C41" s="20" t="s">
        <v>381</v>
      </c>
      <c r="D41" s="27">
        <v>0.79769999999999996</v>
      </c>
    </row>
    <row r="42" spans="1:9" ht="21.6" customHeight="1">
      <c r="A42" s="24" t="s">
        <v>382</v>
      </c>
      <c r="B42" s="24" t="s">
        <v>383</v>
      </c>
      <c r="C42" s="24" t="s">
        <v>384</v>
      </c>
    </row>
    <row r="43" spans="1:9" ht="20.399999999999999" customHeight="1">
      <c r="A43" s="18" t="s">
        <v>86</v>
      </c>
      <c r="B43" s="25">
        <v>-146.37</v>
      </c>
      <c r="C43" s="27">
        <v>0.26700000000000002</v>
      </c>
    </row>
    <row r="44" spans="1:9" ht="20.399999999999999" customHeight="1">
      <c r="A44" s="18" t="s">
        <v>385</v>
      </c>
      <c r="B44" s="25">
        <v>-4.4000000000000004</v>
      </c>
      <c r="C44" s="27">
        <v>0.15179999999999999</v>
      </c>
    </row>
    <row r="45" spans="1:9" ht="20.399999999999999" customHeight="1">
      <c r="A45" s="18" t="s">
        <v>30</v>
      </c>
      <c r="B45" s="25">
        <v>-399.5</v>
      </c>
      <c r="C45" s="25">
        <v>0</v>
      </c>
    </row>
    <row r="46" spans="1:9" ht="21.6" customHeight="1">
      <c r="A46" s="18" t="s">
        <v>386</v>
      </c>
      <c r="B46" s="26">
        <v>22984.495381405111</v>
      </c>
    </row>
    <row r="48" spans="1:9" ht="22.05" customHeight="1">
      <c r="A48" s="112" t="s">
        <v>387</v>
      </c>
      <c r="B48" s="113"/>
      <c r="C48" s="113"/>
      <c r="D48" s="113"/>
      <c r="E48" s="113"/>
      <c r="F48" s="113"/>
      <c r="G48" s="113"/>
      <c r="H48" s="113"/>
      <c r="I48" s="114"/>
    </row>
    <row r="49" spans="1:9" ht="25.05" customHeight="1">
      <c r="A49" s="109" t="s">
        <v>388</v>
      </c>
      <c r="B49" s="158"/>
      <c r="C49" s="158"/>
      <c r="D49" s="158"/>
      <c r="E49" s="158"/>
      <c r="F49" s="158"/>
      <c r="G49" s="158"/>
      <c r="H49" s="158"/>
      <c r="I49" s="159"/>
    </row>
    <row r="50" spans="1:9" ht="25.05" customHeight="1">
      <c r="A50" s="163"/>
      <c r="B50" s="119"/>
      <c r="C50" s="119"/>
      <c r="D50" s="119"/>
      <c r="E50" s="119"/>
      <c r="F50" s="119"/>
      <c r="G50" s="119"/>
      <c r="H50" s="119"/>
      <c r="I50" s="164"/>
    </row>
    <row r="51" spans="1:9" ht="25.05" customHeight="1">
      <c r="A51" s="160"/>
      <c r="B51" s="161"/>
      <c r="C51" s="161"/>
      <c r="D51" s="161"/>
      <c r="E51" s="161"/>
      <c r="F51" s="161"/>
      <c r="G51" s="161"/>
      <c r="H51" s="161"/>
      <c r="I51" s="162"/>
    </row>
    <row r="53" spans="1:9" ht="20.399999999999999" customHeight="1">
      <c r="A53" s="18" t="s">
        <v>389</v>
      </c>
      <c r="B53" s="20" t="s">
        <v>137</v>
      </c>
      <c r="E53" s="20" t="s">
        <v>337</v>
      </c>
      <c r="F53" s="20" t="s">
        <v>338</v>
      </c>
      <c r="H53" s="20" t="s">
        <v>390</v>
      </c>
    </row>
    <row r="55" spans="1:9" ht="24" customHeight="1">
      <c r="A55" s="112" t="s">
        <v>391</v>
      </c>
      <c r="B55" s="113"/>
      <c r="C55" s="113"/>
      <c r="D55" s="113"/>
      <c r="E55" s="113"/>
      <c r="F55" s="113"/>
      <c r="G55" s="113"/>
      <c r="H55" s="113"/>
      <c r="I55" s="114"/>
    </row>
    <row r="56" spans="1:9" ht="37.950000000000003" customHeight="1">
      <c r="A56" s="109" t="s">
        <v>392</v>
      </c>
      <c r="B56" s="110"/>
      <c r="C56" s="110"/>
      <c r="D56" s="110"/>
      <c r="E56" s="110"/>
      <c r="F56" s="110"/>
      <c r="G56" s="110"/>
      <c r="H56" s="110"/>
      <c r="I56" s="111"/>
    </row>
    <row r="57" spans="1:9" ht="37.950000000000003" customHeight="1">
      <c r="A57" s="109" t="s">
        <v>393</v>
      </c>
      <c r="B57" s="110"/>
      <c r="C57" s="110"/>
      <c r="D57" s="110"/>
      <c r="E57" s="110"/>
      <c r="F57" s="110"/>
      <c r="G57" s="110"/>
      <c r="H57" s="110"/>
      <c r="I57" s="111"/>
    </row>
    <row r="58" spans="1:9" ht="37.950000000000003" customHeight="1">
      <c r="A58" s="109" t="s">
        <v>394</v>
      </c>
      <c r="B58" s="110"/>
      <c r="C58" s="110"/>
      <c r="D58" s="110"/>
      <c r="E58" s="110"/>
      <c r="F58" s="110"/>
      <c r="G58" s="110"/>
      <c r="H58" s="110"/>
      <c r="I58" s="111"/>
    </row>
    <row r="59" spans="1:9" ht="37.950000000000003" customHeight="1">
      <c r="A59" s="109" t="s">
        <v>395</v>
      </c>
      <c r="B59" s="110"/>
      <c r="C59" s="110"/>
      <c r="D59" s="110"/>
      <c r="E59" s="110"/>
      <c r="F59" s="110"/>
      <c r="G59" s="110"/>
      <c r="H59" s="110"/>
      <c r="I59" s="111"/>
    </row>
  </sheetData>
  <mergeCells count="19">
    <mergeCell ref="A1:I1"/>
    <mergeCell ref="A58:I58"/>
    <mergeCell ref="A48:I48"/>
    <mergeCell ref="A15:I15"/>
    <mergeCell ref="A59:I59"/>
    <mergeCell ref="A49:I51"/>
    <mergeCell ref="A57:I57"/>
    <mergeCell ref="A2:I2"/>
    <mergeCell ref="A4:I4"/>
    <mergeCell ref="B6:D6"/>
    <mergeCell ref="A38:I38"/>
    <mergeCell ref="A16:I17"/>
    <mergeCell ref="A19:I19"/>
    <mergeCell ref="A7:I7"/>
    <mergeCell ref="B8:D8"/>
    <mergeCell ref="A56:I56"/>
    <mergeCell ref="A3:I3"/>
    <mergeCell ref="A55:I55"/>
    <mergeCell ref="A12:I12"/>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P79"/>
  <sheetViews>
    <sheetView rightToLeft="1" topLeftCell="A7" workbookViewId="0">
      <pane ySplit="1" topLeftCell="A2" activePane="bottomLeft" state="frozen"/>
      <selection pane="bottomLeft" activeCell="C22" sqref="C22"/>
    </sheetView>
  </sheetViews>
  <sheetFormatPr defaultRowHeight="14.4"/>
  <cols>
    <col min="1" max="1" width="38" customWidth="1"/>
    <col min="2" max="2" width="15" customWidth="1"/>
    <col min="3" max="4" width="22" customWidth="1"/>
    <col min="5" max="5" width="38" customWidth="1"/>
    <col min="6" max="6" width="28" customWidth="1"/>
    <col min="7" max="7" width="38" customWidth="1"/>
    <col min="8" max="8" width="34" customWidth="1"/>
    <col min="9" max="9" width="37" customWidth="1"/>
    <col min="10" max="10" width="24" customWidth="1"/>
    <col min="11" max="11" width="38" customWidth="1"/>
    <col min="12" max="12" width="21" customWidth="1"/>
    <col min="13" max="13" width="38" customWidth="1"/>
    <col min="14" max="14" width="28" customWidth="1"/>
    <col min="15" max="15" width="14" customWidth="1"/>
    <col min="16" max="16" width="28" customWidth="1"/>
  </cols>
  <sheetData>
    <row r="1" spans="1:16" ht="37.950000000000003" customHeight="1">
      <c r="A1" s="153" t="s">
        <v>396</v>
      </c>
      <c r="B1" s="116"/>
      <c r="C1" s="116"/>
      <c r="D1" s="116"/>
      <c r="E1" s="116"/>
      <c r="F1" s="116"/>
      <c r="G1" s="116"/>
      <c r="H1" s="116"/>
      <c r="I1" s="116"/>
      <c r="J1" s="116"/>
      <c r="K1" s="116"/>
      <c r="L1" s="116"/>
      <c r="M1" s="116"/>
      <c r="N1" s="116"/>
      <c r="O1" s="116"/>
      <c r="P1" s="154"/>
    </row>
    <row r="2" spans="1:16" ht="22.05" customHeight="1">
      <c r="A2" s="145" t="str">
        <f>" رقم التقرير: "&amp;'الافتراضات والمدخلات'!E1&amp;"   |   الموقع: "&amp;'الافتراضات والمدخلات'!B13&amp;"   |   عدد المقارنات: 0"</f>
        <v xml:space="preserve"> رقم التقرير: ES-20260501-21F2   |   الموقع: التجمع الخامس   |   عدد المقارنات: 0</v>
      </c>
      <c r="B2" s="110"/>
      <c r="C2" s="110"/>
      <c r="D2" s="110"/>
      <c r="E2" s="110"/>
      <c r="F2" s="110"/>
      <c r="G2" s="110"/>
      <c r="H2" s="110"/>
      <c r="I2" s="110"/>
      <c r="J2" s="110"/>
      <c r="K2" s="110"/>
      <c r="L2" s="110"/>
      <c r="M2" s="110"/>
      <c r="N2" s="110"/>
      <c r="O2" s="110"/>
      <c r="P2" s="111"/>
    </row>
    <row r="3" spans="1:16" ht="4.05" customHeight="1">
      <c r="A3" s="2"/>
      <c r="B3" s="2"/>
      <c r="C3" s="2"/>
      <c r="D3" s="2"/>
      <c r="E3" s="2"/>
      <c r="F3" s="2"/>
      <c r="G3" s="2"/>
      <c r="H3" s="2"/>
      <c r="I3" s="2"/>
      <c r="J3" s="2"/>
      <c r="K3" s="2"/>
      <c r="L3" s="2"/>
      <c r="M3" s="2"/>
      <c r="N3" s="2"/>
      <c r="O3" s="2"/>
      <c r="P3" s="2"/>
    </row>
    <row r="4" spans="1:16" ht="6" customHeight="1">
      <c r="A4" s="24" t="s">
        <v>132</v>
      </c>
      <c r="B4" s="24" t="s">
        <v>397</v>
      </c>
      <c r="C4" s="24" t="s">
        <v>398</v>
      </c>
      <c r="D4" s="24" t="s">
        <v>399</v>
      </c>
      <c r="E4" s="24" t="s">
        <v>400</v>
      </c>
      <c r="F4" s="24" t="s">
        <v>401</v>
      </c>
      <c r="G4" s="24" t="s">
        <v>402</v>
      </c>
      <c r="H4" s="3"/>
      <c r="I4" s="4"/>
      <c r="J4" s="5"/>
      <c r="K4" s="5"/>
      <c r="L4" s="3"/>
      <c r="M4" s="4"/>
      <c r="N4" s="5"/>
      <c r="O4" s="5"/>
      <c r="P4" s="3"/>
    </row>
    <row r="5" spans="1:16" ht="19.95" customHeight="1">
      <c r="A5" s="24" t="s">
        <v>403</v>
      </c>
      <c r="E5" s="24" t="s">
        <v>404</v>
      </c>
      <c r="I5" s="24" t="s">
        <v>405</v>
      </c>
      <c r="M5" s="24" t="s">
        <v>406</v>
      </c>
    </row>
    <row r="6" spans="1:16" ht="34.049999999999997" customHeight="1">
      <c r="A6" s="31">
        <f>IFERROR(MAX(H12:H21),0)</f>
        <v>0</v>
      </c>
      <c r="E6" s="31">
        <f>IFERROR(MIN(IF(H12:H21&gt;0,H12:H21)),0)</f>
        <v>0</v>
      </c>
      <c r="I6" s="31">
        <f>IFERROR(AVERAGEIF(H12:H21,"&gt;0"),0)</f>
        <v>0</v>
      </c>
      <c r="M6" s="31">
        <f>IFERROR(STDEV(IF(H12:H21&gt;0,H12:H21)),0)</f>
        <v>0</v>
      </c>
    </row>
    <row r="7" spans="1:16" ht="19.95" customHeight="1">
      <c r="A7" s="30" t="s">
        <v>407</v>
      </c>
      <c r="E7" s="20" t="s">
        <v>407</v>
      </c>
      <c r="I7" s="20" t="s">
        <v>407</v>
      </c>
      <c r="M7" s="20" t="s">
        <v>407</v>
      </c>
    </row>
    <row r="8" spans="1:16" ht="6" customHeight="1">
      <c r="A8" s="18" t="s">
        <v>23</v>
      </c>
      <c r="B8" s="19">
        <v>200</v>
      </c>
      <c r="C8" s="25">
        <v>92</v>
      </c>
      <c r="D8" s="25">
        <v>92</v>
      </c>
      <c r="E8" s="25">
        <v>70</v>
      </c>
      <c r="F8" s="25">
        <v>72</v>
      </c>
      <c r="G8" s="25">
        <v>72</v>
      </c>
      <c r="H8" s="3"/>
      <c r="I8" s="4"/>
      <c r="J8" s="5"/>
      <c r="K8" s="5"/>
      <c r="L8" s="3"/>
      <c r="M8" s="4"/>
      <c r="N8" s="5"/>
      <c r="O8" s="5"/>
      <c r="P8" s="3"/>
    </row>
    <row r="9" spans="1:16" ht="28.05" customHeight="1">
      <c r="A9" s="18" t="s">
        <v>408</v>
      </c>
    </row>
    <row r="10" spans="1:16" ht="22.05" customHeight="1">
      <c r="A10" s="6"/>
      <c r="B10" s="24" t="s">
        <v>409</v>
      </c>
      <c r="C10" s="7"/>
      <c r="D10" s="7"/>
      <c r="E10" s="29" t="str">
        <f>'الافتراضات والمدخلات'!B13</f>
        <v>التجمع الخامس</v>
      </c>
      <c r="F10" s="29">
        <f>'الافتراضات والمدخلات'!B4</f>
        <v>150</v>
      </c>
      <c r="G10" s="31">
        <f>'الافتراضات والمدخلات'!B4*'الافتراضات والمدخلات'!B5</f>
        <v>4989300</v>
      </c>
      <c r="H10" s="31">
        <f>'الافتراضات والمدخلات'!B5</f>
        <v>33262</v>
      </c>
      <c r="I10" s="24">
        <f>'الافتراضات والمدخلات'!D1</f>
        <v>0</v>
      </c>
      <c r="J10" s="24" t="s">
        <v>29</v>
      </c>
      <c r="K10" s="24" t="s">
        <v>29</v>
      </c>
      <c r="L10" s="24" t="s">
        <v>29</v>
      </c>
      <c r="M10" s="24" t="s">
        <v>410</v>
      </c>
      <c r="N10" s="31">
        <f>'الافتراضات والمدخلات'!B5</f>
        <v>33262</v>
      </c>
      <c r="O10" s="24" t="s">
        <v>411</v>
      </c>
      <c r="P10" s="31">
        <f>'الافتراضات والمدخلات'!B5</f>
        <v>33262</v>
      </c>
    </row>
    <row r="11" spans="1:16" ht="36" customHeight="1">
      <c r="A11" s="24" t="s">
        <v>412</v>
      </c>
      <c r="B11" s="24" t="s">
        <v>413</v>
      </c>
      <c r="C11" s="32" t="s">
        <v>414</v>
      </c>
      <c r="D11" s="32" t="s">
        <v>415</v>
      </c>
      <c r="E11" s="32" t="s">
        <v>97</v>
      </c>
      <c r="F11" s="32" t="s">
        <v>416</v>
      </c>
      <c r="G11" s="32" t="s">
        <v>417</v>
      </c>
      <c r="H11" s="24" t="s">
        <v>418</v>
      </c>
      <c r="I11" s="24" t="s">
        <v>419</v>
      </c>
      <c r="J11" s="24" t="s">
        <v>420</v>
      </c>
      <c r="K11" s="24" t="s">
        <v>421</v>
      </c>
      <c r="L11" s="24" t="s">
        <v>422</v>
      </c>
      <c r="M11" s="24" t="s">
        <v>423</v>
      </c>
      <c r="N11" s="24" t="s">
        <v>424</v>
      </c>
      <c r="O11" s="24" t="s">
        <v>425</v>
      </c>
      <c r="P11" s="24" t="s">
        <v>426</v>
      </c>
    </row>
    <row r="12" spans="1:16" ht="22.05" customHeight="1">
      <c r="A12" s="19">
        <v>1</v>
      </c>
      <c r="B12" s="8"/>
      <c r="C12" s="9"/>
      <c r="D12" s="9"/>
      <c r="E12" s="9"/>
      <c r="F12" s="9"/>
      <c r="G12" s="9"/>
      <c r="H12" s="33" t="str">
        <f t="shared" ref="H12:H21" si="0">IF(AND(G12&gt;0,F12&gt;0),G12/F12,"")</f>
        <v/>
      </c>
      <c r="I12" s="8"/>
      <c r="J12" s="34">
        <v>1</v>
      </c>
      <c r="K12" s="34">
        <v>1</v>
      </c>
      <c r="L12" s="34">
        <v>1</v>
      </c>
      <c r="M12" s="35" t="str">
        <f t="shared" ref="M12:M21" si="1">IF(H12="","",(J12*K12*L12)-1)</f>
        <v/>
      </c>
      <c r="N12" s="33" t="str">
        <f t="shared" ref="N12:N21" si="2">IF(H12="","",H12*(1+M12))</f>
        <v/>
      </c>
      <c r="O12" s="27">
        <v>0.625</v>
      </c>
      <c r="P12" s="33" t="str">
        <f t="shared" ref="P12:P21" si="3">IF(N12="","",N12*O12)</f>
        <v/>
      </c>
    </row>
    <row r="13" spans="1:16" ht="22.05" customHeight="1">
      <c r="A13" s="19">
        <v>2</v>
      </c>
      <c r="B13" s="10"/>
      <c r="C13" s="11"/>
      <c r="D13" s="11"/>
      <c r="E13" s="11"/>
      <c r="F13" s="11"/>
      <c r="G13" s="11"/>
      <c r="H13" s="33" t="str">
        <f t="shared" si="0"/>
        <v/>
      </c>
      <c r="I13" s="10"/>
      <c r="J13" s="34">
        <v>1</v>
      </c>
      <c r="K13" s="34">
        <v>1</v>
      </c>
      <c r="L13" s="34">
        <v>1</v>
      </c>
      <c r="M13" s="35" t="str">
        <f t="shared" si="1"/>
        <v/>
      </c>
      <c r="N13" s="33" t="str">
        <f t="shared" si="2"/>
        <v/>
      </c>
      <c r="O13" s="27">
        <v>0.625</v>
      </c>
      <c r="P13" s="33" t="str">
        <f t="shared" si="3"/>
        <v/>
      </c>
    </row>
    <row r="14" spans="1:16" ht="22.05" customHeight="1">
      <c r="A14" s="19">
        <v>3</v>
      </c>
      <c r="B14" s="8"/>
      <c r="C14" s="9"/>
      <c r="D14" s="9"/>
      <c r="E14" s="9"/>
      <c r="F14" s="9"/>
      <c r="G14" s="9"/>
      <c r="H14" s="33" t="str">
        <f t="shared" si="0"/>
        <v/>
      </c>
      <c r="I14" s="8"/>
      <c r="J14" s="34">
        <v>1</v>
      </c>
      <c r="K14" s="34">
        <v>1</v>
      </c>
      <c r="L14" s="34">
        <v>1</v>
      </c>
      <c r="M14" s="35" t="str">
        <f t="shared" si="1"/>
        <v/>
      </c>
      <c r="N14" s="33" t="str">
        <f t="shared" si="2"/>
        <v/>
      </c>
      <c r="O14" s="27">
        <v>0.625</v>
      </c>
      <c r="P14" s="33" t="str">
        <f t="shared" si="3"/>
        <v/>
      </c>
    </row>
    <row r="15" spans="1:16" ht="22.05" customHeight="1">
      <c r="A15" s="19">
        <v>4</v>
      </c>
      <c r="B15" s="10"/>
      <c r="C15" s="11"/>
      <c r="D15" s="11"/>
      <c r="E15" s="11"/>
      <c r="F15" s="11"/>
      <c r="G15" s="11"/>
      <c r="H15" s="33" t="str">
        <f t="shared" si="0"/>
        <v/>
      </c>
      <c r="I15" s="10"/>
      <c r="J15" s="34">
        <v>1</v>
      </c>
      <c r="K15" s="34">
        <v>1</v>
      </c>
      <c r="L15" s="34">
        <v>1</v>
      </c>
      <c r="M15" s="35" t="str">
        <f t="shared" si="1"/>
        <v/>
      </c>
      <c r="N15" s="33" t="str">
        <f t="shared" si="2"/>
        <v/>
      </c>
      <c r="O15" s="27">
        <v>0.625</v>
      </c>
      <c r="P15" s="33" t="str">
        <f t="shared" si="3"/>
        <v/>
      </c>
    </row>
    <row r="16" spans="1:16" ht="22.05" customHeight="1">
      <c r="A16" s="19">
        <v>5</v>
      </c>
      <c r="B16" s="8"/>
      <c r="C16" s="9"/>
      <c r="D16" s="9"/>
      <c r="E16" s="9"/>
      <c r="F16" s="9"/>
      <c r="G16" s="9"/>
      <c r="H16" s="33" t="str">
        <f t="shared" si="0"/>
        <v/>
      </c>
      <c r="I16" s="8"/>
      <c r="J16" s="34">
        <v>1</v>
      </c>
      <c r="K16" s="34">
        <v>1</v>
      </c>
      <c r="L16" s="34">
        <v>1</v>
      </c>
      <c r="M16" s="35" t="str">
        <f t="shared" si="1"/>
        <v/>
      </c>
      <c r="N16" s="33" t="str">
        <f t="shared" si="2"/>
        <v/>
      </c>
      <c r="O16" s="27">
        <v>0.625</v>
      </c>
      <c r="P16" s="33" t="str">
        <f t="shared" si="3"/>
        <v/>
      </c>
    </row>
    <row r="17" spans="1:16" ht="22.05" customHeight="1">
      <c r="A17" s="19">
        <v>6</v>
      </c>
      <c r="B17" s="10"/>
      <c r="C17" s="12"/>
      <c r="D17" s="12"/>
      <c r="E17" s="12"/>
      <c r="F17" s="12"/>
      <c r="G17" s="12"/>
      <c r="H17" s="33" t="str">
        <f t="shared" si="0"/>
        <v/>
      </c>
      <c r="I17" s="10"/>
      <c r="J17" s="34">
        <v>1</v>
      </c>
      <c r="K17" s="34">
        <v>1</v>
      </c>
      <c r="L17" s="34">
        <v>1</v>
      </c>
      <c r="M17" s="35" t="str">
        <f t="shared" si="1"/>
        <v/>
      </c>
      <c r="N17" s="33" t="str">
        <f t="shared" si="2"/>
        <v/>
      </c>
      <c r="O17" s="27">
        <v>0.625</v>
      </c>
      <c r="P17" s="33" t="str">
        <f t="shared" si="3"/>
        <v/>
      </c>
    </row>
    <row r="18" spans="1:16" ht="22.05" customHeight="1">
      <c r="A18" s="19">
        <v>7</v>
      </c>
      <c r="B18" s="8"/>
      <c r="C18" s="9"/>
      <c r="D18" s="9"/>
      <c r="E18" s="9"/>
      <c r="F18" s="9"/>
      <c r="G18" s="9"/>
      <c r="H18" s="33" t="str">
        <f t="shared" si="0"/>
        <v/>
      </c>
      <c r="I18" s="8"/>
      <c r="J18" s="34">
        <v>1</v>
      </c>
      <c r="K18" s="34">
        <v>1</v>
      </c>
      <c r="L18" s="34">
        <v>1</v>
      </c>
      <c r="M18" s="35" t="str">
        <f t="shared" si="1"/>
        <v/>
      </c>
      <c r="N18" s="33" t="str">
        <f t="shared" si="2"/>
        <v/>
      </c>
      <c r="O18" s="27">
        <v>0.625</v>
      </c>
      <c r="P18" s="33" t="str">
        <f t="shared" si="3"/>
        <v/>
      </c>
    </row>
    <row r="19" spans="1:16" ht="22.05" customHeight="1">
      <c r="A19" s="19">
        <v>8</v>
      </c>
      <c r="B19" s="10"/>
      <c r="C19" s="12"/>
      <c r="D19" s="12"/>
      <c r="E19" s="12"/>
      <c r="F19" s="12"/>
      <c r="G19" s="12"/>
      <c r="H19" s="33" t="str">
        <f t="shared" si="0"/>
        <v/>
      </c>
      <c r="I19" s="10"/>
      <c r="J19" s="34">
        <v>1</v>
      </c>
      <c r="K19" s="34">
        <v>1</v>
      </c>
      <c r="L19" s="34">
        <v>1</v>
      </c>
      <c r="M19" s="35" t="str">
        <f t="shared" si="1"/>
        <v/>
      </c>
      <c r="N19" s="33" t="str">
        <f t="shared" si="2"/>
        <v/>
      </c>
      <c r="O19" s="27">
        <v>0.625</v>
      </c>
      <c r="P19" s="33" t="str">
        <f t="shared" si="3"/>
        <v/>
      </c>
    </row>
    <row r="20" spans="1:16" ht="22.05" customHeight="1">
      <c r="A20" s="19">
        <v>9</v>
      </c>
      <c r="B20" s="8"/>
      <c r="C20" s="8"/>
      <c r="D20" s="8"/>
      <c r="E20" s="8"/>
      <c r="F20" s="8"/>
      <c r="G20" s="8"/>
      <c r="H20" s="33" t="str">
        <f t="shared" si="0"/>
        <v/>
      </c>
      <c r="I20" s="8"/>
      <c r="J20" s="34">
        <v>1</v>
      </c>
      <c r="K20" s="34">
        <v>1</v>
      </c>
      <c r="L20" s="34">
        <v>1</v>
      </c>
      <c r="M20" s="35" t="str">
        <f t="shared" si="1"/>
        <v/>
      </c>
      <c r="N20" s="33" t="str">
        <f t="shared" si="2"/>
        <v/>
      </c>
      <c r="O20" s="27">
        <v>0.625</v>
      </c>
      <c r="P20" s="33" t="str">
        <f t="shared" si="3"/>
        <v/>
      </c>
    </row>
    <row r="21" spans="1:16" ht="22.05" customHeight="1">
      <c r="A21" s="19">
        <v>10</v>
      </c>
      <c r="C21" s="12"/>
      <c r="D21" s="10"/>
      <c r="E21" s="10"/>
      <c r="F21" s="10"/>
      <c r="G21" s="10"/>
      <c r="H21" s="33" t="str">
        <f t="shared" si="0"/>
        <v/>
      </c>
      <c r="I21" s="10"/>
      <c r="J21" s="34">
        <v>1</v>
      </c>
      <c r="K21" s="34">
        <v>1</v>
      </c>
      <c r="L21" s="34">
        <v>1</v>
      </c>
      <c r="M21" s="35" t="str">
        <f t="shared" si="1"/>
        <v/>
      </c>
      <c r="N21" s="33" t="str">
        <f t="shared" si="2"/>
        <v/>
      </c>
      <c r="O21" s="27">
        <v>0.625</v>
      </c>
      <c r="P21" s="33" t="str">
        <f t="shared" si="3"/>
        <v/>
      </c>
    </row>
    <row r="22" spans="1:16" ht="4.05" customHeight="1">
      <c r="A22" s="112" t="s">
        <v>427</v>
      </c>
      <c r="B22" s="114"/>
      <c r="C22" s="26">
        <v>4533039</v>
      </c>
      <c r="D22" s="13"/>
      <c r="E22" s="13"/>
      <c r="F22" s="13"/>
      <c r="G22" s="13"/>
      <c r="H22" s="13"/>
      <c r="I22" s="13"/>
      <c r="J22" s="13"/>
      <c r="K22" s="13"/>
      <c r="L22" s="13"/>
      <c r="M22" s="13"/>
      <c r="N22" s="13"/>
      <c r="O22" s="13"/>
      <c r="P22" s="13"/>
    </row>
    <row r="23" spans="1:16" ht="28.05" customHeight="1">
      <c r="A23" s="18" t="s">
        <v>428</v>
      </c>
    </row>
    <row r="24" spans="1:16" ht="25.95" customHeight="1">
      <c r="A24" s="18" t="s">
        <v>429</v>
      </c>
      <c r="K24" s="33">
        <f>IFERROR(SUMPRODUCT(IF(N12:N21&lt;&gt;"",N12:N21,0),IF(O12:O21&lt;&gt;"",O12:O21,0))/SUMIF(O12:O21,"&gt;0"),0)</f>
        <v>0</v>
      </c>
    </row>
    <row r="25" spans="1:16" ht="25.95" customHeight="1">
      <c r="A25" s="112" t="s">
        <v>430</v>
      </c>
      <c r="B25" s="113"/>
      <c r="C25" s="113"/>
      <c r="D25" s="113"/>
      <c r="E25" s="113"/>
      <c r="F25" s="113"/>
      <c r="G25" s="113"/>
      <c r="H25" s="113"/>
      <c r="I25" s="113"/>
      <c r="J25" s="114"/>
      <c r="K25" s="36">
        <f>IFERROR(B24*'الافتراضات والمدخلات'!B4,0)</f>
        <v>0</v>
      </c>
    </row>
    <row r="26" spans="1:16" ht="25.95" customHeight="1">
      <c r="A26" s="175" t="s">
        <v>431</v>
      </c>
      <c r="B26" s="110"/>
      <c r="C26" s="110"/>
      <c r="D26" s="110"/>
      <c r="E26" s="110"/>
      <c r="F26" s="110"/>
      <c r="G26" s="110"/>
      <c r="H26" s="110"/>
      <c r="I26" s="110"/>
      <c r="J26" s="111"/>
      <c r="K26" s="37">
        <f>COUNTIF(N12:N21,"&gt;0")</f>
        <v>0</v>
      </c>
    </row>
    <row r="27" spans="1:16" ht="25.95" customHeight="1">
      <c r="A27" s="30" t="s">
        <v>432</v>
      </c>
      <c r="K27" s="35">
        <f>IFERROR(AVERAGE(IF(N12:N21&lt;&gt;"",M12:M21)),0)</f>
        <v>0</v>
      </c>
    </row>
    <row r="28" spans="1:16" ht="25.95" customHeight="1">
      <c r="A28" s="30" t="s">
        <v>433</v>
      </c>
      <c r="K28" s="35">
        <f>IFERROR((B24-'الافتراضات والمدخلات'!B5)/'الافتراضات والمدخلات'!B5,0)</f>
        <v>-1</v>
      </c>
    </row>
    <row r="29" spans="1:16" ht="25.95" customHeight="1">
      <c r="A29" s="30" t="s">
        <v>434</v>
      </c>
      <c r="K29" s="38" t="str">
        <f>IFERROR(IF(ABS(B28)&lt;=0.05,"✅ سعر التقييم قريب من السوق",IF(B24&gt;='الافتراضات والمدخلات'!B5,"⚠ السوق أعلى من التقييم بـ "&amp;TEXT(B28,"0.0%"),"⚠ السوق أقل من التقييم بـ "&amp;TEXT(ABS(B28),"0.0%"))),"")</f>
        <v>✅ سعر التقييم قريب من السوق</v>
      </c>
    </row>
    <row r="30" spans="1:16" ht="4.05" customHeight="1">
      <c r="A30" s="13"/>
      <c r="B30" s="13"/>
      <c r="C30" s="13"/>
      <c r="D30" s="13"/>
      <c r="E30" s="13"/>
      <c r="F30" s="13"/>
      <c r="G30" s="13"/>
      <c r="H30" s="13"/>
      <c r="I30" s="13"/>
      <c r="J30" s="13"/>
      <c r="K30" s="13"/>
      <c r="L30" s="13"/>
      <c r="M30" s="13"/>
      <c r="N30" s="13"/>
      <c r="O30" s="13"/>
      <c r="P30" s="13"/>
    </row>
    <row r="31" spans="1:16" ht="24" customHeight="1">
      <c r="A31" s="18" t="s">
        <v>435</v>
      </c>
    </row>
    <row r="32" spans="1:16" ht="40.049999999999997" customHeight="1">
      <c r="A32" s="18" t="str">
        <f>'الافتراضات والمدخلات'!B13&amp;" — عقار في منطقة "&amp;'الافتراضات والمدخلات'!B13</f>
        <v>التجمع الخامس — عقار في منطقة التجمع الخامس</v>
      </c>
    </row>
    <row r="33" spans="1:12" ht="40.049999999999997" customHeight="1">
      <c r="A33" s="20" t="s">
        <v>436</v>
      </c>
    </row>
    <row r="34" spans="1:12" ht="40.049999999999997" customHeight="1">
      <c r="A34" s="14"/>
    </row>
    <row r="35" spans="1:12" ht="24" customHeight="1">
      <c r="A35" s="112" t="s">
        <v>437</v>
      </c>
      <c r="B35" s="113"/>
      <c r="C35" s="113"/>
      <c r="D35" s="113"/>
      <c r="E35" s="113"/>
      <c r="F35" s="113"/>
      <c r="G35" s="113"/>
      <c r="H35" s="113"/>
      <c r="I35" s="114"/>
    </row>
    <row r="36" spans="1:12" ht="37.950000000000003" customHeight="1">
      <c r="A36" s="109" t="s">
        <v>438</v>
      </c>
      <c r="B36" s="110"/>
      <c r="C36" s="110"/>
      <c r="D36" s="110"/>
      <c r="E36" s="110"/>
      <c r="F36" s="110"/>
      <c r="G36" s="110"/>
      <c r="H36" s="110"/>
      <c r="I36" s="111"/>
    </row>
    <row r="37" spans="1:12" ht="37.950000000000003" customHeight="1">
      <c r="A37" s="109" t="s">
        <v>439</v>
      </c>
      <c r="B37" s="110"/>
      <c r="C37" s="110"/>
      <c r="D37" s="110"/>
      <c r="E37" s="110"/>
      <c r="F37" s="110"/>
      <c r="G37" s="110"/>
      <c r="H37" s="110"/>
      <c r="I37" s="111"/>
    </row>
    <row r="38" spans="1:12" ht="37.950000000000003" customHeight="1">
      <c r="A38" s="109" t="s">
        <v>440</v>
      </c>
      <c r="B38" s="110"/>
      <c r="C38" s="110"/>
      <c r="D38" s="110"/>
      <c r="E38" s="110"/>
      <c r="F38" s="110"/>
      <c r="G38" s="110"/>
      <c r="H38" s="110"/>
      <c r="I38" s="111"/>
    </row>
    <row r="39" spans="1:12" ht="37.950000000000003" customHeight="1">
      <c r="A39" s="109" t="s">
        <v>441</v>
      </c>
      <c r="B39" s="110"/>
      <c r="C39" s="110"/>
      <c r="D39" s="110"/>
      <c r="E39" s="110"/>
      <c r="F39" s="110"/>
      <c r="G39" s="110"/>
      <c r="H39" s="110"/>
      <c r="I39" s="111"/>
    </row>
    <row r="43" spans="1:12" ht="36" customHeight="1">
      <c r="A43" s="174" t="s">
        <v>442</v>
      </c>
      <c r="B43" s="119"/>
      <c r="C43" s="119"/>
      <c r="D43" s="119"/>
      <c r="E43" s="119"/>
      <c r="F43" s="119"/>
      <c r="G43" s="119"/>
      <c r="H43" s="119"/>
      <c r="I43" s="119"/>
      <c r="J43" s="119"/>
      <c r="K43" s="119"/>
      <c r="L43" s="119"/>
    </row>
    <row r="47" spans="1:12" ht="40.049999999999997" customHeight="1">
      <c r="A47" s="115" t="s">
        <v>443</v>
      </c>
      <c r="B47" s="116"/>
      <c r="C47" s="116"/>
      <c r="D47" s="116"/>
      <c r="E47" s="116"/>
      <c r="F47" s="116"/>
      <c r="G47" s="116"/>
      <c r="H47" s="116"/>
      <c r="I47" s="116"/>
    </row>
    <row r="49" spans="1:9" ht="31.95" customHeight="1">
      <c r="A49" s="21" t="s">
        <v>444</v>
      </c>
      <c r="B49" s="21" t="s">
        <v>97</v>
      </c>
      <c r="C49" s="21" t="s">
        <v>419</v>
      </c>
      <c r="D49" s="21" t="s">
        <v>445</v>
      </c>
      <c r="E49" s="21" t="s">
        <v>344</v>
      </c>
      <c r="F49" s="21" t="s">
        <v>30</v>
      </c>
      <c r="G49" s="21" t="s">
        <v>446</v>
      </c>
      <c r="H49" s="21" t="s">
        <v>447</v>
      </c>
      <c r="I49" s="21" t="s">
        <v>448</v>
      </c>
    </row>
    <row r="50" spans="1:9" ht="24" customHeight="1">
      <c r="A50" s="39">
        <v>1</v>
      </c>
      <c r="B50" s="39" t="s">
        <v>449</v>
      </c>
      <c r="C50" s="39" t="s">
        <v>450</v>
      </c>
      <c r="D50" s="39">
        <v>165</v>
      </c>
      <c r="E50" s="39">
        <v>4</v>
      </c>
      <c r="F50" s="39">
        <v>2018</v>
      </c>
      <c r="G50" s="40">
        <v>5445000</v>
      </c>
      <c r="H50" s="40">
        <f>G50/D50</f>
        <v>33000</v>
      </c>
      <c r="I50" s="41" t="s">
        <v>451</v>
      </c>
    </row>
    <row r="51" spans="1:9" ht="24" customHeight="1">
      <c r="A51" s="19">
        <v>2</v>
      </c>
      <c r="B51" s="19" t="s">
        <v>452</v>
      </c>
      <c r="C51" s="19" t="s">
        <v>453</v>
      </c>
      <c r="D51" s="19">
        <v>172</v>
      </c>
      <c r="E51" s="19">
        <v>3</v>
      </c>
      <c r="F51" s="19">
        <v>2017</v>
      </c>
      <c r="G51" s="33">
        <v>5504000</v>
      </c>
      <c r="H51" s="33">
        <f>G51/D51</f>
        <v>32000</v>
      </c>
      <c r="I51" s="20" t="s">
        <v>454</v>
      </c>
    </row>
    <row r="52" spans="1:9" ht="24" customHeight="1">
      <c r="A52" s="39">
        <v>3</v>
      </c>
      <c r="B52" s="39" t="s">
        <v>455</v>
      </c>
      <c r="C52" s="39" t="s">
        <v>456</v>
      </c>
      <c r="D52" s="39">
        <v>145</v>
      </c>
      <c r="E52" s="39">
        <v>5</v>
      </c>
      <c r="F52" s="39">
        <v>2019</v>
      </c>
      <c r="G52" s="40">
        <v>4640000</v>
      </c>
      <c r="H52" s="40">
        <f>G52/D52</f>
        <v>32000</v>
      </c>
      <c r="I52" s="41" t="s">
        <v>457</v>
      </c>
    </row>
    <row r="53" spans="1:9" ht="24" customHeight="1">
      <c r="A53" s="19">
        <v>4</v>
      </c>
      <c r="B53" s="19" t="s">
        <v>458</v>
      </c>
      <c r="C53" s="19" t="s">
        <v>459</v>
      </c>
      <c r="D53" s="19">
        <v>180</v>
      </c>
      <c r="E53" s="19">
        <v>2</v>
      </c>
      <c r="F53" s="19">
        <v>2016</v>
      </c>
      <c r="G53" s="33">
        <v>5850000</v>
      </c>
      <c r="H53" s="33">
        <f>G53/D53</f>
        <v>32500</v>
      </c>
      <c r="I53" s="20" t="s">
        <v>460</v>
      </c>
    </row>
    <row r="54" spans="1:9" ht="24" customHeight="1">
      <c r="A54" s="39">
        <v>5</v>
      </c>
      <c r="B54" s="39" t="s">
        <v>461</v>
      </c>
      <c r="C54" s="39" t="s">
        <v>462</v>
      </c>
      <c r="D54" s="39">
        <v>158</v>
      </c>
      <c r="E54" s="39">
        <v>6</v>
      </c>
      <c r="F54" s="39">
        <v>2020</v>
      </c>
      <c r="G54" s="40">
        <v>5293000</v>
      </c>
      <c r="H54" s="40">
        <f>G54/D54</f>
        <v>33500</v>
      </c>
      <c r="I54" s="41" t="s">
        <v>463</v>
      </c>
    </row>
    <row r="56" spans="1:9" ht="31.95" customHeight="1">
      <c r="A56" s="165" t="s">
        <v>464</v>
      </c>
      <c r="B56" s="119"/>
      <c r="C56" s="119"/>
      <c r="D56" s="119"/>
      <c r="E56" s="119"/>
      <c r="F56" s="119"/>
      <c r="G56" s="119"/>
      <c r="H56" s="119"/>
      <c r="I56" s="119"/>
    </row>
    <row r="57" spans="1:9" ht="28.05" customHeight="1">
      <c r="A57" s="42">
        <v>1</v>
      </c>
      <c r="B57" s="173" t="s">
        <v>465</v>
      </c>
      <c r="C57" s="110"/>
      <c r="D57" s="110"/>
      <c r="E57" s="111"/>
      <c r="F57" s="168">
        <f>AVERAGE(H50:H54)</f>
        <v>32600</v>
      </c>
      <c r="G57" s="130"/>
      <c r="H57" s="130"/>
      <c r="I57" s="131"/>
    </row>
    <row r="58" spans="1:9" ht="28.05" customHeight="1">
      <c r="A58" s="42">
        <v>2</v>
      </c>
      <c r="B58" s="173" t="s">
        <v>466</v>
      </c>
      <c r="C58" s="110"/>
      <c r="D58" s="110"/>
      <c r="E58" s="111"/>
      <c r="F58" s="168">
        <f>MAX(H50:H54)</f>
        <v>33500</v>
      </c>
      <c r="G58" s="130"/>
      <c r="H58" s="130"/>
      <c r="I58" s="131"/>
    </row>
    <row r="59" spans="1:9" ht="28.05" customHeight="1">
      <c r="A59" s="42">
        <v>3</v>
      </c>
      <c r="B59" s="173" t="s">
        <v>467</v>
      </c>
      <c r="C59" s="110"/>
      <c r="D59" s="110"/>
      <c r="E59" s="111"/>
      <c r="F59" s="168">
        <f>MIN(H50:H54)</f>
        <v>32000</v>
      </c>
      <c r="G59" s="130"/>
      <c r="H59" s="130"/>
      <c r="I59" s="131"/>
    </row>
    <row r="60" spans="1:9" ht="28.05" customHeight="1">
      <c r="A60" s="42">
        <v>4</v>
      </c>
      <c r="B60" s="173" t="s">
        <v>468</v>
      </c>
      <c r="C60" s="110"/>
      <c r="D60" s="110"/>
      <c r="E60" s="111"/>
      <c r="F60" s="168">
        <f>STDEV(H50:H54)</f>
        <v>651.92024052026488</v>
      </c>
      <c r="G60" s="130"/>
      <c r="H60" s="130"/>
      <c r="I60" s="131"/>
    </row>
    <row r="61" spans="1:9" ht="28.05" customHeight="1">
      <c r="A61" s="42">
        <v>5</v>
      </c>
      <c r="B61" s="173" t="s">
        <v>469</v>
      </c>
      <c r="C61" s="110"/>
      <c r="D61" s="110"/>
      <c r="E61" s="111"/>
      <c r="F61" s="166">
        <f>STDEV(H50:H54)/AVERAGE(H50:H54)</f>
        <v>1.9997553390192175E-2</v>
      </c>
      <c r="G61" s="130"/>
      <c r="H61" s="130"/>
      <c r="I61" s="131"/>
    </row>
    <row r="65" spans="1:8" ht="40.049999999999997" customHeight="1">
      <c r="A65" s="172" t="s">
        <v>470</v>
      </c>
      <c r="B65" s="116"/>
      <c r="C65" s="116"/>
      <c r="D65" s="116"/>
      <c r="E65" s="116"/>
      <c r="F65" s="116"/>
      <c r="G65" s="116"/>
      <c r="H65" s="116"/>
    </row>
    <row r="67" spans="1:8" ht="31.95" customHeight="1">
      <c r="A67" s="165" t="s">
        <v>471</v>
      </c>
      <c r="B67" s="119"/>
      <c r="C67" s="119"/>
      <c r="D67" s="119"/>
      <c r="E67" s="119"/>
      <c r="F67" s="119"/>
      <c r="G67" s="119"/>
      <c r="H67" s="119"/>
    </row>
    <row r="68" spans="1:8" ht="25.95" customHeight="1">
      <c r="A68" s="170" t="s">
        <v>472</v>
      </c>
      <c r="B68" s="110"/>
      <c r="C68" s="110"/>
      <c r="D68" s="110"/>
      <c r="E68" s="110"/>
      <c r="F68" s="110"/>
      <c r="G68" s="110"/>
      <c r="H68" s="111"/>
    </row>
    <row r="69" spans="1:8" ht="25.95" customHeight="1">
      <c r="A69" s="167" t="s">
        <v>473</v>
      </c>
      <c r="B69" s="110"/>
      <c r="C69" s="110"/>
      <c r="D69" s="110"/>
      <c r="E69" s="110"/>
      <c r="F69" s="110"/>
      <c r="G69" s="110"/>
      <c r="H69" s="111"/>
    </row>
    <row r="70" spans="1:8" ht="25.95" customHeight="1">
      <c r="A70" s="170" t="s">
        <v>474</v>
      </c>
      <c r="B70" s="110"/>
      <c r="C70" s="110"/>
      <c r="D70" s="110"/>
      <c r="E70" s="110"/>
      <c r="F70" s="110"/>
      <c r="G70" s="110"/>
      <c r="H70" s="111"/>
    </row>
    <row r="71" spans="1:8" ht="25.95" customHeight="1">
      <c r="A71" s="167" t="s">
        <v>475</v>
      </c>
      <c r="B71" s="110"/>
      <c r="C71" s="110"/>
      <c r="D71" s="110"/>
      <c r="E71" s="110"/>
      <c r="F71" s="110"/>
      <c r="G71" s="110"/>
      <c r="H71" s="111"/>
    </row>
    <row r="72" spans="1:8" ht="25.95" customHeight="1">
      <c r="A72" s="170" t="s">
        <v>476</v>
      </c>
      <c r="B72" s="110"/>
      <c r="C72" s="110"/>
      <c r="D72" s="110"/>
      <c r="E72" s="110"/>
      <c r="F72" s="110"/>
      <c r="G72" s="110"/>
      <c r="H72" s="111"/>
    </row>
    <row r="73" spans="1:8" ht="25.95" customHeight="1">
      <c r="A73" s="167" t="s">
        <v>477</v>
      </c>
      <c r="B73" s="110"/>
      <c r="C73" s="110"/>
      <c r="D73" s="110"/>
      <c r="E73" s="110"/>
      <c r="F73" s="110"/>
      <c r="G73" s="110"/>
      <c r="H73" s="111"/>
    </row>
    <row r="74" spans="1:8" ht="25.95" customHeight="1">
      <c r="A74" s="170" t="s">
        <v>478</v>
      </c>
      <c r="B74" s="110"/>
      <c r="C74" s="110"/>
      <c r="D74" s="110"/>
      <c r="E74" s="110"/>
      <c r="F74" s="110"/>
      <c r="G74" s="110"/>
      <c r="H74" s="111"/>
    </row>
    <row r="75" spans="1:8" ht="25.95" customHeight="1">
      <c r="A75" s="167" t="s">
        <v>479</v>
      </c>
      <c r="B75" s="110"/>
      <c r="C75" s="110"/>
      <c r="D75" s="110"/>
      <c r="E75" s="110"/>
      <c r="F75" s="110"/>
      <c r="G75" s="110"/>
      <c r="H75" s="111"/>
    </row>
    <row r="76" spans="1:8" ht="25.95" customHeight="1">
      <c r="A76" s="170" t="s">
        <v>480</v>
      </c>
      <c r="B76" s="110"/>
      <c r="C76" s="110"/>
      <c r="D76" s="110"/>
      <c r="E76" s="110"/>
      <c r="F76" s="110"/>
      <c r="G76" s="110"/>
      <c r="H76" s="111"/>
    </row>
    <row r="78" spans="1:8" ht="31.95" customHeight="1">
      <c r="A78" s="171" t="s">
        <v>481</v>
      </c>
      <c r="B78" s="119"/>
      <c r="C78" s="119"/>
      <c r="D78" s="119"/>
      <c r="E78" s="119"/>
      <c r="F78" s="119"/>
      <c r="G78" s="119"/>
      <c r="H78" s="119"/>
    </row>
    <row r="79" spans="1:8" ht="49.95" customHeight="1">
      <c r="A79" s="169" t="s">
        <v>482</v>
      </c>
      <c r="B79" s="130"/>
      <c r="C79" s="130"/>
      <c r="D79" s="130"/>
      <c r="E79" s="130"/>
      <c r="F79" s="130"/>
      <c r="G79" s="130"/>
      <c r="H79" s="131"/>
    </row>
  </sheetData>
  <mergeCells count="36">
    <mergeCell ref="A26:J26"/>
    <mergeCell ref="A2:P2"/>
    <mergeCell ref="A35:I35"/>
    <mergeCell ref="A38:I38"/>
    <mergeCell ref="A74:H74"/>
    <mergeCell ref="A43:L43"/>
    <mergeCell ref="A1:P1"/>
    <mergeCell ref="B58:E58"/>
    <mergeCell ref="A71:H71"/>
    <mergeCell ref="F59:I59"/>
    <mergeCell ref="A39:I39"/>
    <mergeCell ref="A25:J25"/>
    <mergeCell ref="A22:B22"/>
    <mergeCell ref="B60:E60"/>
    <mergeCell ref="B61:E61"/>
    <mergeCell ref="B57:E57"/>
    <mergeCell ref="A36:I36"/>
    <mergeCell ref="A72:H72"/>
    <mergeCell ref="A79:H79"/>
    <mergeCell ref="F60:I60"/>
    <mergeCell ref="A70:H70"/>
    <mergeCell ref="A78:H78"/>
    <mergeCell ref="F57:I57"/>
    <mergeCell ref="A69:H69"/>
    <mergeCell ref="A65:H65"/>
    <mergeCell ref="B59:E59"/>
    <mergeCell ref="A75:H75"/>
    <mergeCell ref="A76:H76"/>
    <mergeCell ref="A68:H68"/>
    <mergeCell ref="A67:H67"/>
    <mergeCell ref="A37:I37"/>
    <mergeCell ref="F61:I61"/>
    <mergeCell ref="A73:H73"/>
    <mergeCell ref="F58:I58"/>
    <mergeCell ref="A56:I56"/>
    <mergeCell ref="A47:I47"/>
  </mergeCells>
  <conditionalFormatting sqref="H12:H21">
    <cfRule type="colorScale" priority="1">
      <colorScale>
        <cfvo type="min"/>
        <cfvo type="percentile" val="50"/>
        <cfvo type="max"/>
        <color rgb="FF6B1515"/>
        <color rgb="FFD4AF37"/>
        <color rgb="FF0A5E36"/>
      </colorScale>
    </cfRule>
  </conditionalFormatting>
  <conditionalFormatting sqref="N12:N21">
    <cfRule type="colorScale" priority="2">
      <colorScale>
        <cfvo type="min"/>
        <cfvo type="percentile" val="50"/>
        <cfvo type="max"/>
        <color rgb="FF6B1515"/>
        <color rgb="FFD4AF37"/>
        <color rgb="FF0A5E36"/>
      </colorScale>
    </cfRule>
  </conditionalFormatting>
  <conditionalFormatting sqref="O12:O21">
    <cfRule type="colorScale" priority="3">
      <colorScale>
        <cfvo type="min"/>
        <cfvo type="percentile" val="50"/>
        <cfvo type="max"/>
        <color rgb="FF1A1A1A"/>
        <color rgb="FF7B6120"/>
        <color rgb="FFD4AF37"/>
      </colorScale>
    </cfRule>
  </conditionalFormatting>
  <conditionalFormatting sqref="M12:M21">
    <cfRule type="expression" dxfId="5" priority="4">
      <formula>AND(M12&lt;0)</formula>
    </cfRule>
    <cfRule type="expression" dxfId="4" priority="5">
      <formula>AND(M12&gt;0)</formula>
    </cfRule>
  </conditionalFormatting>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I69"/>
  <sheetViews>
    <sheetView rightToLeft="1" workbookViewId="0">
      <pane ySplit="1" topLeftCell="A2" activePane="bottomLeft" state="frozen"/>
      <selection pane="bottomLeft" activeCell="B11" sqref="B11"/>
    </sheetView>
  </sheetViews>
  <sheetFormatPr defaultRowHeight="14.4"/>
  <cols>
    <col min="1" max="1" width="38" customWidth="1"/>
    <col min="2" max="2" width="15" customWidth="1"/>
    <col min="3" max="7" width="24" customWidth="1"/>
    <col min="8" max="9" width="14" customWidth="1"/>
  </cols>
  <sheetData>
    <row r="1" spans="1:7" ht="37.950000000000003" customHeight="1">
      <c r="A1" s="153" t="s">
        <v>483</v>
      </c>
      <c r="B1" s="116"/>
      <c r="C1" s="116"/>
      <c r="D1" s="116"/>
      <c r="E1" s="116"/>
      <c r="F1" s="116"/>
      <c r="G1" s="154"/>
    </row>
    <row r="2" spans="1:7" ht="19.95" customHeight="1">
      <c r="A2" s="112" t="s">
        <v>484</v>
      </c>
      <c r="B2" s="113"/>
      <c r="C2" s="113"/>
      <c r="D2" s="113"/>
      <c r="E2" s="113"/>
      <c r="F2" s="113"/>
      <c r="G2" s="114"/>
    </row>
    <row r="4" spans="1:7" ht="28.05" customHeight="1">
      <c r="A4" s="24" t="s">
        <v>132</v>
      </c>
      <c r="B4" s="24" t="s">
        <v>397</v>
      </c>
      <c r="C4" s="24" t="s">
        <v>485</v>
      </c>
      <c r="D4" s="24" t="s">
        <v>486</v>
      </c>
      <c r="E4" s="24" t="s">
        <v>487</v>
      </c>
      <c r="F4" s="24" t="s">
        <v>488</v>
      </c>
      <c r="G4" s="24" t="s">
        <v>489</v>
      </c>
    </row>
    <row r="5" spans="1:7" ht="20.399999999999999" customHeight="1">
      <c r="A5" s="18" t="s">
        <v>490</v>
      </c>
      <c r="B5" s="20" t="s">
        <v>164</v>
      </c>
      <c r="C5" s="20" t="s">
        <v>491</v>
      </c>
      <c r="D5" s="20" t="s">
        <v>491</v>
      </c>
      <c r="E5" s="20" t="s">
        <v>491</v>
      </c>
      <c r="F5" s="20" t="s">
        <v>491</v>
      </c>
      <c r="G5" s="20" t="s">
        <v>491</v>
      </c>
    </row>
    <row r="6" spans="1:7" ht="20.399999999999999" customHeight="1">
      <c r="A6" s="18" t="s">
        <v>445</v>
      </c>
      <c r="B6" s="19">
        <v>200</v>
      </c>
      <c r="C6" s="25">
        <v>72</v>
      </c>
      <c r="D6" s="25">
        <v>90</v>
      </c>
      <c r="E6" s="25">
        <v>105</v>
      </c>
      <c r="F6" s="25">
        <v>80</v>
      </c>
      <c r="G6" s="25">
        <v>120</v>
      </c>
    </row>
    <row r="7" spans="1:7" ht="20.399999999999999" customHeight="1">
      <c r="A7" s="18" t="s">
        <v>344</v>
      </c>
      <c r="B7" s="19">
        <v>3</v>
      </c>
      <c r="C7" s="19">
        <v>1</v>
      </c>
      <c r="D7" s="19">
        <v>2</v>
      </c>
      <c r="E7" s="19">
        <v>3</v>
      </c>
      <c r="F7" s="19">
        <v>1</v>
      </c>
      <c r="G7" s="19">
        <v>4</v>
      </c>
    </row>
    <row r="8" spans="1:7" ht="20.399999999999999" customHeight="1">
      <c r="A8" s="18" t="s">
        <v>30</v>
      </c>
      <c r="B8" s="26">
        <v>2010</v>
      </c>
      <c r="C8" s="26">
        <v>2016</v>
      </c>
      <c r="D8" s="26">
        <v>2015</v>
      </c>
      <c r="E8" s="26">
        <v>2018</v>
      </c>
      <c r="F8" s="26">
        <v>2017</v>
      </c>
      <c r="G8" s="26">
        <v>2016</v>
      </c>
    </row>
    <row r="9" spans="1:7" ht="21.6" customHeight="1">
      <c r="A9" s="24" t="s">
        <v>346</v>
      </c>
      <c r="B9" s="24">
        <v>380</v>
      </c>
      <c r="C9" s="29">
        <v>350</v>
      </c>
      <c r="D9" s="29">
        <v>320</v>
      </c>
      <c r="E9" s="29">
        <v>380</v>
      </c>
      <c r="F9" s="29">
        <v>340</v>
      </c>
      <c r="G9" s="29">
        <v>300</v>
      </c>
    </row>
    <row r="11" spans="1:7" ht="21.6" customHeight="1">
      <c r="A11" s="18" t="s">
        <v>492</v>
      </c>
      <c r="B11" s="25">
        <f>AVERAGE(C9:G9)</f>
        <v>338</v>
      </c>
    </row>
    <row r="35" spans="1:9" ht="24" customHeight="1">
      <c r="A35" s="112" t="s">
        <v>493</v>
      </c>
      <c r="B35" s="113"/>
      <c r="C35" s="113"/>
      <c r="D35" s="113"/>
      <c r="E35" s="113"/>
      <c r="F35" s="113"/>
      <c r="G35" s="113"/>
      <c r="H35" s="113"/>
      <c r="I35" s="114"/>
    </row>
    <row r="36" spans="1:9" ht="37.950000000000003" customHeight="1">
      <c r="A36" s="145" t="str">
        <f>"العائد الإيجاري الإجمالي = الإيجار السنوي ÷ قيمة العقار. العقار المدروس يُقدَّر إيجاره "&amp;TEXT('الافتراضات والمدخلات'!B4*'الافتراضات والمدخلات'!B6*12,"#,##0")&amp;" EGP/سنة."</f>
        <v>العائد الإيجاري الإجمالي = الإيجار السنوي ÷ قيمة العقار. العقار المدروس يُقدَّر إيجاره 684,000 EGP/سنة.</v>
      </c>
      <c r="B36" s="110"/>
      <c r="C36" s="110"/>
      <c r="D36" s="110"/>
      <c r="E36" s="110"/>
      <c r="F36" s="110"/>
      <c r="G36" s="110"/>
      <c r="H36" s="110"/>
      <c r="I36" s="111"/>
    </row>
    <row r="37" spans="1:9" ht="37.950000000000003" customHeight="1">
      <c r="A37" s="109" t="s">
        <v>494</v>
      </c>
      <c r="B37" s="110"/>
      <c r="C37" s="110"/>
      <c r="D37" s="110"/>
      <c r="E37" s="110"/>
      <c r="F37" s="110"/>
      <c r="G37" s="110"/>
      <c r="H37" s="110"/>
      <c r="I37" s="111"/>
    </row>
    <row r="38" spans="1:9" ht="37.950000000000003" customHeight="1">
      <c r="A38" s="109" t="s">
        <v>495</v>
      </c>
      <c r="B38" s="110"/>
      <c r="C38" s="110"/>
      <c r="D38" s="110"/>
      <c r="E38" s="110"/>
      <c r="F38" s="110"/>
      <c r="G38" s="110"/>
      <c r="H38" s="110"/>
      <c r="I38" s="111"/>
    </row>
    <row r="39" spans="1:9" ht="37.950000000000003" customHeight="1">
      <c r="A39" s="109" t="s">
        <v>496</v>
      </c>
      <c r="B39" s="110"/>
      <c r="C39" s="110"/>
      <c r="D39" s="110"/>
      <c r="E39" s="110"/>
      <c r="F39" s="110"/>
      <c r="G39" s="110"/>
      <c r="H39" s="110"/>
      <c r="I39" s="111"/>
    </row>
    <row r="43" spans="1:9" ht="36" customHeight="1">
      <c r="A43" s="174" t="s">
        <v>497</v>
      </c>
      <c r="B43" s="119"/>
      <c r="C43" s="119"/>
      <c r="D43" s="119"/>
      <c r="E43" s="119"/>
      <c r="F43" s="119"/>
      <c r="G43" s="119"/>
      <c r="H43" s="119"/>
      <c r="I43" s="119"/>
    </row>
    <row r="47" spans="1:9" ht="40.049999999999997" customHeight="1">
      <c r="A47" s="179" t="s">
        <v>498</v>
      </c>
      <c r="B47" s="116"/>
      <c r="C47" s="116"/>
      <c r="D47" s="116"/>
      <c r="E47" s="116"/>
      <c r="F47" s="116"/>
      <c r="G47" s="116"/>
      <c r="H47" s="116"/>
      <c r="I47" s="116"/>
    </row>
    <row r="49" spans="1:9" ht="28.05" customHeight="1">
      <c r="A49" s="177" t="s">
        <v>499</v>
      </c>
      <c r="B49" s="110"/>
      <c r="C49" s="110"/>
      <c r="D49" s="110"/>
      <c r="E49" s="111"/>
      <c r="F49" s="178">
        <f>'الافتراضات والمدخلات'!$B$4*'الافتراضات والمدخلات'!$B$6</f>
        <v>57000</v>
      </c>
      <c r="G49" s="130"/>
      <c r="H49" s="130"/>
      <c r="I49" s="131"/>
    </row>
    <row r="50" spans="1:9" ht="28.05" customHeight="1">
      <c r="A50" s="177" t="s">
        <v>500</v>
      </c>
      <c r="B50" s="110"/>
      <c r="C50" s="110"/>
      <c r="D50" s="110"/>
      <c r="E50" s="111"/>
      <c r="F50" s="178">
        <f>'الافتراضات والمدخلات'!$B$4*'الافتراضات والمدخلات'!$B$5</f>
        <v>4989300</v>
      </c>
      <c r="G50" s="130"/>
      <c r="H50" s="130"/>
      <c r="I50" s="131"/>
    </row>
    <row r="51" spans="1:9" ht="28.05" customHeight="1">
      <c r="A51" s="177" t="s">
        <v>501</v>
      </c>
      <c r="B51" s="110"/>
      <c r="C51" s="110"/>
      <c r="D51" s="110"/>
      <c r="E51" s="111"/>
      <c r="F51" s="181">
        <f>('الافتراضات والمدخلات'!$B$4*'الافتراضات والمدخلات'!$B$5)/('الافتراضات والمدخلات'!$B$4*'الافتراضات والمدخلات'!$B$6)</f>
        <v>87.531578947368416</v>
      </c>
      <c r="G51" s="130"/>
      <c r="H51" s="130"/>
      <c r="I51" s="131"/>
    </row>
    <row r="52" spans="1:9" ht="28.05" customHeight="1">
      <c r="A52" s="177" t="s">
        <v>502</v>
      </c>
      <c r="B52" s="110"/>
      <c r="C52" s="110"/>
      <c r="D52" s="110"/>
      <c r="E52" s="111"/>
      <c r="F52" s="176">
        <f>1/(('الافتراضات والمدخلات'!$B$4*'الافتراضات والمدخلات'!$B$5)/('الافتراضات والمدخلات'!$B$4*'الافتراضات والمدخلات'!$B$6))</f>
        <v>1.1424448319403525E-2</v>
      </c>
      <c r="G52" s="130"/>
      <c r="H52" s="130"/>
      <c r="I52" s="131"/>
    </row>
    <row r="53" spans="1:9" ht="28.05" customHeight="1">
      <c r="A53" s="177" t="s">
        <v>503</v>
      </c>
      <c r="B53" s="110"/>
      <c r="C53" s="110"/>
      <c r="D53" s="110"/>
      <c r="E53" s="111"/>
      <c r="F53" s="178">
        <f>('الافتراضات والمدخلات'!$B$4*'الافتراضات والمدخلات'!$B$6)/12</f>
        <v>4750</v>
      </c>
      <c r="G53" s="130"/>
      <c r="H53" s="130"/>
      <c r="I53" s="131"/>
    </row>
    <row r="54" spans="1:9" ht="28.05" customHeight="1">
      <c r="A54" s="177" t="s">
        <v>504</v>
      </c>
      <c r="B54" s="110"/>
      <c r="C54" s="110"/>
      <c r="D54" s="110"/>
      <c r="E54" s="111"/>
      <c r="F54" s="180">
        <f>('الافتراضات والمدخلات'!$B$4*'الافتراضات والمدخلات'!$B$5)/('الافتراضات والمدخلات'!$B$4*'الافتراضات والمدخلات'!$B$6)</f>
        <v>87.531578947368416</v>
      </c>
      <c r="G54" s="130"/>
      <c r="H54" s="130"/>
      <c r="I54" s="131"/>
    </row>
    <row r="58" spans="1:9" ht="40.049999999999997" customHeight="1">
      <c r="A58" s="172" t="s">
        <v>505</v>
      </c>
      <c r="B58" s="116"/>
      <c r="C58" s="116"/>
      <c r="D58" s="116"/>
      <c r="E58" s="116"/>
      <c r="F58" s="116"/>
      <c r="G58" s="116"/>
      <c r="H58" s="116"/>
    </row>
    <row r="60" spans="1:9" ht="31.95" customHeight="1">
      <c r="A60" s="165" t="s">
        <v>471</v>
      </c>
      <c r="B60" s="119"/>
      <c r="C60" s="119"/>
      <c r="D60" s="119"/>
      <c r="E60" s="119"/>
      <c r="F60" s="119"/>
      <c r="G60" s="119"/>
      <c r="H60" s="119"/>
    </row>
    <row r="61" spans="1:9" ht="25.95" customHeight="1">
      <c r="A61" s="167" t="s">
        <v>506</v>
      </c>
      <c r="B61" s="110"/>
      <c r="C61" s="110"/>
      <c r="D61" s="110"/>
      <c r="E61" s="110"/>
      <c r="F61" s="110"/>
      <c r="G61" s="110"/>
      <c r="H61" s="111"/>
    </row>
    <row r="62" spans="1:9" ht="25.95" customHeight="1">
      <c r="A62" s="170" t="s">
        <v>507</v>
      </c>
      <c r="B62" s="110"/>
      <c r="C62" s="110"/>
      <c r="D62" s="110"/>
      <c r="E62" s="110"/>
      <c r="F62" s="110"/>
      <c r="G62" s="110"/>
      <c r="H62" s="111"/>
    </row>
    <row r="63" spans="1:9" ht="25.95" customHeight="1">
      <c r="A63" s="167" t="s">
        <v>508</v>
      </c>
      <c r="B63" s="110"/>
      <c r="C63" s="110"/>
      <c r="D63" s="110"/>
      <c r="E63" s="110"/>
      <c r="F63" s="110"/>
      <c r="G63" s="110"/>
      <c r="H63" s="111"/>
    </row>
    <row r="64" spans="1:9" ht="25.95" customHeight="1">
      <c r="A64" s="170" t="s">
        <v>509</v>
      </c>
      <c r="B64" s="110"/>
      <c r="C64" s="110"/>
      <c r="D64" s="110"/>
      <c r="E64" s="110"/>
      <c r="F64" s="110"/>
      <c r="G64" s="110"/>
      <c r="H64" s="111"/>
    </row>
    <row r="65" spans="1:8" ht="25.95" customHeight="1">
      <c r="A65" s="167" t="s">
        <v>510</v>
      </c>
      <c r="B65" s="110"/>
      <c r="C65" s="110"/>
      <c r="D65" s="110"/>
      <c r="E65" s="110"/>
      <c r="F65" s="110"/>
      <c r="G65" s="110"/>
      <c r="H65" s="111"/>
    </row>
    <row r="66" spans="1:8" ht="25.95" customHeight="1">
      <c r="A66" s="170" t="s">
        <v>511</v>
      </c>
      <c r="B66" s="110"/>
      <c r="C66" s="110"/>
      <c r="D66" s="110"/>
      <c r="E66" s="110"/>
      <c r="F66" s="110"/>
      <c r="G66" s="110"/>
      <c r="H66" s="111"/>
    </row>
    <row r="68" spans="1:8" ht="31.95" customHeight="1">
      <c r="A68" s="171" t="s">
        <v>481</v>
      </c>
      <c r="B68" s="119"/>
      <c r="C68" s="119"/>
      <c r="D68" s="119"/>
      <c r="E68" s="119"/>
      <c r="F68" s="119"/>
      <c r="G68" s="119"/>
      <c r="H68" s="119"/>
    </row>
    <row r="69" spans="1:8" ht="49.95" customHeight="1">
      <c r="A69" s="169" t="s">
        <v>512</v>
      </c>
      <c r="B69" s="130"/>
      <c r="C69" s="130"/>
      <c r="D69" s="130"/>
      <c r="E69" s="130"/>
      <c r="F69" s="130"/>
      <c r="G69" s="130"/>
      <c r="H69" s="131"/>
    </row>
  </sheetData>
  <mergeCells count="31">
    <mergeCell ref="A35:I35"/>
    <mergeCell ref="A38:I38"/>
    <mergeCell ref="A43:I43"/>
    <mergeCell ref="A50:E50"/>
    <mergeCell ref="A1:G1"/>
    <mergeCell ref="A39:I39"/>
    <mergeCell ref="F50:I50"/>
    <mergeCell ref="A36:I36"/>
    <mergeCell ref="A2:G2"/>
    <mergeCell ref="A69:H69"/>
    <mergeCell ref="A47:I47"/>
    <mergeCell ref="F53:I53"/>
    <mergeCell ref="A54:E54"/>
    <mergeCell ref="A65:H65"/>
    <mergeCell ref="F54:I54"/>
    <mergeCell ref="A66:H66"/>
    <mergeCell ref="F51:I51"/>
    <mergeCell ref="A53:E53"/>
    <mergeCell ref="A62:H62"/>
    <mergeCell ref="A52:E52"/>
    <mergeCell ref="A63:H63"/>
    <mergeCell ref="A68:H68"/>
    <mergeCell ref="A58:H58"/>
    <mergeCell ref="A37:I37"/>
    <mergeCell ref="A64:H64"/>
    <mergeCell ref="F52:I52"/>
    <mergeCell ref="A49:E49"/>
    <mergeCell ref="A51:E51"/>
    <mergeCell ref="A60:H60"/>
    <mergeCell ref="F49:I49"/>
    <mergeCell ref="A61:H61"/>
  </mergeCell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tabColor rgb="FFC65911"/>
  </sheetPr>
  <dimension ref="A1:AZ144"/>
  <sheetViews>
    <sheetView rightToLeft="1" topLeftCell="A32" workbookViewId="0">
      <pane ySplit="1" topLeftCell="A2" activePane="bottomLeft" state="frozen"/>
      <selection pane="bottomLeft" activeCell="G50" sqref="G50"/>
    </sheetView>
  </sheetViews>
  <sheetFormatPr defaultRowHeight="14.4"/>
  <cols>
    <col min="1" max="2" width="38" customWidth="1"/>
    <col min="3" max="3" width="31" customWidth="1"/>
    <col min="4" max="4" width="38" customWidth="1"/>
    <col min="5" max="5" width="17" customWidth="1"/>
    <col min="6" max="6" width="15" customWidth="1"/>
    <col min="7" max="7" width="13" customWidth="1"/>
    <col min="8" max="8" width="38" customWidth="1"/>
    <col min="9" max="51" width="14" customWidth="1"/>
    <col min="52" max="52" width="13" customWidth="1"/>
  </cols>
  <sheetData>
    <row r="1" spans="1:4" ht="37.950000000000003" customHeight="1">
      <c r="A1" s="153" t="s">
        <v>513</v>
      </c>
      <c r="B1" s="116"/>
      <c r="C1" s="116"/>
      <c r="D1" s="154"/>
    </row>
    <row r="2" spans="1:4" ht="19.95" customHeight="1">
      <c r="A2" s="18" t="s">
        <v>514</v>
      </c>
    </row>
    <row r="3" spans="1:4" ht="27.6">
      <c r="A3" s="30" t="s">
        <v>515</v>
      </c>
      <c r="B3" s="19">
        <f>IFERROR(B73,'الافتراضات والمدخلات'!B5*0.25)</f>
        <v>0</v>
      </c>
      <c r="C3" s="20" t="s">
        <v>516</v>
      </c>
    </row>
    <row r="4" spans="1:4" ht="22.05" customHeight="1">
      <c r="A4" s="24" t="s">
        <v>517</v>
      </c>
      <c r="B4" s="24">
        <f>'الافتراضات والمدخلات'!B4*1.25</f>
        <v>187.5</v>
      </c>
      <c r="C4" s="24" t="s">
        <v>518</v>
      </c>
      <c r="D4" s="24" t="s">
        <v>519</v>
      </c>
    </row>
    <row r="5" spans="1:4" ht="22.05" customHeight="1">
      <c r="A5" s="18" t="s">
        <v>520</v>
      </c>
      <c r="B5" s="19">
        <f>B3*B4</f>
        <v>0</v>
      </c>
      <c r="C5" s="19" t="e">
        <f>متوسط مُرجَّح * مساحة</f>
        <v>#NAME?</v>
      </c>
    </row>
    <row r="6" spans="1:4" ht="20.399999999999999" customHeight="1">
      <c r="A6" s="18" t="s">
        <v>521</v>
      </c>
      <c r="B6" s="25">
        <f>'الافتراضات والمدخلات'!B5*0.35</f>
        <v>11641.699999999999</v>
      </c>
      <c r="C6" s="20" t="s">
        <v>522</v>
      </c>
    </row>
    <row r="7" spans="1:4" ht="20.399999999999999" customHeight="1">
      <c r="A7" s="18" t="s">
        <v>523</v>
      </c>
      <c r="B7" s="27">
        <f>B6*'الافتراضات والمدخلات'!B4</f>
        <v>1746254.9999999998</v>
      </c>
    </row>
    <row r="8" spans="1:4" ht="20.399999999999999" customHeight="1">
      <c r="A8" s="18" t="s">
        <v>524</v>
      </c>
      <c r="B8" s="25">
        <f>B7*MIN((2026-'الافتراضات والمدخلات'!B10)*0.02,0.8)</f>
        <v>558801.6</v>
      </c>
      <c r="C8" s="20" t="s">
        <v>525</v>
      </c>
    </row>
    <row r="9" spans="1:4" ht="20.399999999999999" customHeight="1">
      <c r="A9" s="18" t="s">
        <v>526</v>
      </c>
      <c r="B9" s="19">
        <f>B7-B8</f>
        <v>1187453.3999999999</v>
      </c>
      <c r="C9" s="25">
        <f>'الافتراضات والمدخلات'!B4</f>
        <v>150</v>
      </c>
    </row>
    <row r="10" spans="1:4" ht="27" customHeight="1">
      <c r="A10" s="18" t="s">
        <v>527</v>
      </c>
      <c r="D10" s="44">
        <f>B8*C9</f>
        <v>83820240</v>
      </c>
    </row>
    <row r="11" spans="1:4" ht="18" customHeight="1">
      <c r="A11" s="30" t="s">
        <v>528</v>
      </c>
      <c r="B11" s="33">
        <f>B5+B9</f>
        <v>1187453.3999999999</v>
      </c>
    </row>
    <row r="12" spans="1:4" ht="22.05" customHeight="1">
      <c r="A12" s="18" t="s">
        <v>529</v>
      </c>
      <c r="B12" s="33">
        <f>IF('الافتراضات والمدخلات'!B4&gt;0,B11/'الافتراضات والمدخلات'!B4,0)</f>
        <v>7916.3559999999998</v>
      </c>
    </row>
    <row r="13" spans="1:4" ht="21.6" customHeight="1">
      <c r="A13" s="24" t="s">
        <v>530</v>
      </c>
      <c r="B13" s="29" t="str">
        <f>IF(B11&gt;'الافتراضات والمدخلات'!B27*1.1,"⚠ التكلفة &gt; السوق بـ 10%+ — راجع التسعير",IF(B11&gt;'الافتراضات والمدخلات'!B27*0.9,"✓ منسجمة مع القيمة السوقية","✅ السوق يُقيّم فوق تكلفة الاستبدال — قيمة موقع ظاهرة"))</f>
        <v>✅ السوق يُقيّم فوق تكلفة الاستبدال — قيمة موقع ظاهرة</v>
      </c>
      <c r="C13" s="29">
        <f>'الافتراضات والمدخلات'!B4</f>
        <v>150</v>
      </c>
      <c r="D13" s="29" t="e">
        <f>B13*C13</f>
        <v>#VALUE!</v>
      </c>
    </row>
    <row r="14" spans="1:4" ht="21.6" customHeight="1">
      <c r="A14" s="18" t="s">
        <v>531</v>
      </c>
      <c r="B14" s="25">
        <f>'الافتراضات والمدخلات'!B18</f>
        <v>1200</v>
      </c>
      <c r="C14" s="25">
        <f>'الافتراضات والمدخلات'!B4</f>
        <v>150</v>
      </c>
      <c r="D14" s="25">
        <f>B14*C14</f>
        <v>180000</v>
      </c>
    </row>
    <row r="15" spans="1:4" ht="21.6" customHeight="1">
      <c r="A15" s="18" t="s">
        <v>532</v>
      </c>
      <c r="B15" s="25">
        <f>'الافتراضات والمدخلات'!B19</f>
        <v>800</v>
      </c>
      <c r="C15" s="25">
        <f>'الافتراضات والمدخلات'!B4</f>
        <v>150</v>
      </c>
      <c r="D15" s="25">
        <f>B15*C15</f>
        <v>120000</v>
      </c>
    </row>
    <row r="16" spans="1:4" ht="21.6" customHeight="1">
      <c r="A16" s="18" t="s">
        <v>533</v>
      </c>
      <c r="B16" s="25">
        <f>'الافتراضات والمدخلات'!B20</f>
        <v>0.12</v>
      </c>
      <c r="C16" s="25">
        <f>'الافتراضات والمدخلات'!B4</f>
        <v>150</v>
      </c>
      <c r="D16" s="25">
        <f>B16*C16</f>
        <v>18</v>
      </c>
    </row>
    <row r="17" spans="1:4" ht="27" customHeight="1">
      <c r="A17" s="18" t="s">
        <v>534</v>
      </c>
      <c r="D17" s="44" t="e">
        <f>SUM(D13:D16)</f>
        <v>#VALUE!</v>
      </c>
    </row>
    <row r="19" spans="1:4" ht="22.05" customHeight="1">
      <c r="A19" s="112" t="s">
        <v>535</v>
      </c>
      <c r="B19" s="113"/>
      <c r="C19" s="113"/>
      <c r="D19" s="114"/>
    </row>
    <row r="20" spans="1:4" ht="21.6" customHeight="1">
      <c r="A20" s="18" t="s">
        <v>536</v>
      </c>
      <c r="B20" s="25">
        <f>'الافتراضات والمدخلات'!B21</f>
        <v>0.05</v>
      </c>
      <c r="C20" s="25">
        <f>'الافتراضات والمدخلات'!B4</f>
        <v>150</v>
      </c>
      <c r="D20" s="25">
        <f t="shared" ref="D20:D25" si="0">B20*C20</f>
        <v>7.5</v>
      </c>
    </row>
    <row r="21" spans="1:4" ht="21.6" customHeight="1">
      <c r="A21" s="18" t="s">
        <v>537</v>
      </c>
      <c r="B21" s="25">
        <f>'الافتراضات والمدخلات'!B22</f>
        <v>0.08</v>
      </c>
      <c r="C21" s="25">
        <f>'الافتراضات والمدخلات'!B4</f>
        <v>150</v>
      </c>
      <c r="D21" s="25">
        <f t="shared" si="0"/>
        <v>12</v>
      </c>
    </row>
    <row r="22" spans="1:4" ht="21.6" customHeight="1">
      <c r="A22" s="18" t="s">
        <v>538</v>
      </c>
      <c r="B22" s="25">
        <f>'الافتراضات والمدخلات'!B23</f>
        <v>0.05</v>
      </c>
      <c r="C22" s="25">
        <f>'الافتراضات والمدخلات'!B4</f>
        <v>150</v>
      </c>
      <c r="D22" s="25">
        <f t="shared" si="0"/>
        <v>7.5</v>
      </c>
    </row>
    <row r="23" spans="1:4" ht="21.6" customHeight="1">
      <c r="A23" s="18" t="s">
        <v>539</v>
      </c>
      <c r="B23" s="25">
        <f>'الافتراضات والمدخلات'!B24</f>
        <v>0.2</v>
      </c>
      <c r="C23" s="25">
        <f>'الافتراضات والمدخلات'!B4</f>
        <v>150</v>
      </c>
      <c r="D23" s="25">
        <f t="shared" si="0"/>
        <v>30</v>
      </c>
    </row>
    <row r="24" spans="1:4" ht="21.6" customHeight="1">
      <c r="A24" s="18" t="s">
        <v>540</v>
      </c>
      <c r="B24" s="25">
        <f>'الافتراضات والمدخلات'!B25</f>
        <v>10</v>
      </c>
      <c r="C24" s="25">
        <f>'الافتراضات والمدخلات'!B4</f>
        <v>150</v>
      </c>
      <c r="D24" s="25">
        <f t="shared" si="0"/>
        <v>1500</v>
      </c>
    </row>
    <row r="25" spans="1:4" ht="21.6" customHeight="1">
      <c r="A25" s="18" t="s">
        <v>541</v>
      </c>
      <c r="B25" s="25">
        <f>'الافتراضات والمدخلات'!B26</f>
        <v>350</v>
      </c>
      <c r="C25" s="25">
        <f>'الافتراضات والمدخلات'!B4</f>
        <v>150</v>
      </c>
      <c r="D25" s="25">
        <f t="shared" si="0"/>
        <v>52500</v>
      </c>
    </row>
    <row r="26" spans="1:4" ht="27" customHeight="1">
      <c r="A26" s="18" t="s">
        <v>542</v>
      </c>
      <c r="D26" s="44">
        <f>SUM(D20:D25)</f>
        <v>54057</v>
      </c>
    </row>
    <row r="28" spans="1:4" ht="22.05" customHeight="1">
      <c r="A28" s="112" t="s">
        <v>543</v>
      </c>
      <c r="B28" s="113"/>
      <c r="C28" s="113"/>
      <c r="D28" s="114"/>
    </row>
    <row r="29" spans="1:4" ht="21.6" customHeight="1">
      <c r="A29" s="18" t="s">
        <v>544</v>
      </c>
      <c r="B29" s="27">
        <f>'الافتراضات والمدخلات'!B27</f>
        <v>4989300</v>
      </c>
      <c r="C29" s="20" t="s">
        <v>545</v>
      </c>
      <c r="D29" s="25" t="e">
        <f>'الافتراضات والمدخلات'!B27*(D17+D26)</f>
        <v>#VALUE!</v>
      </c>
    </row>
    <row r="30" spans="1:4" ht="21.6" customHeight="1">
      <c r="A30" s="18" t="s">
        <v>546</v>
      </c>
      <c r="B30" s="27">
        <v>0.15</v>
      </c>
      <c r="C30" s="20" t="s">
        <v>547</v>
      </c>
      <c r="D30" s="25" t="e">
        <f>0.15*(D17+D26+D29)</f>
        <v>#VALUE!</v>
      </c>
    </row>
    <row r="31" spans="1:4" ht="27" customHeight="1">
      <c r="A31" s="18" t="s">
        <v>548</v>
      </c>
      <c r="D31" s="44" t="e">
        <f>SUM(D29:D30)</f>
        <v>#VALUE!</v>
      </c>
    </row>
    <row r="32" spans="1:4" ht="26.4" customHeight="1">
      <c r="A32" s="18" t="s">
        <v>549</v>
      </c>
      <c r="D32" s="44" t="e">
        <f>D17+D26+D31</f>
        <v>#VALUE!</v>
      </c>
    </row>
    <row r="34" spans="1:8" ht="22.05" customHeight="1">
      <c r="A34" s="112" t="s">
        <v>550</v>
      </c>
      <c r="B34" s="113"/>
      <c r="C34" s="113"/>
      <c r="D34" s="114"/>
    </row>
    <row r="35" spans="1:8" ht="20.399999999999999" customHeight="1">
      <c r="A35" s="18" t="s">
        <v>551</v>
      </c>
      <c r="B35" s="19">
        <f>'الافتراضات والمدخلات'!B8</f>
        <v>0</v>
      </c>
    </row>
    <row r="36" spans="1:8" ht="20.399999999999999" customHeight="1">
      <c r="A36" s="18" t="s">
        <v>552</v>
      </c>
      <c r="B36" s="19">
        <v>60</v>
      </c>
    </row>
    <row r="37" spans="1:8" ht="20.399999999999999" customHeight="1">
      <c r="A37" s="18" t="s">
        <v>553</v>
      </c>
      <c r="B37" s="27">
        <f>'الافتراضات والمدخلات'!B8/60</f>
        <v>0</v>
      </c>
    </row>
    <row r="38" spans="1:8" ht="21.6" customHeight="1">
      <c r="A38" s="18" t="s">
        <v>554</v>
      </c>
      <c r="D38" s="25" t="e">
        <f>('الافتراضات والمدخلات'!B8/60)*D32</f>
        <v>#VALUE!</v>
      </c>
    </row>
    <row r="39" spans="1:8" ht="21.6" customHeight="1">
      <c r="A39" s="18" t="s">
        <v>555</v>
      </c>
      <c r="D39" s="25" t="e">
        <f>0.02*D32</f>
        <v>#VALUE!</v>
      </c>
    </row>
    <row r="40" spans="1:8" ht="22.05" customHeight="1">
      <c r="A40" s="112" t="s">
        <v>556</v>
      </c>
      <c r="B40" s="113"/>
      <c r="C40" s="113"/>
      <c r="D40" s="113"/>
      <c r="E40" s="113"/>
      <c r="F40" s="113"/>
      <c r="G40" s="113"/>
      <c r="H40" s="114"/>
    </row>
    <row r="41" spans="1:8" ht="18" customHeight="1">
      <c r="A41" s="24" t="s">
        <v>412</v>
      </c>
      <c r="B41" s="24" t="s">
        <v>557</v>
      </c>
      <c r="C41" s="24" t="s">
        <v>445</v>
      </c>
      <c r="D41" s="45" t="s">
        <v>558</v>
      </c>
      <c r="E41" s="24" t="s">
        <v>559</v>
      </c>
      <c r="F41" s="24" t="s">
        <v>560</v>
      </c>
      <c r="G41" s="24" t="s">
        <v>561</v>
      </c>
      <c r="H41" s="24" t="s">
        <v>562</v>
      </c>
    </row>
    <row r="42" spans="1:8" ht="16.05" customHeight="1">
      <c r="A42" s="19">
        <v>1</v>
      </c>
      <c r="B42" s="20" t="s">
        <v>563</v>
      </c>
      <c r="C42" s="19">
        <v>577</v>
      </c>
      <c r="D42" s="20" t="s">
        <v>321</v>
      </c>
      <c r="E42" s="26">
        <v>6035997</v>
      </c>
      <c r="F42" s="26">
        <v>10461</v>
      </c>
      <c r="G42" s="46">
        <v>1.7</v>
      </c>
      <c r="H42" s="26">
        <v>10639</v>
      </c>
    </row>
    <row r="43" spans="1:8" ht="16.05" customHeight="1">
      <c r="A43" s="19">
        <v>2</v>
      </c>
      <c r="B43" s="20" t="s">
        <v>564</v>
      </c>
      <c r="C43" s="19">
        <v>302</v>
      </c>
      <c r="D43" s="20" t="s">
        <v>321</v>
      </c>
      <c r="E43" s="26">
        <v>2881684</v>
      </c>
      <c r="F43" s="26">
        <v>9542</v>
      </c>
      <c r="G43" s="46">
        <v>1.3</v>
      </c>
      <c r="H43" s="26">
        <v>9666</v>
      </c>
    </row>
    <row r="44" spans="1:8" ht="16.05" customHeight="1">
      <c r="A44" s="19">
        <v>3</v>
      </c>
      <c r="B44" s="20" t="s">
        <v>565</v>
      </c>
      <c r="C44" s="19">
        <v>548</v>
      </c>
      <c r="D44" s="47" t="s">
        <v>321</v>
      </c>
      <c r="E44" s="26">
        <v>4804316</v>
      </c>
      <c r="F44" s="26">
        <v>8767</v>
      </c>
      <c r="G44" s="46">
        <v>3</v>
      </c>
      <c r="H44" s="26">
        <v>9030</v>
      </c>
    </row>
    <row r="45" spans="1:8" ht="16.05" customHeight="1">
      <c r="A45" s="19">
        <v>4</v>
      </c>
      <c r="B45" s="20" t="s">
        <v>566</v>
      </c>
      <c r="C45" s="19">
        <v>454</v>
      </c>
      <c r="D45" s="47" t="s">
        <v>321</v>
      </c>
      <c r="E45" s="26">
        <v>5003080</v>
      </c>
      <c r="F45" s="26">
        <v>11020</v>
      </c>
      <c r="G45" s="46">
        <v>3.6</v>
      </c>
      <c r="H45" s="26">
        <v>11417</v>
      </c>
    </row>
    <row r="46" spans="1:8" ht="16.05" customHeight="1">
      <c r="A46" s="19">
        <v>5</v>
      </c>
      <c r="B46" s="20" t="s">
        <v>567</v>
      </c>
      <c r="C46" s="19">
        <v>312</v>
      </c>
      <c r="D46" s="48" t="s">
        <v>321</v>
      </c>
      <c r="E46" s="26">
        <v>3261336</v>
      </c>
      <c r="F46" s="26">
        <v>10453</v>
      </c>
      <c r="G46" s="46">
        <v>6.2</v>
      </c>
      <c r="H46" s="26">
        <v>11101</v>
      </c>
    </row>
    <row r="47" spans="1:8" ht="16.05" customHeight="1">
      <c r="A47" s="19">
        <v>6</v>
      </c>
      <c r="B47" s="20" t="s">
        <v>568</v>
      </c>
      <c r="C47" s="19">
        <v>298</v>
      </c>
      <c r="D47" s="47" t="s">
        <v>321</v>
      </c>
      <c r="E47" s="26">
        <v>3285748</v>
      </c>
      <c r="F47" s="26">
        <v>11026</v>
      </c>
      <c r="G47" s="46">
        <v>14.6</v>
      </c>
      <c r="H47" s="26">
        <v>12636</v>
      </c>
    </row>
    <row r="48" spans="1:8" ht="16.05" customHeight="1">
      <c r="A48" s="19">
        <v>7</v>
      </c>
      <c r="B48" s="20" t="s">
        <v>569</v>
      </c>
      <c r="C48" s="19">
        <v>561</v>
      </c>
      <c r="D48" s="20" t="s">
        <v>321</v>
      </c>
      <c r="E48" s="26">
        <v>6169878</v>
      </c>
      <c r="F48" s="26">
        <v>10998</v>
      </c>
      <c r="G48" s="46">
        <v>-0.9</v>
      </c>
      <c r="H48" s="26">
        <v>10899</v>
      </c>
    </row>
    <row r="49" spans="1:52" ht="16.05" customHeight="1">
      <c r="A49" s="19">
        <v>8</v>
      </c>
      <c r="B49" s="20" t="s">
        <v>570</v>
      </c>
      <c r="C49" s="19">
        <v>523</v>
      </c>
      <c r="D49" s="20" t="s">
        <v>321</v>
      </c>
      <c r="E49" s="26">
        <v>5745155</v>
      </c>
      <c r="F49" s="26">
        <v>10985</v>
      </c>
      <c r="G49" s="46">
        <v>7.7</v>
      </c>
      <c r="H49" s="26">
        <v>11831</v>
      </c>
    </row>
    <row r="50" spans="1:52" ht="21.6" customHeight="1">
      <c r="A50" s="18" t="s">
        <v>571</v>
      </c>
    </row>
    <row r="51" spans="1:52" ht="21.6" customHeight="1">
      <c r="A51" s="24" t="s">
        <v>572</v>
      </c>
      <c r="B51" s="29" t="e">
        <f>D17</f>
        <v>#VALUE!</v>
      </c>
      <c r="H51" s="31">
        <f>AVERAGE(H42:H49)</f>
        <v>10902.375</v>
      </c>
    </row>
    <row r="52" spans="1:52" ht="21.6" customHeight="1">
      <c r="A52" s="18" t="s">
        <v>573</v>
      </c>
      <c r="B52" s="25">
        <f>D26</f>
        <v>54057</v>
      </c>
      <c r="E52" s="20" t="s">
        <v>574</v>
      </c>
      <c r="F52" s="19">
        <f>MIN(H42:H49)</f>
        <v>9030</v>
      </c>
      <c r="G52" s="20" t="s">
        <v>575</v>
      </c>
      <c r="H52" s="33">
        <f>IF(COUNT(H42:H49)&gt;1,STDEV(H42:H49),0)</f>
        <v>1151.1410410668934</v>
      </c>
      <c r="AZ52" s="19">
        <v>1</v>
      </c>
    </row>
    <row r="53" spans="1:52" ht="21.6" customHeight="1">
      <c r="A53" s="18" t="s">
        <v>576</v>
      </c>
      <c r="B53" s="25" t="e">
        <f>D31</f>
        <v>#VALUE!</v>
      </c>
      <c r="E53" s="20" t="s">
        <v>575</v>
      </c>
      <c r="F53" s="19">
        <f>MAX(H42:H49)</f>
        <v>12636</v>
      </c>
    </row>
    <row r="55" spans="1:52" ht="22.05" customHeight="1">
      <c r="A55" s="112" t="s">
        <v>577</v>
      </c>
      <c r="B55" s="113"/>
      <c r="C55" s="113"/>
      <c r="D55" s="113"/>
      <c r="E55" s="113"/>
      <c r="F55" s="113"/>
      <c r="G55" s="113"/>
      <c r="H55" s="114"/>
    </row>
    <row r="56" spans="1:52" ht="18" customHeight="1">
      <c r="A56" s="24" t="s">
        <v>412</v>
      </c>
      <c r="B56" s="24" t="s">
        <v>578</v>
      </c>
      <c r="C56" s="24" t="s">
        <v>579</v>
      </c>
      <c r="D56" s="24" t="s">
        <v>580</v>
      </c>
      <c r="E56" s="24" t="s">
        <v>581</v>
      </c>
      <c r="F56" s="24" t="s">
        <v>582</v>
      </c>
      <c r="G56" s="24" t="s">
        <v>583</v>
      </c>
      <c r="H56" s="24" t="s">
        <v>584</v>
      </c>
    </row>
    <row r="57" spans="1:52" ht="16.05" customHeight="1">
      <c r="A57" s="19">
        <v>1</v>
      </c>
      <c r="B57" s="20" t="s">
        <v>585</v>
      </c>
      <c r="C57" s="33">
        <v>178</v>
      </c>
      <c r="D57" s="26">
        <v>6315838</v>
      </c>
      <c r="E57" s="26">
        <v>11457</v>
      </c>
      <c r="F57" s="27">
        <v>0.28999999999999998</v>
      </c>
      <c r="G57" s="26">
        <v>1447936</v>
      </c>
      <c r="H57" s="26">
        <v>21927</v>
      </c>
    </row>
    <row r="58" spans="1:52" ht="16.05" customHeight="1">
      <c r="A58" s="19">
        <v>2</v>
      </c>
      <c r="B58" s="20" t="s">
        <v>586</v>
      </c>
      <c r="C58" s="33">
        <v>158</v>
      </c>
      <c r="D58" s="26">
        <v>5198036</v>
      </c>
      <c r="E58" s="26">
        <v>12302</v>
      </c>
      <c r="F58" s="27">
        <v>0.28999999999999998</v>
      </c>
      <c r="G58" s="26">
        <v>1380038</v>
      </c>
      <c r="H58" s="26">
        <v>19283</v>
      </c>
    </row>
    <row r="59" spans="1:52" ht="16.05" customHeight="1">
      <c r="A59" s="19">
        <v>3</v>
      </c>
      <c r="B59" s="20" t="s">
        <v>587</v>
      </c>
      <c r="C59" s="33">
        <v>156</v>
      </c>
      <c r="D59" s="26">
        <v>5335946</v>
      </c>
      <c r="E59" s="26">
        <v>12592</v>
      </c>
      <c r="F59" s="27">
        <v>0.32</v>
      </c>
      <c r="G59" s="26">
        <v>1335759</v>
      </c>
      <c r="H59" s="26">
        <v>20514</v>
      </c>
    </row>
    <row r="60" spans="1:52" ht="16.05" customHeight="1">
      <c r="A60" s="19">
        <v>4</v>
      </c>
      <c r="B60" s="20" t="s">
        <v>588</v>
      </c>
      <c r="C60" s="33">
        <v>144</v>
      </c>
      <c r="D60" s="26">
        <v>5107176</v>
      </c>
      <c r="E60" s="26">
        <v>11917</v>
      </c>
      <c r="F60" s="27">
        <v>0.28999999999999998</v>
      </c>
      <c r="G60" s="26">
        <v>1218394</v>
      </c>
      <c r="H60" s="26">
        <v>21604</v>
      </c>
    </row>
    <row r="61" spans="1:52" ht="16.05" customHeight="1">
      <c r="A61" s="19">
        <v>5</v>
      </c>
      <c r="B61" s="20" t="s">
        <v>589</v>
      </c>
      <c r="C61" s="33">
        <v>182</v>
      </c>
      <c r="D61" s="26">
        <v>6757200</v>
      </c>
      <c r="E61" s="26">
        <v>12364</v>
      </c>
      <c r="F61" s="27">
        <v>0.37</v>
      </c>
      <c r="G61" s="26">
        <v>1417656</v>
      </c>
      <c r="H61" s="26">
        <v>23419</v>
      </c>
    </row>
    <row r="62" spans="1:52" ht="16.05" customHeight="1">
      <c r="A62" s="19">
        <v>6</v>
      </c>
      <c r="B62" s="20" t="s">
        <v>590</v>
      </c>
      <c r="C62" s="33">
        <v>146</v>
      </c>
      <c r="D62" s="26">
        <v>5150361</v>
      </c>
      <c r="E62" s="26">
        <v>12570</v>
      </c>
      <c r="F62" s="27">
        <v>0.34</v>
      </c>
      <c r="G62" s="26">
        <v>1211245</v>
      </c>
      <c r="H62" s="26">
        <v>21643</v>
      </c>
    </row>
    <row r="63" spans="1:52" ht="16.05" customHeight="1">
      <c r="A63" s="19">
        <v>7</v>
      </c>
      <c r="B63" s="20" t="s">
        <v>591</v>
      </c>
      <c r="C63" s="33">
        <v>156</v>
      </c>
      <c r="D63" s="26">
        <v>4784940</v>
      </c>
      <c r="E63" s="26">
        <v>11488</v>
      </c>
      <c r="F63" s="27">
        <v>0.33</v>
      </c>
      <c r="G63" s="26">
        <v>1200726</v>
      </c>
      <c r="H63" s="26">
        <v>18381</v>
      </c>
    </row>
    <row r="64" spans="1:52" ht="16.05" customHeight="1">
      <c r="A64" s="19">
        <v>8</v>
      </c>
      <c r="B64" s="20" t="s">
        <v>592</v>
      </c>
      <c r="C64" s="33">
        <v>182</v>
      </c>
      <c r="D64" s="26">
        <v>6735652</v>
      </c>
      <c r="E64" s="26">
        <v>11588</v>
      </c>
      <c r="F64" s="27">
        <v>0.37</v>
      </c>
      <c r="G64" s="26">
        <v>1328680</v>
      </c>
      <c r="H64" s="26">
        <v>23715</v>
      </c>
    </row>
    <row r="66" spans="1:9" ht="15.6">
      <c r="A66" s="18" t="s">
        <v>593</v>
      </c>
      <c r="H66" s="33">
        <f>AVERAGE(H57:H64)</f>
        <v>21310.75</v>
      </c>
    </row>
    <row r="69" spans="1:9" ht="22.05" customHeight="1">
      <c r="A69" s="112" t="s">
        <v>594</v>
      </c>
      <c r="B69" s="113"/>
      <c r="C69" s="113"/>
      <c r="D69" s="113"/>
      <c r="E69" s="113"/>
      <c r="F69" s="113"/>
      <c r="G69" s="113"/>
      <c r="H69" s="114"/>
    </row>
    <row r="70" spans="1:9">
      <c r="A70" s="24" t="s">
        <v>595</v>
      </c>
      <c r="B70" s="31">
        <f>H51</f>
        <v>10902.375</v>
      </c>
      <c r="C70" s="49">
        <v>0.6</v>
      </c>
      <c r="D70" s="31">
        <f>B70*C70</f>
        <v>6541.4250000000002</v>
      </c>
    </row>
    <row r="71" spans="1:9">
      <c r="A71" s="30" t="s">
        <v>596</v>
      </c>
      <c r="B71" s="33">
        <f>H66</f>
        <v>21310.75</v>
      </c>
      <c r="C71" s="27">
        <v>0.4</v>
      </c>
      <c r="D71" s="33">
        <f>B71*C71</f>
        <v>8524.3000000000011</v>
      </c>
    </row>
    <row r="73" spans="1:9" ht="25.95" customHeight="1">
      <c r="A73" s="24" t="s">
        <v>597</v>
      </c>
      <c r="B73" s="15"/>
      <c r="C73" s="15"/>
      <c r="D73" s="31">
        <f>SUM(D70:D71)</f>
        <v>15065.725000000002</v>
      </c>
      <c r="E73" s="24" t="s">
        <v>26</v>
      </c>
    </row>
    <row r="75" spans="1:9" ht="24" customHeight="1">
      <c r="A75" s="112" t="s">
        <v>598</v>
      </c>
      <c r="B75" s="113"/>
      <c r="C75" s="113"/>
      <c r="D75" s="113"/>
      <c r="E75" s="113"/>
      <c r="F75" s="113"/>
      <c r="G75" s="113"/>
      <c r="H75" s="113"/>
      <c r="I75" s="114"/>
    </row>
    <row r="76" spans="1:9" ht="37.950000000000003" customHeight="1">
      <c r="A76" s="145" t="str">
        <f>"متوسط سعر م² الأرض (مصفوفة + استخلاص): "&amp;TEXT(B3,"#,##0")&amp;" EGP/م². القيمة الإجمالية بطريقة التكلفة = "&amp;TEXT(B11,"#,##0")&amp;" EGP."</f>
        <v>متوسط سعر م² الأرض (مصفوفة + استخلاص): 0 EGP/م². القيمة الإجمالية بطريقة التكلفة = 1,187,453 EGP.</v>
      </c>
      <c r="B76" s="110"/>
      <c r="C76" s="110"/>
      <c r="D76" s="110"/>
      <c r="E76" s="110"/>
      <c r="F76" s="110"/>
      <c r="G76" s="110"/>
      <c r="H76" s="110"/>
      <c r="I76" s="111"/>
    </row>
    <row r="77" spans="1:9" ht="37.950000000000003" customHeight="1">
      <c r="A77" s="145" t="str">
        <f>"التوصية: "&amp;B13&amp;". الاستهلاك يُعبّر عن التقادم — كل عام يُضيف 2% خصم على قيمة المبنى."</f>
        <v>التوصية: ✅ السوق يُقيّم فوق تكلفة الاستبدال — قيمة موقع ظاهرة. الاستهلاك يُعبّر عن التقادم — كل عام يُضيف 2% خصم على قيمة المبنى.</v>
      </c>
      <c r="B77" s="110"/>
      <c r="C77" s="110"/>
      <c r="D77" s="110"/>
      <c r="E77" s="110"/>
      <c r="F77" s="110"/>
      <c r="G77" s="110"/>
      <c r="H77" s="110"/>
      <c r="I77" s="111"/>
    </row>
    <row r="78" spans="1:9" ht="37.950000000000003" customHeight="1">
      <c r="A78" s="109" t="s">
        <v>599</v>
      </c>
      <c r="B78" s="110"/>
      <c r="C78" s="110"/>
      <c r="D78" s="110"/>
      <c r="E78" s="110"/>
      <c r="F78" s="110"/>
      <c r="G78" s="110"/>
      <c r="H78" s="110"/>
      <c r="I78" s="111"/>
    </row>
    <row r="79" spans="1:9" ht="37.950000000000003" customHeight="1">
      <c r="A79" s="109" t="s">
        <v>600</v>
      </c>
      <c r="B79" s="110"/>
      <c r="C79" s="110"/>
      <c r="D79" s="110"/>
      <c r="E79" s="110"/>
      <c r="F79" s="110"/>
      <c r="G79" s="110"/>
      <c r="H79" s="110"/>
      <c r="I79" s="111"/>
    </row>
    <row r="83" spans="1:12" ht="36" customHeight="1">
      <c r="A83" s="174" t="s">
        <v>601</v>
      </c>
      <c r="B83" s="119"/>
      <c r="C83" s="119"/>
      <c r="D83" s="119"/>
      <c r="E83" s="119"/>
      <c r="F83" s="119"/>
      <c r="G83" s="119"/>
      <c r="H83" s="119"/>
      <c r="I83" s="119"/>
      <c r="J83" s="119"/>
      <c r="K83" s="119"/>
      <c r="L83" s="119"/>
    </row>
    <row r="87" spans="1:12" ht="43.95" customHeight="1">
      <c r="A87" s="184" t="s">
        <v>602</v>
      </c>
      <c r="B87" s="116"/>
      <c r="C87" s="116"/>
      <c r="D87" s="116"/>
      <c r="E87" s="116"/>
      <c r="F87" s="116"/>
      <c r="G87" s="116"/>
      <c r="H87" s="116"/>
    </row>
    <row r="89" spans="1:12" ht="31.95" customHeight="1">
      <c r="A89" s="21" t="s">
        <v>444</v>
      </c>
      <c r="B89" s="21" t="s">
        <v>603</v>
      </c>
      <c r="C89" s="21" t="s">
        <v>132</v>
      </c>
      <c r="D89" s="21" t="s">
        <v>604</v>
      </c>
      <c r="E89" s="21" t="s">
        <v>134</v>
      </c>
      <c r="F89" s="21" t="s">
        <v>605</v>
      </c>
      <c r="G89" s="21" t="s">
        <v>606</v>
      </c>
      <c r="H89" s="21" t="s">
        <v>75</v>
      </c>
    </row>
    <row r="90" spans="1:12" ht="22.05" customHeight="1">
      <c r="A90" s="50">
        <v>1</v>
      </c>
      <c r="B90" s="50" t="s">
        <v>607</v>
      </c>
      <c r="C90" s="50" t="s">
        <v>608</v>
      </c>
      <c r="D90" s="50">
        <v>0.6</v>
      </c>
      <c r="E90" s="50" t="s">
        <v>609</v>
      </c>
      <c r="F90" s="50">
        <v>150</v>
      </c>
      <c r="G90" s="51">
        <f t="shared" ref="G90:G127" si="1">D90*F90</f>
        <v>90</v>
      </c>
      <c r="H90" s="52" t="s">
        <v>610</v>
      </c>
    </row>
    <row r="91" spans="1:12" ht="22.05" customHeight="1">
      <c r="A91" s="50">
        <v>2</v>
      </c>
      <c r="B91" s="50" t="s">
        <v>607</v>
      </c>
      <c r="C91" s="50" t="s">
        <v>611</v>
      </c>
      <c r="D91" s="50">
        <v>0.15</v>
      </c>
      <c r="E91" s="50" t="s">
        <v>609</v>
      </c>
      <c r="F91" s="50">
        <v>900</v>
      </c>
      <c r="G91" s="51">
        <f t="shared" si="1"/>
        <v>135</v>
      </c>
      <c r="H91" s="52" t="s">
        <v>612</v>
      </c>
    </row>
    <row r="92" spans="1:12" ht="22.05" customHeight="1">
      <c r="A92" s="50">
        <v>3</v>
      </c>
      <c r="B92" s="50" t="s">
        <v>607</v>
      </c>
      <c r="C92" s="50" t="s">
        <v>613</v>
      </c>
      <c r="D92" s="50">
        <v>12</v>
      </c>
      <c r="E92" s="50" t="s">
        <v>614</v>
      </c>
      <c r="F92" s="50">
        <v>32</v>
      </c>
      <c r="G92" s="51">
        <f t="shared" si="1"/>
        <v>384</v>
      </c>
      <c r="H92" s="52" t="s">
        <v>615</v>
      </c>
    </row>
    <row r="93" spans="1:12" ht="22.05" customHeight="1">
      <c r="A93" s="53">
        <v>4</v>
      </c>
      <c r="B93" s="53" t="s">
        <v>616</v>
      </c>
      <c r="C93" s="53" t="s">
        <v>617</v>
      </c>
      <c r="D93" s="53">
        <v>25</v>
      </c>
      <c r="E93" s="53" t="s">
        <v>614</v>
      </c>
      <c r="F93" s="53">
        <v>32</v>
      </c>
      <c r="G93" s="54">
        <f t="shared" si="1"/>
        <v>800</v>
      </c>
      <c r="H93" s="55" t="s">
        <v>618</v>
      </c>
    </row>
    <row r="94" spans="1:12" ht="22.05" customHeight="1">
      <c r="A94" s="53">
        <v>5</v>
      </c>
      <c r="B94" s="53" t="s">
        <v>616</v>
      </c>
      <c r="C94" s="53" t="s">
        <v>619</v>
      </c>
      <c r="D94" s="53">
        <v>18</v>
      </c>
      <c r="E94" s="53" t="s">
        <v>614</v>
      </c>
      <c r="F94" s="53">
        <v>32</v>
      </c>
      <c r="G94" s="54">
        <f t="shared" si="1"/>
        <v>576</v>
      </c>
      <c r="H94" s="55" t="s">
        <v>620</v>
      </c>
    </row>
    <row r="95" spans="1:12" ht="22.05" customHeight="1">
      <c r="A95" s="53">
        <v>6</v>
      </c>
      <c r="B95" s="53" t="s">
        <v>616</v>
      </c>
      <c r="C95" s="53" t="s">
        <v>621</v>
      </c>
      <c r="D95" s="53">
        <v>0.18</v>
      </c>
      <c r="E95" s="53" t="s">
        <v>609</v>
      </c>
      <c r="F95" s="53">
        <v>1200</v>
      </c>
      <c r="G95" s="54">
        <f t="shared" si="1"/>
        <v>216</v>
      </c>
      <c r="H95" s="55" t="s">
        <v>622</v>
      </c>
    </row>
    <row r="96" spans="1:12" ht="22.05" customHeight="1">
      <c r="A96" s="53">
        <v>7</v>
      </c>
      <c r="B96" s="53" t="s">
        <v>616</v>
      </c>
      <c r="C96" s="53" t="s">
        <v>623</v>
      </c>
      <c r="D96" s="53">
        <v>0.16</v>
      </c>
      <c r="E96" s="53" t="s">
        <v>609</v>
      </c>
      <c r="F96" s="53">
        <v>1200</v>
      </c>
      <c r="G96" s="54">
        <f t="shared" si="1"/>
        <v>192</v>
      </c>
      <c r="H96" s="55" t="s">
        <v>624</v>
      </c>
    </row>
    <row r="97" spans="1:8" ht="22.05" customHeight="1">
      <c r="A97" s="53">
        <v>8</v>
      </c>
      <c r="B97" s="53" t="s">
        <v>616</v>
      </c>
      <c r="C97" s="53" t="s">
        <v>625</v>
      </c>
      <c r="D97" s="53">
        <v>60</v>
      </c>
      <c r="E97" s="53" t="s">
        <v>614</v>
      </c>
      <c r="F97" s="53">
        <v>2.5</v>
      </c>
      <c r="G97" s="54">
        <f t="shared" si="1"/>
        <v>150</v>
      </c>
      <c r="H97" s="55" t="s">
        <v>626</v>
      </c>
    </row>
    <row r="98" spans="1:8" ht="22.05" customHeight="1">
      <c r="A98" s="56">
        <v>9</v>
      </c>
      <c r="B98" s="56" t="s">
        <v>627</v>
      </c>
      <c r="C98" s="56" t="s">
        <v>628</v>
      </c>
      <c r="D98" s="56">
        <v>65</v>
      </c>
      <c r="E98" s="56" t="s">
        <v>629</v>
      </c>
      <c r="F98" s="56">
        <v>0.85</v>
      </c>
      <c r="G98" s="57">
        <f t="shared" si="1"/>
        <v>55.25</v>
      </c>
      <c r="H98" s="58" t="s">
        <v>630</v>
      </c>
    </row>
    <row r="99" spans="1:8" ht="22.05" customHeight="1">
      <c r="A99" s="56">
        <v>10</v>
      </c>
      <c r="B99" s="56" t="s">
        <v>627</v>
      </c>
      <c r="C99" s="56" t="s">
        <v>631</v>
      </c>
      <c r="D99" s="56">
        <v>35</v>
      </c>
      <c r="E99" s="56" t="s">
        <v>629</v>
      </c>
      <c r="F99" s="56">
        <v>0.65</v>
      </c>
      <c r="G99" s="57">
        <f t="shared" si="1"/>
        <v>22.75</v>
      </c>
      <c r="H99" s="58" t="s">
        <v>632</v>
      </c>
    </row>
    <row r="100" spans="1:8" ht="22.05" customHeight="1">
      <c r="A100" s="56">
        <v>11</v>
      </c>
      <c r="B100" s="56" t="s">
        <v>627</v>
      </c>
      <c r="C100" s="56" t="s">
        <v>633</v>
      </c>
      <c r="D100" s="56">
        <v>25</v>
      </c>
      <c r="E100" s="56" t="s">
        <v>614</v>
      </c>
      <c r="F100" s="56">
        <v>1.8</v>
      </c>
      <c r="G100" s="57">
        <f t="shared" si="1"/>
        <v>45</v>
      </c>
      <c r="H100" s="58" t="s">
        <v>634</v>
      </c>
    </row>
    <row r="101" spans="1:8" ht="22.05" customHeight="1">
      <c r="A101" s="59">
        <v>12</v>
      </c>
      <c r="B101" s="59" t="s">
        <v>635</v>
      </c>
      <c r="C101" s="59" t="s">
        <v>636</v>
      </c>
      <c r="D101" s="59">
        <v>35</v>
      </c>
      <c r="E101" s="59" t="s">
        <v>614</v>
      </c>
      <c r="F101" s="59">
        <v>1.5</v>
      </c>
      <c r="G101" s="60">
        <f t="shared" si="1"/>
        <v>52.5</v>
      </c>
      <c r="H101" s="61" t="s">
        <v>637</v>
      </c>
    </row>
    <row r="102" spans="1:8" ht="22.05" customHeight="1">
      <c r="A102" s="59">
        <v>13</v>
      </c>
      <c r="B102" s="59" t="s">
        <v>635</v>
      </c>
      <c r="C102" s="59" t="s">
        <v>638</v>
      </c>
      <c r="D102" s="59">
        <v>30</v>
      </c>
      <c r="E102" s="59" t="s">
        <v>614</v>
      </c>
      <c r="F102" s="59">
        <v>2</v>
      </c>
      <c r="G102" s="60">
        <f t="shared" si="1"/>
        <v>60</v>
      </c>
      <c r="H102" s="61" t="s">
        <v>639</v>
      </c>
    </row>
    <row r="103" spans="1:8" ht="22.05" customHeight="1">
      <c r="A103" s="59">
        <v>14</v>
      </c>
      <c r="B103" s="59" t="s">
        <v>635</v>
      </c>
      <c r="C103" s="59" t="s">
        <v>640</v>
      </c>
      <c r="D103" s="59">
        <v>5</v>
      </c>
      <c r="E103" s="59" t="s">
        <v>614</v>
      </c>
      <c r="F103" s="59">
        <v>4</v>
      </c>
      <c r="G103" s="60">
        <f t="shared" si="1"/>
        <v>20</v>
      </c>
      <c r="H103" s="61" t="s">
        <v>641</v>
      </c>
    </row>
    <row r="104" spans="1:8" ht="22.05" customHeight="1">
      <c r="A104" s="50">
        <v>15</v>
      </c>
      <c r="B104" s="50" t="s">
        <v>642</v>
      </c>
      <c r="C104" s="50" t="s">
        <v>643</v>
      </c>
      <c r="D104" s="50">
        <v>1</v>
      </c>
      <c r="E104" s="50" t="s">
        <v>644</v>
      </c>
      <c r="F104" s="50">
        <v>280</v>
      </c>
      <c r="G104" s="51">
        <f t="shared" si="1"/>
        <v>280</v>
      </c>
      <c r="H104" s="52" t="s">
        <v>645</v>
      </c>
    </row>
    <row r="105" spans="1:8" ht="22.05" customHeight="1">
      <c r="A105" s="50">
        <v>16</v>
      </c>
      <c r="B105" s="50" t="s">
        <v>642</v>
      </c>
      <c r="C105" s="50" t="s">
        <v>646</v>
      </c>
      <c r="D105" s="50">
        <v>0.05</v>
      </c>
      <c r="E105" s="50" t="s">
        <v>644</v>
      </c>
      <c r="F105" s="50">
        <v>800</v>
      </c>
      <c r="G105" s="51">
        <f t="shared" si="1"/>
        <v>40</v>
      </c>
      <c r="H105" s="52" t="s">
        <v>647</v>
      </c>
    </row>
    <row r="106" spans="1:8" ht="22.05" customHeight="1">
      <c r="A106" s="50">
        <v>17</v>
      </c>
      <c r="B106" s="50" t="s">
        <v>642</v>
      </c>
      <c r="C106" s="50" t="s">
        <v>648</v>
      </c>
      <c r="D106" s="50">
        <v>1</v>
      </c>
      <c r="E106" s="50" t="s">
        <v>649</v>
      </c>
      <c r="F106" s="50">
        <v>35</v>
      </c>
      <c r="G106" s="51">
        <f t="shared" si="1"/>
        <v>35</v>
      </c>
      <c r="H106" s="52" t="s">
        <v>650</v>
      </c>
    </row>
    <row r="107" spans="1:8" ht="22.05" customHeight="1">
      <c r="A107" s="50">
        <v>18</v>
      </c>
      <c r="B107" s="50" t="s">
        <v>642</v>
      </c>
      <c r="C107" s="50" t="s">
        <v>651</v>
      </c>
      <c r="D107" s="50">
        <v>0.4</v>
      </c>
      <c r="E107" s="50" t="s">
        <v>644</v>
      </c>
      <c r="F107" s="50">
        <v>240</v>
      </c>
      <c r="G107" s="51">
        <f t="shared" si="1"/>
        <v>96</v>
      </c>
      <c r="H107" s="52" t="s">
        <v>652</v>
      </c>
    </row>
    <row r="108" spans="1:8" ht="22.05" customHeight="1">
      <c r="A108" s="53">
        <v>19</v>
      </c>
      <c r="B108" s="53" t="s">
        <v>653</v>
      </c>
      <c r="C108" s="53" t="s">
        <v>654</v>
      </c>
      <c r="D108" s="53">
        <v>5</v>
      </c>
      <c r="E108" s="53" t="s">
        <v>655</v>
      </c>
      <c r="F108" s="53">
        <v>18</v>
      </c>
      <c r="G108" s="54">
        <f t="shared" si="1"/>
        <v>90</v>
      </c>
      <c r="H108" s="55" t="s">
        <v>656</v>
      </c>
    </row>
    <row r="109" spans="1:8" ht="22.05" customHeight="1">
      <c r="A109" s="53">
        <v>20</v>
      </c>
      <c r="B109" s="53" t="s">
        <v>653</v>
      </c>
      <c r="C109" s="53" t="s">
        <v>657</v>
      </c>
      <c r="D109" s="53">
        <v>4</v>
      </c>
      <c r="E109" s="53" t="s">
        <v>655</v>
      </c>
      <c r="F109" s="53">
        <v>22</v>
      </c>
      <c r="G109" s="54">
        <f t="shared" si="1"/>
        <v>88</v>
      </c>
      <c r="H109" s="55" t="s">
        <v>658</v>
      </c>
    </row>
    <row r="110" spans="1:8" ht="22.05" customHeight="1">
      <c r="A110" s="53">
        <v>21</v>
      </c>
      <c r="B110" s="53" t="s">
        <v>653</v>
      </c>
      <c r="C110" s="53" t="s">
        <v>659</v>
      </c>
      <c r="D110" s="53">
        <v>2.5000000000000001E-2</v>
      </c>
      <c r="E110" s="53" t="s">
        <v>660</v>
      </c>
      <c r="F110" s="53">
        <v>6500</v>
      </c>
      <c r="G110" s="54">
        <f t="shared" si="1"/>
        <v>162.5</v>
      </c>
      <c r="H110" s="55" t="s">
        <v>661</v>
      </c>
    </row>
    <row r="111" spans="1:8" ht="22.05" customHeight="1">
      <c r="A111" s="53">
        <v>22</v>
      </c>
      <c r="B111" s="53" t="s">
        <v>653</v>
      </c>
      <c r="C111" s="53" t="s">
        <v>662</v>
      </c>
      <c r="D111" s="53">
        <v>0.04</v>
      </c>
      <c r="E111" s="53" t="s">
        <v>663</v>
      </c>
      <c r="F111" s="53">
        <v>450</v>
      </c>
      <c r="G111" s="54">
        <f t="shared" si="1"/>
        <v>18</v>
      </c>
      <c r="H111" s="55" t="s">
        <v>664</v>
      </c>
    </row>
    <row r="112" spans="1:8" ht="22.05" customHeight="1">
      <c r="A112" s="53">
        <v>23</v>
      </c>
      <c r="B112" s="53" t="s">
        <v>653</v>
      </c>
      <c r="C112" s="53" t="s">
        <v>665</v>
      </c>
      <c r="D112" s="53">
        <v>1.4999999999999999E-2</v>
      </c>
      <c r="E112" s="53" t="s">
        <v>663</v>
      </c>
      <c r="F112" s="53">
        <v>2800</v>
      </c>
      <c r="G112" s="54">
        <f t="shared" si="1"/>
        <v>42</v>
      </c>
      <c r="H112" s="55" t="s">
        <v>666</v>
      </c>
    </row>
    <row r="113" spans="1:8" ht="22.05" customHeight="1">
      <c r="A113" s="56">
        <v>24</v>
      </c>
      <c r="B113" s="56" t="s">
        <v>667</v>
      </c>
      <c r="C113" s="56" t="s">
        <v>668</v>
      </c>
      <c r="D113" s="56">
        <v>12</v>
      </c>
      <c r="E113" s="56" t="s">
        <v>655</v>
      </c>
      <c r="F113" s="56">
        <v>16</v>
      </c>
      <c r="G113" s="57">
        <f t="shared" si="1"/>
        <v>192</v>
      </c>
      <c r="H113" s="58" t="s">
        <v>669</v>
      </c>
    </row>
    <row r="114" spans="1:8" ht="22.05" customHeight="1">
      <c r="A114" s="56">
        <v>25</v>
      </c>
      <c r="B114" s="56" t="s">
        <v>667</v>
      </c>
      <c r="C114" s="56" t="s">
        <v>670</v>
      </c>
      <c r="D114" s="56">
        <v>5</v>
      </c>
      <c r="E114" s="56" t="s">
        <v>655</v>
      </c>
      <c r="F114" s="56">
        <v>8</v>
      </c>
      <c r="G114" s="57">
        <f t="shared" si="1"/>
        <v>40</v>
      </c>
      <c r="H114" s="58" t="s">
        <v>671</v>
      </c>
    </row>
    <row r="115" spans="1:8" ht="22.05" customHeight="1">
      <c r="A115" s="56">
        <v>26</v>
      </c>
      <c r="B115" s="56" t="s">
        <v>667</v>
      </c>
      <c r="C115" s="56" t="s">
        <v>672</v>
      </c>
      <c r="D115" s="56">
        <v>1.2</v>
      </c>
      <c r="E115" s="56" t="s">
        <v>663</v>
      </c>
      <c r="F115" s="56">
        <v>60</v>
      </c>
      <c r="G115" s="57">
        <f t="shared" si="1"/>
        <v>72</v>
      </c>
      <c r="H115" s="58" t="s">
        <v>673</v>
      </c>
    </row>
    <row r="116" spans="1:8" ht="22.05" customHeight="1">
      <c r="A116" s="56">
        <v>27</v>
      </c>
      <c r="B116" s="56" t="s">
        <v>667</v>
      </c>
      <c r="C116" s="56" t="s">
        <v>674</v>
      </c>
      <c r="D116" s="56">
        <v>0.04</v>
      </c>
      <c r="E116" s="56" t="s">
        <v>663</v>
      </c>
      <c r="F116" s="56">
        <v>350</v>
      </c>
      <c r="G116" s="57">
        <f t="shared" si="1"/>
        <v>14</v>
      </c>
      <c r="H116" s="58" t="s">
        <v>675</v>
      </c>
    </row>
    <row r="117" spans="1:8" ht="22.05" customHeight="1">
      <c r="A117" s="56">
        <v>28</v>
      </c>
      <c r="B117" s="56" t="s">
        <v>667</v>
      </c>
      <c r="C117" s="56" t="s">
        <v>676</v>
      </c>
      <c r="D117" s="56">
        <v>0.6</v>
      </c>
      <c r="E117" s="56" t="s">
        <v>663</v>
      </c>
      <c r="F117" s="56">
        <v>150</v>
      </c>
      <c r="G117" s="57">
        <f t="shared" si="1"/>
        <v>90</v>
      </c>
      <c r="H117" s="58" t="s">
        <v>677</v>
      </c>
    </row>
    <row r="118" spans="1:8" ht="22.05" customHeight="1">
      <c r="A118" s="59">
        <v>29</v>
      </c>
      <c r="B118" s="59" t="s">
        <v>678</v>
      </c>
      <c r="C118" s="59" t="s">
        <v>679</v>
      </c>
      <c r="D118" s="59">
        <v>0.05</v>
      </c>
      <c r="E118" s="59" t="s">
        <v>680</v>
      </c>
      <c r="F118" s="59">
        <v>2200</v>
      </c>
      <c r="G118" s="60">
        <f t="shared" si="1"/>
        <v>110</v>
      </c>
      <c r="H118" s="61" t="s">
        <v>681</v>
      </c>
    </row>
    <row r="119" spans="1:8" ht="22.05" customHeight="1">
      <c r="A119" s="59">
        <v>30</v>
      </c>
      <c r="B119" s="59" t="s">
        <v>678</v>
      </c>
      <c r="C119" s="59" t="s">
        <v>682</v>
      </c>
      <c r="D119" s="59">
        <v>5.0000000000000001E-3</v>
      </c>
      <c r="E119" s="59" t="s">
        <v>680</v>
      </c>
      <c r="F119" s="59">
        <v>6500</v>
      </c>
      <c r="G119" s="60">
        <f t="shared" si="1"/>
        <v>32.5</v>
      </c>
      <c r="H119" s="61" t="s">
        <v>683</v>
      </c>
    </row>
    <row r="120" spans="1:8" ht="22.05" customHeight="1">
      <c r="A120" s="59">
        <v>31</v>
      </c>
      <c r="B120" s="59" t="s">
        <v>678</v>
      </c>
      <c r="C120" s="59" t="s">
        <v>684</v>
      </c>
      <c r="D120" s="59">
        <v>0.1</v>
      </c>
      <c r="E120" s="59" t="s">
        <v>644</v>
      </c>
      <c r="F120" s="59">
        <v>900</v>
      </c>
      <c r="G120" s="60">
        <f t="shared" si="1"/>
        <v>90</v>
      </c>
      <c r="H120" s="61" t="s">
        <v>685</v>
      </c>
    </row>
    <row r="121" spans="1:8" ht="22.05" customHeight="1">
      <c r="A121" s="50">
        <v>32</v>
      </c>
      <c r="B121" s="50" t="s">
        <v>686</v>
      </c>
      <c r="C121" s="50" t="s">
        <v>687</v>
      </c>
      <c r="D121" s="50">
        <v>0.3</v>
      </c>
      <c r="E121" s="50" t="s">
        <v>644</v>
      </c>
      <c r="F121" s="50">
        <v>350</v>
      </c>
      <c r="G121" s="51">
        <f t="shared" si="1"/>
        <v>105</v>
      </c>
      <c r="H121" s="52" t="s">
        <v>688</v>
      </c>
    </row>
    <row r="122" spans="1:8" ht="22.05" customHeight="1">
      <c r="A122" s="50">
        <v>33</v>
      </c>
      <c r="B122" s="50" t="s">
        <v>686</v>
      </c>
      <c r="C122" s="50" t="s">
        <v>689</v>
      </c>
      <c r="D122" s="50">
        <v>0.3</v>
      </c>
      <c r="E122" s="50" t="s">
        <v>644</v>
      </c>
      <c r="F122" s="50">
        <v>65</v>
      </c>
      <c r="G122" s="51">
        <f t="shared" si="1"/>
        <v>19.5</v>
      </c>
      <c r="H122" s="52" t="s">
        <v>690</v>
      </c>
    </row>
    <row r="123" spans="1:8" ht="22.05" customHeight="1">
      <c r="A123" s="53">
        <v>34</v>
      </c>
      <c r="B123" s="53" t="s">
        <v>691</v>
      </c>
      <c r="C123" s="53" t="s">
        <v>692</v>
      </c>
      <c r="D123" s="53">
        <v>2.5</v>
      </c>
      <c r="E123" s="53" t="s">
        <v>644</v>
      </c>
      <c r="F123" s="53">
        <v>30</v>
      </c>
      <c r="G123" s="54">
        <f t="shared" si="1"/>
        <v>75</v>
      </c>
      <c r="H123" s="55" t="s">
        <v>693</v>
      </c>
    </row>
    <row r="124" spans="1:8" ht="22.05" customHeight="1">
      <c r="A124" s="53">
        <v>35</v>
      </c>
      <c r="B124" s="53" t="s">
        <v>691</v>
      </c>
      <c r="C124" s="53" t="s">
        <v>694</v>
      </c>
      <c r="D124" s="53">
        <v>0.2</v>
      </c>
      <c r="E124" s="53" t="s">
        <v>644</v>
      </c>
      <c r="F124" s="53">
        <v>80</v>
      </c>
      <c r="G124" s="54">
        <f t="shared" si="1"/>
        <v>16</v>
      </c>
      <c r="H124" s="55" t="s">
        <v>695</v>
      </c>
    </row>
    <row r="125" spans="1:8" ht="22.05" customHeight="1">
      <c r="A125" s="56">
        <v>36</v>
      </c>
      <c r="B125" s="56" t="s">
        <v>696</v>
      </c>
      <c r="C125" s="56" t="s">
        <v>697</v>
      </c>
      <c r="D125" s="56">
        <v>0.2</v>
      </c>
      <c r="E125" s="56" t="s">
        <v>644</v>
      </c>
      <c r="F125" s="56">
        <v>110</v>
      </c>
      <c r="G125" s="57">
        <f t="shared" si="1"/>
        <v>22</v>
      </c>
      <c r="H125" s="58" t="s">
        <v>698</v>
      </c>
    </row>
    <row r="126" spans="1:8" ht="22.05" customHeight="1">
      <c r="A126" s="56">
        <v>37</v>
      </c>
      <c r="B126" s="56" t="s">
        <v>696</v>
      </c>
      <c r="C126" s="56" t="s">
        <v>699</v>
      </c>
      <c r="D126" s="56">
        <v>0.15</v>
      </c>
      <c r="E126" s="56" t="s">
        <v>644</v>
      </c>
      <c r="F126" s="56">
        <v>45</v>
      </c>
      <c r="G126" s="57">
        <f t="shared" si="1"/>
        <v>6.75</v>
      </c>
      <c r="H126" s="58" t="s">
        <v>700</v>
      </c>
    </row>
    <row r="127" spans="1:8" ht="22.05" customHeight="1">
      <c r="A127" s="56">
        <v>38</v>
      </c>
      <c r="B127" s="56" t="s">
        <v>696</v>
      </c>
      <c r="C127" s="56" t="s">
        <v>701</v>
      </c>
      <c r="D127" s="56">
        <v>1</v>
      </c>
      <c r="E127" s="56" t="s">
        <v>644</v>
      </c>
      <c r="F127" s="56">
        <v>25</v>
      </c>
      <c r="G127" s="57">
        <f t="shared" si="1"/>
        <v>25</v>
      </c>
      <c r="H127" s="58" t="s">
        <v>702</v>
      </c>
    </row>
    <row r="128" spans="1:8" ht="31.95" customHeight="1">
      <c r="A128" s="62"/>
      <c r="B128" s="185" t="s">
        <v>703</v>
      </c>
      <c r="C128" s="110"/>
      <c r="D128" s="110"/>
      <c r="E128" s="110"/>
      <c r="F128" s="111"/>
      <c r="G128" s="63">
        <f>SUM(G90:G127)</f>
        <v>4559.75</v>
      </c>
      <c r="H128" s="64"/>
    </row>
    <row r="129" spans="1:8" ht="25.95" customHeight="1">
      <c r="A129" s="65"/>
      <c r="B129" s="182" t="s">
        <v>704</v>
      </c>
      <c r="C129" s="110"/>
      <c r="D129" s="110"/>
      <c r="E129" s="110"/>
      <c r="F129" s="111"/>
      <c r="G129" s="22">
        <f>G128*0.18</f>
        <v>820.755</v>
      </c>
      <c r="H129" s="66"/>
    </row>
    <row r="130" spans="1:8" ht="36" customHeight="1">
      <c r="A130" s="67"/>
      <c r="B130" s="183" t="s">
        <v>705</v>
      </c>
      <c r="C130" s="130"/>
      <c r="D130" s="130"/>
      <c r="E130" s="130"/>
      <c r="F130" s="131"/>
      <c r="G130" s="68">
        <f>G128+G129</f>
        <v>5380.5050000000001</v>
      </c>
      <c r="H130" s="69"/>
    </row>
    <row r="134" spans="1:8" ht="40.049999999999997" customHeight="1">
      <c r="A134" s="172" t="s">
        <v>706</v>
      </c>
      <c r="B134" s="116"/>
      <c r="C134" s="116"/>
      <c r="D134" s="116"/>
      <c r="E134" s="116"/>
      <c r="F134" s="116"/>
      <c r="G134" s="116"/>
      <c r="H134" s="116"/>
    </row>
    <row r="136" spans="1:8" ht="31.95" customHeight="1">
      <c r="A136" s="165" t="s">
        <v>471</v>
      </c>
      <c r="B136" s="119"/>
      <c r="C136" s="119"/>
      <c r="D136" s="119"/>
      <c r="E136" s="119"/>
      <c r="F136" s="119"/>
      <c r="G136" s="119"/>
      <c r="H136" s="119"/>
    </row>
    <row r="137" spans="1:8" ht="25.95" customHeight="1">
      <c r="A137" s="167" t="s">
        <v>707</v>
      </c>
      <c r="B137" s="110"/>
      <c r="C137" s="110"/>
      <c r="D137" s="110"/>
      <c r="E137" s="110"/>
      <c r="F137" s="110"/>
      <c r="G137" s="110"/>
      <c r="H137" s="111"/>
    </row>
    <row r="138" spans="1:8" ht="25.95" customHeight="1">
      <c r="A138" s="170" t="s">
        <v>708</v>
      </c>
      <c r="B138" s="110"/>
      <c r="C138" s="110"/>
      <c r="D138" s="110"/>
      <c r="E138" s="110"/>
      <c r="F138" s="110"/>
      <c r="G138" s="110"/>
      <c r="H138" s="111"/>
    </row>
    <row r="139" spans="1:8" ht="25.95" customHeight="1">
      <c r="A139" s="167" t="s">
        <v>709</v>
      </c>
      <c r="B139" s="110"/>
      <c r="C139" s="110"/>
      <c r="D139" s="110"/>
      <c r="E139" s="110"/>
      <c r="F139" s="110"/>
      <c r="G139" s="110"/>
      <c r="H139" s="111"/>
    </row>
    <row r="140" spans="1:8" ht="25.95" customHeight="1">
      <c r="A140" s="170" t="s">
        <v>710</v>
      </c>
      <c r="B140" s="110"/>
      <c r="C140" s="110"/>
      <c r="D140" s="110"/>
      <c r="E140" s="110"/>
      <c r="F140" s="110"/>
      <c r="G140" s="110"/>
      <c r="H140" s="111"/>
    </row>
    <row r="141" spans="1:8" ht="25.95" customHeight="1">
      <c r="A141" s="167" t="s">
        <v>711</v>
      </c>
      <c r="B141" s="110"/>
      <c r="C141" s="110"/>
      <c r="D141" s="110"/>
      <c r="E141" s="110"/>
      <c r="F141" s="110"/>
      <c r="G141" s="110"/>
      <c r="H141" s="111"/>
    </row>
    <row r="143" spans="1:8" ht="31.95" customHeight="1">
      <c r="A143" s="171" t="s">
        <v>481</v>
      </c>
      <c r="B143" s="119"/>
      <c r="C143" s="119"/>
      <c r="D143" s="119"/>
      <c r="E143" s="119"/>
      <c r="F143" s="119"/>
      <c r="G143" s="119"/>
      <c r="H143" s="119"/>
    </row>
    <row r="144" spans="1:8" ht="49.95" customHeight="1">
      <c r="A144" s="169" t="s">
        <v>712</v>
      </c>
      <c r="B144" s="130"/>
      <c r="C144" s="130"/>
      <c r="D144" s="130"/>
      <c r="E144" s="130"/>
      <c r="F144" s="130"/>
      <c r="G144" s="130"/>
      <c r="H144" s="131"/>
    </row>
  </sheetData>
  <mergeCells count="26">
    <mergeCell ref="A144:H144"/>
    <mergeCell ref="A140:H140"/>
    <mergeCell ref="A134:H134"/>
    <mergeCell ref="A79:I79"/>
    <mergeCell ref="A78:I78"/>
    <mergeCell ref="A1:D1"/>
    <mergeCell ref="A136:H136"/>
    <mergeCell ref="A139:H139"/>
    <mergeCell ref="A55:H55"/>
    <mergeCell ref="B128:F128"/>
    <mergeCell ref="A77:I77"/>
    <mergeCell ref="A83:L83"/>
    <mergeCell ref="A40:H40"/>
    <mergeCell ref="A143:H143"/>
    <mergeCell ref="B129:F129"/>
    <mergeCell ref="A75:I75"/>
    <mergeCell ref="A138:H138"/>
    <mergeCell ref="A19:D19"/>
    <mergeCell ref="A28:D28"/>
    <mergeCell ref="B130:F130"/>
    <mergeCell ref="A69:H69"/>
    <mergeCell ref="A87:H87"/>
    <mergeCell ref="A34:D34"/>
    <mergeCell ref="A76:I76"/>
    <mergeCell ref="A137:H137"/>
    <mergeCell ref="A141:H141"/>
  </mergeCells>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I57"/>
  <sheetViews>
    <sheetView rightToLeft="1" workbookViewId="0">
      <pane ySplit="1" topLeftCell="A2" activePane="bottomLeft" state="frozen"/>
      <selection pane="bottomLeft" sqref="A1:C1"/>
    </sheetView>
  </sheetViews>
  <sheetFormatPr defaultRowHeight="14.4"/>
  <cols>
    <col min="1" max="1" width="38" customWidth="1"/>
    <col min="2" max="2" width="21" customWidth="1"/>
    <col min="3" max="3" width="13" customWidth="1"/>
    <col min="4" max="9" width="14" customWidth="1"/>
  </cols>
  <sheetData>
    <row r="1" spans="1:3" ht="37.950000000000003" customHeight="1">
      <c r="A1" s="153" t="s">
        <v>713</v>
      </c>
      <c r="B1" s="116"/>
      <c r="C1" s="154"/>
    </row>
    <row r="2" spans="1:3" ht="19.95" customHeight="1">
      <c r="A2" s="112" t="s">
        <v>714</v>
      </c>
      <c r="B2" s="113"/>
      <c r="C2" s="114"/>
    </row>
    <row r="4" spans="1:3" ht="21.6" customHeight="1">
      <c r="A4" s="24" t="s">
        <v>715</v>
      </c>
      <c r="B4" s="29">
        <f>B5/12</f>
        <v>4750</v>
      </c>
      <c r="C4" s="24" t="s">
        <v>716</v>
      </c>
    </row>
    <row r="5" spans="1:3" ht="21.6" customHeight="1">
      <c r="A5" s="24" t="s">
        <v>717</v>
      </c>
      <c r="B5" s="29">
        <f>'الافتراضات والمدخلات'!$B$4*'الافتراضات والمدخلات'!$B$6</f>
        <v>57000</v>
      </c>
      <c r="C5" s="24" t="s">
        <v>718</v>
      </c>
    </row>
    <row r="6" spans="1:3" ht="21.6" customHeight="1">
      <c r="A6" s="24" t="s">
        <v>719</v>
      </c>
      <c r="B6" s="29">
        <f>B5*IF('الافتراضات والمدخلات'!$B$23&gt;0,'الافتراضات والمدخلات'!$B$23+'الافتراضات والمدخلات'!$B$24,0.1)</f>
        <v>14250</v>
      </c>
      <c r="C6" s="24" t="s">
        <v>718</v>
      </c>
    </row>
    <row r="7" spans="1:3" ht="21.6" customHeight="1">
      <c r="A7" s="24" t="s">
        <v>720</v>
      </c>
      <c r="B7" s="29">
        <f>B5-B6</f>
        <v>42750</v>
      </c>
      <c r="C7" s="24" t="s">
        <v>718</v>
      </c>
    </row>
    <row r="8" spans="1:3" ht="20.399999999999999" customHeight="1">
      <c r="A8" s="18" t="s">
        <v>721</v>
      </c>
      <c r="B8" s="19">
        <v>44</v>
      </c>
      <c r="C8" s="20" t="s">
        <v>32</v>
      </c>
    </row>
    <row r="9" spans="1:3" ht="20.399999999999999" customHeight="1">
      <c r="A9" s="18" t="s">
        <v>722</v>
      </c>
      <c r="B9" s="27">
        <f>IF(B8&gt;0,1/B8,0)</f>
        <v>2.2727272727272728E-2</v>
      </c>
      <c r="C9" s="20" t="s">
        <v>723</v>
      </c>
    </row>
    <row r="10" spans="1:3" ht="20.399999999999999" customHeight="1">
      <c r="A10" s="18" t="s">
        <v>724</v>
      </c>
      <c r="B10" s="27">
        <v>8.5000000000000006E-2</v>
      </c>
      <c r="C10" s="20" t="s">
        <v>723</v>
      </c>
    </row>
    <row r="11" spans="1:3" ht="20.399999999999999" customHeight="1">
      <c r="A11" s="18" t="s">
        <v>725</v>
      </c>
      <c r="B11" s="27" t="s">
        <v>726</v>
      </c>
      <c r="C11" s="20" t="s">
        <v>723</v>
      </c>
    </row>
    <row r="12" spans="1:3" ht="21.6" customHeight="1">
      <c r="A12" s="24" t="s">
        <v>727</v>
      </c>
      <c r="B12" s="29" t="s">
        <v>728</v>
      </c>
      <c r="C12" s="24" t="s">
        <v>718</v>
      </c>
    </row>
    <row r="13" spans="1:3" ht="21.6" customHeight="1">
      <c r="A13" s="24" t="s">
        <v>729</v>
      </c>
      <c r="B13" s="29" t="e">
        <f>B7-B12</f>
        <v>#VALUE!</v>
      </c>
      <c r="C13" s="24" t="s">
        <v>718</v>
      </c>
    </row>
    <row r="14" spans="1:3" ht="21.6" customHeight="1">
      <c r="A14" s="24" t="s">
        <v>730</v>
      </c>
      <c r="B14" s="29" t="e">
        <f>IF(B11&gt;0,B13/B11,0)</f>
        <v>#VALUE!</v>
      </c>
      <c r="C14" s="24" t="s">
        <v>35</v>
      </c>
    </row>
    <row r="15" spans="1:3" ht="21.6" customHeight="1">
      <c r="A15" s="24" t="s">
        <v>731</v>
      </c>
      <c r="B15" s="29">
        <v>1200000</v>
      </c>
      <c r="C15" s="24" t="s">
        <v>35</v>
      </c>
    </row>
    <row r="17" spans="1:3" ht="27" customHeight="1">
      <c r="A17" s="24" t="s">
        <v>732</v>
      </c>
      <c r="B17" s="45" t="e">
        <f>B14+B15</f>
        <v>#VALUE!</v>
      </c>
      <c r="C17" s="24" t="s">
        <v>35</v>
      </c>
    </row>
    <row r="18" spans="1:3" ht="21.6" customHeight="1">
      <c r="A18" s="18" t="s">
        <v>733</v>
      </c>
      <c r="B18" s="26" t="e">
        <f>IF('الافتراضات والمدخلات'!$B$4&gt;0,B17/'الافتراضات والمدخلات'!$B$4,0)</f>
        <v>#VALUE!</v>
      </c>
    </row>
    <row r="21" spans="1:3" ht="21.6" customHeight="1">
      <c r="A21" s="112" t="s">
        <v>734</v>
      </c>
      <c r="B21" s="113"/>
      <c r="C21" s="114"/>
    </row>
    <row r="22" spans="1:3" ht="28.05" customHeight="1">
      <c r="A22" s="109" t="s">
        <v>735</v>
      </c>
      <c r="B22" s="158"/>
      <c r="C22" s="159"/>
    </row>
    <row r="23" spans="1:3" ht="28.05" customHeight="1">
      <c r="A23" s="160"/>
      <c r="B23" s="161"/>
      <c r="C23" s="162"/>
    </row>
    <row r="35" spans="1:9" ht="24" customHeight="1">
      <c r="A35" s="112" t="s">
        <v>736</v>
      </c>
      <c r="B35" s="113"/>
      <c r="C35" s="113"/>
      <c r="D35" s="113"/>
      <c r="E35" s="113"/>
      <c r="F35" s="113"/>
      <c r="G35" s="113"/>
      <c r="H35" s="113"/>
      <c r="I35" s="114"/>
    </row>
    <row r="36" spans="1:9" ht="37.950000000000003" customHeight="1">
      <c r="A36" s="145" t="str">
        <f>"معدل الرسملة "&amp;TEXT('الافتراضات والمدخلات'!B7,"0.0%")&amp;" يعني استعادة رأس المال خلال "&amp;TEXT(IF('الافتراضات والمدخلات'!B7&gt;0,1/'الافتراضات والمدخلات'!B7,0),"0.0")&amp;" سنة من الإيجار وحده (بدون تضخم أو نمو)."</f>
        <v>معدل الرسملة 8.0% يعني استعادة رأس المال خلال 12.5 سنة من الإيجار وحده (بدون تضخم أو نمو).</v>
      </c>
      <c r="B36" s="110"/>
      <c r="C36" s="110"/>
      <c r="D36" s="110"/>
      <c r="E36" s="110"/>
      <c r="F36" s="110"/>
      <c r="G36" s="110"/>
      <c r="H36" s="110"/>
      <c r="I36" s="111"/>
    </row>
    <row r="37" spans="1:9" ht="37.950000000000003" customHeight="1">
      <c r="A37" s="109" t="s">
        <v>737</v>
      </c>
      <c r="B37" s="110"/>
      <c r="C37" s="110"/>
      <c r="D37" s="110"/>
      <c r="E37" s="110"/>
      <c r="F37" s="110"/>
      <c r="G37" s="110"/>
      <c r="H37" s="110"/>
      <c r="I37" s="111"/>
    </row>
    <row r="38" spans="1:9" ht="37.950000000000003" customHeight="1">
      <c r="A38" s="109" t="s">
        <v>738</v>
      </c>
      <c r="B38" s="110"/>
      <c r="C38" s="110"/>
      <c r="D38" s="110"/>
      <c r="E38" s="110"/>
      <c r="F38" s="110"/>
      <c r="G38" s="110"/>
      <c r="H38" s="110"/>
      <c r="I38" s="111"/>
    </row>
    <row r="39" spans="1:9" ht="37.950000000000003" customHeight="1">
      <c r="A39" s="109" t="s">
        <v>739</v>
      </c>
      <c r="B39" s="110"/>
      <c r="C39" s="110"/>
      <c r="D39" s="110"/>
      <c r="E39" s="110"/>
      <c r="F39" s="110"/>
      <c r="G39" s="110"/>
      <c r="H39" s="110"/>
      <c r="I39" s="111"/>
    </row>
    <row r="43" spans="1:9" ht="36" customHeight="1">
      <c r="A43" s="174" t="s">
        <v>740</v>
      </c>
      <c r="B43" s="119"/>
      <c r="C43" s="119"/>
      <c r="D43" s="119"/>
      <c r="E43" s="119"/>
      <c r="F43" s="119"/>
      <c r="G43" s="119"/>
      <c r="H43" s="119"/>
      <c r="I43" s="119"/>
    </row>
    <row r="47" spans="1:9" ht="40.049999999999997" customHeight="1">
      <c r="A47" s="172" t="s">
        <v>741</v>
      </c>
      <c r="B47" s="116"/>
      <c r="C47" s="116"/>
      <c r="D47" s="116"/>
      <c r="E47" s="116"/>
      <c r="F47" s="116"/>
      <c r="G47" s="116"/>
      <c r="H47" s="116"/>
    </row>
    <row r="49" spans="1:8" ht="31.95" customHeight="1">
      <c r="A49" s="165" t="s">
        <v>471</v>
      </c>
      <c r="B49" s="119"/>
      <c r="C49" s="119"/>
      <c r="D49" s="119"/>
      <c r="E49" s="119"/>
      <c r="F49" s="119"/>
      <c r="G49" s="119"/>
      <c r="H49" s="119"/>
    </row>
    <row r="50" spans="1:8" ht="25.95" customHeight="1">
      <c r="A50" s="170" t="s">
        <v>742</v>
      </c>
      <c r="B50" s="110"/>
      <c r="C50" s="110"/>
      <c r="D50" s="110"/>
      <c r="E50" s="110"/>
      <c r="F50" s="110"/>
      <c r="G50" s="110"/>
      <c r="H50" s="111"/>
    </row>
    <row r="51" spans="1:8" ht="25.95" customHeight="1">
      <c r="A51" s="167" t="s">
        <v>743</v>
      </c>
      <c r="B51" s="110"/>
      <c r="C51" s="110"/>
      <c r="D51" s="110"/>
      <c r="E51" s="110"/>
      <c r="F51" s="110"/>
      <c r="G51" s="110"/>
      <c r="H51" s="111"/>
    </row>
    <row r="52" spans="1:8" ht="25.95" customHeight="1">
      <c r="A52" s="170" t="s">
        <v>744</v>
      </c>
      <c r="B52" s="110"/>
      <c r="C52" s="110"/>
      <c r="D52" s="110"/>
      <c r="E52" s="110"/>
      <c r="F52" s="110"/>
      <c r="G52" s="110"/>
      <c r="H52" s="111"/>
    </row>
    <row r="53" spans="1:8" ht="25.95" customHeight="1">
      <c r="A53" s="167" t="s">
        <v>745</v>
      </c>
      <c r="B53" s="110"/>
      <c r="C53" s="110"/>
      <c r="D53" s="110"/>
      <c r="E53" s="110"/>
      <c r="F53" s="110"/>
      <c r="G53" s="110"/>
      <c r="H53" s="111"/>
    </row>
    <row r="54" spans="1:8" ht="25.95" customHeight="1">
      <c r="A54" s="170" t="s">
        <v>746</v>
      </c>
      <c r="B54" s="110"/>
      <c r="C54" s="110"/>
      <c r="D54" s="110"/>
      <c r="E54" s="110"/>
      <c r="F54" s="110"/>
      <c r="G54" s="110"/>
      <c r="H54" s="111"/>
    </row>
    <row r="56" spans="1:8" ht="31.95" customHeight="1">
      <c r="A56" s="171" t="s">
        <v>481</v>
      </c>
      <c r="B56" s="119"/>
      <c r="C56" s="119"/>
      <c r="D56" s="119"/>
      <c r="E56" s="119"/>
      <c r="F56" s="119"/>
      <c r="G56" s="119"/>
      <c r="H56" s="119"/>
    </row>
    <row r="57" spans="1:8" ht="49.95" customHeight="1">
      <c r="A57" s="169" t="s">
        <v>747</v>
      </c>
      <c r="B57" s="130"/>
      <c r="C57" s="130"/>
      <c r="D57" s="130"/>
      <c r="E57" s="130"/>
      <c r="F57" s="130"/>
      <c r="G57" s="130"/>
      <c r="H57" s="131"/>
    </row>
  </sheetData>
  <mergeCells count="19">
    <mergeCell ref="A57:H57"/>
    <mergeCell ref="A47:H47"/>
    <mergeCell ref="A39:I39"/>
    <mergeCell ref="A53:H53"/>
    <mergeCell ref="A1:C1"/>
    <mergeCell ref="A36:I36"/>
    <mergeCell ref="A52:H52"/>
    <mergeCell ref="A22:C23"/>
    <mergeCell ref="A54:H54"/>
    <mergeCell ref="A35:I35"/>
    <mergeCell ref="A38:I38"/>
    <mergeCell ref="A50:H50"/>
    <mergeCell ref="A56:H56"/>
    <mergeCell ref="A43:I43"/>
    <mergeCell ref="A37:I37"/>
    <mergeCell ref="A51:H51"/>
    <mergeCell ref="A49:H49"/>
    <mergeCell ref="A21:C21"/>
    <mergeCell ref="A2:C2"/>
  </mergeCells>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7"/>
  <dimension ref="A1:J144"/>
  <sheetViews>
    <sheetView rightToLeft="1" workbookViewId="0">
      <pane ySplit="1" topLeftCell="A2" activePane="bottomLeft" state="frozen"/>
      <selection pane="bottomLeft" activeCell="I1" sqref="I1"/>
    </sheetView>
  </sheetViews>
  <sheetFormatPr defaultRowHeight="14.4"/>
  <cols>
    <col min="1" max="1" width="38" customWidth="1"/>
    <col min="2" max="2" width="30" customWidth="1"/>
    <col min="3" max="3" width="24" customWidth="1"/>
    <col min="4" max="4" width="20" customWidth="1"/>
    <col min="5" max="5" width="32" customWidth="1"/>
    <col min="6" max="9" width="14" customWidth="1"/>
    <col min="10" max="10" width="38" customWidth="1"/>
  </cols>
  <sheetData>
    <row r="1" spans="1:10" ht="37.950000000000003" customHeight="1">
      <c r="A1" s="17" t="s">
        <v>748</v>
      </c>
    </row>
    <row r="2" spans="1:10" ht="19.95" customHeight="1">
      <c r="A2" s="18" t="str">
        <f>"الموقع: "&amp;'الافتراضات والمدخلات'!B13&amp;"  |  الإحداثيات: 30.01310N , 31.49130E"</f>
        <v>الموقع: التجمع الخامس  |  الإحداثيات: 30.01310N , 31.49130E</v>
      </c>
    </row>
    <row r="3" spans="1:10" ht="15.6">
      <c r="A3" s="18" t="s">
        <v>749</v>
      </c>
    </row>
    <row r="4" spans="1:10" ht="21.6" customHeight="1">
      <c r="A4" s="24" t="s">
        <v>286</v>
      </c>
      <c r="B4" s="24">
        <v>30.013100000000001</v>
      </c>
      <c r="C4" s="24" t="s">
        <v>750</v>
      </c>
      <c r="D4" s="24" t="s">
        <v>751</v>
      </c>
      <c r="E4" s="24" t="s">
        <v>30</v>
      </c>
    </row>
    <row r="5" spans="1:10" ht="20.399999999999999" customHeight="1">
      <c r="A5" s="30" t="s">
        <v>289</v>
      </c>
      <c r="B5" s="25">
        <v>31.491299999999999</v>
      </c>
      <c r="C5" s="19">
        <v>31.054359999999999</v>
      </c>
      <c r="D5" s="19">
        <v>29.977910000000001</v>
      </c>
      <c r="E5" s="26">
        <v>2016</v>
      </c>
    </row>
    <row r="6" spans="1:10" ht="20.399999999999999" customHeight="1">
      <c r="A6" s="30" t="s">
        <v>752</v>
      </c>
      <c r="B6" s="47" t="s">
        <v>753</v>
      </c>
      <c r="C6" s="19">
        <v>31.053830000000001</v>
      </c>
      <c r="D6" s="19">
        <v>29.977910000000001</v>
      </c>
      <c r="E6" s="26">
        <v>2016</v>
      </c>
    </row>
    <row r="7" spans="1:10" ht="20.399999999999999" customHeight="1">
      <c r="A7" s="30" t="s">
        <v>754</v>
      </c>
      <c r="B7" s="25">
        <v>0</v>
      </c>
      <c r="C7" s="19">
        <v>31.046469999999999</v>
      </c>
      <c r="D7" s="19">
        <v>29.97766</v>
      </c>
      <c r="E7" s="26">
        <v>2016</v>
      </c>
    </row>
    <row r="8" spans="1:10" ht="20.399999999999999" customHeight="1">
      <c r="A8" s="30" t="s">
        <v>361</v>
      </c>
      <c r="B8" s="26">
        <v>21436</v>
      </c>
      <c r="C8" s="19">
        <v>31.042999999999999</v>
      </c>
      <c r="D8" s="19">
        <v>29.977900000000002</v>
      </c>
      <c r="E8" s="26">
        <v>2017</v>
      </c>
    </row>
    <row r="9" spans="1:10" ht="20.399999999999999" customHeight="1">
      <c r="A9" s="30" t="s">
        <v>362</v>
      </c>
      <c r="B9" s="26">
        <v>21368</v>
      </c>
      <c r="C9" s="19">
        <v>31.042000000000002</v>
      </c>
      <c r="D9" s="19">
        <v>29.977900000000002</v>
      </c>
      <c r="E9" s="26">
        <v>2017</v>
      </c>
    </row>
    <row r="10" spans="1:10" ht="20.399999999999999" customHeight="1">
      <c r="A10" s="30" t="s">
        <v>363</v>
      </c>
      <c r="B10" s="26">
        <v>26208</v>
      </c>
      <c r="C10" s="19">
        <v>31.058</v>
      </c>
      <c r="D10" s="19">
        <v>29.977599999999999</v>
      </c>
      <c r="E10" s="26">
        <v>2000</v>
      </c>
      <c r="J10" s="20" t="s">
        <v>755</v>
      </c>
    </row>
    <row r="11" spans="1:10" ht="20.399999999999999" customHeight="1">
      <c r="A11" s="30" t="s">
        <v>364</v>
      </c>
      <c r="B11" s="26">
        <v>25773</v>
      </c>
      <c r="C11" s="19">
        <v>31.056000000000001</v>
      </c>
      <c r="D11" s="19">
        <v>29.977499999999999</v>
      </c>
      <c r="E11" s="26">
        <v>2000</v>
      </c>
    </row>
    <row r="12" spans="1:10" ht="20.399999999999999" customHeight="1">
      <c r="A12" s="30" t="s">
        <v>365</v>
      </c>
      <c r="B12" s="26">
        <v>26855</v>
      </c>
      <c r="C12" s="19">
        <v>31.047000000000001</v>
      </c>
      <c r="D12" s="19">
        <v>29.978000000000002</v>
      </c>
      <c r="E12" s="26">
        <v>2000</v>
      </c>
    </row>
    <row r="13" spans="1:10" ht="20.399999999999999" customHeight="1">
      <c r="A13" s="30" t="s">
        <v>366</v>
      </c>
      <c r="B13" s="26">
        <v>26925</v>
      </c>
      <c r="C13" s="19">
        <v>31.047499999999999</v>
      </c>
      <c r="D13" s="19">
        <v>29.978100000000001</v>
      </c>
      <c r="E13" s="26">
        <v>2000</v>
      </c>
    </row>
    <row r="14" spans="1:10" ht="20.399999999999999" customHeight="1">
      <c r="A14" s="30" t="s">
        <v>367</v>
      </c>
      <c r="B14" s="26">
        <v>23584</v>
      </c>
      <c r="C14" s="19">
        <v>31.059000000000001</v>
      </c>
      <c r="D14" s="19">
        <v>29.975999999999999</v>
      </c>
      <c r="E14" s="26">
        <v>2007</v>
      </c>
    </row>
    <row r="15" spans="1:10" ht="20.399999999999999" customHeight="1">
      <c r="A15" s="30" t="s">
        <v>368</v>
      </c>
      <c r="B15" s="26">
        <v>24303</v>
      </c>
      <c r="C15" s="19">
        <v>31.056999999999999</v>
      </c>
      <c r="D15" s="19">
        <v>29.976199999999999</v>
      </c>
      <c r="E15" s="26">
        <v>2007</v>
      </c>
    </row>
    <row r="16" spans="1:10" ht="20.399999999999999" customHeight="1">
      <c r="A16" s="30" t="s">
        <v>369</v>
      </c>
      <c r="B16" s="26">
        <v>24849</v>
      </c>
      <c r="C16" s="19">
        <v>31.055</v>
      </c>
      <c r="D16" s="19">
        <v>29.976500000000001</v>
      </c>
      <c r="E16" s="26">
        <v>2007</v>
      </c>
    </row>
    <row r="17" spans="1:5" ht="20.399999999999999" customHeight="1">
      <c r="A17" s="30" t="s">
        <v>370</v>
      </c>
      <c r="B17" s="26">
        <v>21749</v>
      </c>
      <c r="C17" s="19">
        <v>31.054359999999999</v>
      </c>
      <c r="D17" s="19">
        <v>29.977910000000001</v>
      </c>
      <c r="E17" s="26">
        <v>2016</v>
      </c>
    </row>
    <row r="18" spans="1:5" ht="20.399999999999999" customHeight="1">
      <c r="A18" s="30" t="s">
        <v>371</v>
      </c>
      <c r="B18" s="26">
        <v>21617</v>
      </c>
      <c r="C18" s="19">
        <v>31.044370000000001</v>
      </c>
      <c r="D18" s="19">
        <v>29.977910000000001</v>
      </c>
      <c r="E18" s="26">
        <v>2017</v>
      </c>
    </row>
    <row r="19" spans="1:5" ht="20.399999999999999" customHeight="1">
      <c r="A19" s="30" t="s">
        <v>372</v>
      </c>
      <c r="B19" s="26">
        <v>17505</v>
      </c>
      <c r="C19" s="19">
        <v>31.048999999999999</v>
      </c>
      <c r="D19" s="19">
        <v>29.9785</v>
      </c>
      <c r="E19" s="26">
        <v>2013</v>
      </c>
    </row>
    <row r="20" spans="1:5" ht="20.399999999999999" customHeight="1">
      <c r="A20" s="30" t="s">
        <v>756</v>
      </c>
      <c r="B20" s="26">
        <v>27392</v>
      </c>
      <c r="C20" s="19">
        <v>31.0488</v>
      </c>
      <c r="D20" s="19">
        <v>29.978000000000002</v>
      </c>
      <c r="E20" s="26">
        <v>2000</v>
      </c>
    </row>
    <row r="21" spans="1:5" ht="20.399999999999999" customHeight="1">
      <c r="A21" s="30" t="s">
        <v>757</v>
      </c>
      <c r="B21" s="26">
        <v>25247</v>
      </c>
      <c r="C21" s="19">
        <v>31.0486</v>
      </c>
      <c r="D21" s="19">
        <v>29.978200000000001</v>
      </c>
      <c r="E21" s="26">
        <v>2000</v>
      </c>
    </row>
    <row r="22" spans="1:5" ht="20.399999999999999" customHeight="1">
      <c r="A22" s="30" t="s">
        <v>758</v>
      </c>
      <c r="B22" s="26">
        <v>23273</v>
      </c>
      <c r="C22" s="19">
        <v>31.0548</v>
      </c>
      <c r="D22" s="19">
        <v>29.976500000000001</v>
      </c>
      <c r="E22" s="26">
        <v>2009</v>
      </c>
    </row>
    <row r="23" spans="1:5" ht="20.399999999999999" customHeight="1">
      <c r="A23" s="30" t="s">
        <v>759</v>
      </c>
      <c r="B23" s="26">
        <v>23067</v>
      </c>
      <c r="C23" s="19">
        <v>31.0549</v>
      </c>
      <c r="D23" s="19">
        <v>29.976600000000001</v>
      </c>
      <c r="E23" s="26">
        <v>2009</v>
      </c>
    </row>
    <row r="24" spans="1:5" ht="20.399999999999999" customHeight="1">
      <c r="A24" s="30" t="s">
        <v>760</v>
      </c>
      <c r="B24" s="26">
        <v>24677</v>
      </c>
      <c r="C24" s="19">
        <v>31.055</v>
      </c>
      <c r="D24" s="19">
        <v>29.976700000000001</v>
      </c>
      <c r="E24" s="26">
        <v>2007</v>
      </c>
    </row>
    <row r="26" spans="1:5" ht="21.6" customHeight="1">
      <c r="A26" s="112" t="s">
        <v>761</v>
      </c>
      <c r="B26" s="113"/>
      <c r="C26" s="113"/>
      <c r="D26" s="113"/>
      <c r="E26" s="114"/>
    </row>
    <row r="27" spans="1:5" ht="20.399999999999999" customHeight="1">
      <c r="A27" s="18" t="s">
        <v>762</v>
      </c>
      <c r="B27" s="109" t="s">
        <v>763</v>
      </c>
      <c r="C27" s="110"/>
      <c r="D27" s="110"/>
      <c r="E27" s="111"/>
    </row>
    <row r="28" spans="1:5" ht="20.399999999999999" customHeight="1">
      <c r="A28" s="18" t="s">
        <v>764</v>
      </c>
      <c r="B28" s="19">
        <v>29.978000000000002</v>
      </c>
      <c r="C28" s="20" t="s">
        <v>765</v>
      </c>
      <c r="D28" s="19">
        <v>31.048999999999999</v>
      </c>
    </row>
    <row r="29" spans="1:5" ht="20.399999999999999" customHeight="1">
      <c r="A29" s="18" t="s">
        <v>766</v>
      </c>
      <c r="B29" s="26">
        <v>5838654.8822859898</v>
      </c>
    </row>
    <row r="30" spans="1:5" ht="27" customHeight="1">
      <c r="A30" s="24" t="s">
        <v>767</v>
      </c>
      <c r="B30" s="45">
        <v>23583.449837021941</v>
      </c>
      <c r="C30" s="24" t="s">
        <v>768</v>
      </c>
      <c r="D30" s="45">
        <v>4716689.9674043888</v>
      </c>
    </row>
    <row r="33" spans="1:10" ht="21.6" customHeight="1">
      <c r="A33" s="112" t="s">
        <v>769</v>
      </c>
      <c r="B33" s="113"/>
      <c r="C33" s="113"/>
      <c r="D33" s="113"/>
      <c r="E33" s="114"/>
    </row>
    <row r="34" spans="1:10" ht="25.05" customHeight="1">
      <c r="A34" s="109" t="s">
        <v>770</v>
      </c>
      <c r="B34" s="158"/>
      <c r="C34" s="158"/>
      <c r="D34" s="158"/>
      <c r="E34" s="159"/>
    </row>
    <row r="35" spans="1:10" ht="25.05" customHeight="1">
      <c r="A35" s="163"/>
      <c r="B35" s="119"/>
      <c r="C35" s="119"/>
      <c r="D35" s="119"/>
      <c r="E35" s="164"/>
    </row>
    <row r="36" spans="1:10" ht="25.05" customHeight="1">
      <c r="A36" s="160"/>
      <c r="B36" s="161"/>
      <c r="C36" s="161"/>
      <c r="D36" s="161"/>
      <c r="E36" s="162"/>
    </row>
    <row r="37" spans="1:10">
      <c r="J37" s="20" t="s">
        <v>771</v>
      </c>
    </row>
    <row r="64" spans="1:1">
      <c r="A64" s="30" t="s">
        <v>772</v>
      </c>
    </row>
    <row r="65" spans="1:10">
      <c r="A65" s="30" t="s">
        <v>412</v>
      </c>
      <c r="B65" s="20" t="s">
        <v>773</v>
      </c>
      <c r="C65" s="20" t="s">
        <v>774</v>
      </c>
      <c r="D65" s="20" t="s">
        <v>447</v>
      </c>
      <c r="E65" s="20" t="s">
        <v>775</v>
      </c>
    </row>
    <row r="66" spans="1:10">
      <c r="A66" s="19">
        <v>1</v>
      </c>
      <c r="B66" s="19">
        <v>30.012466</v>
      </c>
      <c r="C66" s="19">
        <v>31.482149</v>
      </c>
      <c r="D66" s="26">
        <v>31434</v>
      </c>
      <c r="E66" s="19" t="str">
        <f>IF(D66&gt;0,D66/33262*100,0)&amp;"%"</f>
        <v>94.5042390716133%</v>
      </c>
    </row>
    <row r="67" spans="1:10">
      <c r="A67" s="19">
        <v>2</v>
      </c>
      <c r="B67" s="19">
        <v>30.015587</v>
      </c>
      <c r="C67" s="19">
        <v>31.478840999999999</v>
      </c>
      <c r="D67" s="26">
        <v>35631</v>
      </c>
      <c r="E67" s="19" t="str">
        <f>IF(D67&gt;0,D67/33262*100,0)&amp;"%"</f>
        <v>107.122241597018%</v>
      </c>
    </row>
    <row r="68" spans="1:10" ht="24" customHeight="1">
      <c r="A68" s="112" t="s">
        <v>776</v>
      </c>
      <c r="B68" s="113"/>
      <c r="C68" s="113"/>
      <c r="D68" s="113"/>
      <c r="E68" s="113"/>
      <c r="F68" s="113"/>
      <c r="G68" s="113"/>
      <c r="H68" s="113"/>
      <c r="I68" s="114"/>
    </row>
    <row r="69" spans="1:10" ht="37.950000000000003" customHeight="1">
      <c r="A69" s="145" t="str">
        <f>"الموقع الجغرافي: "&amp;'الافتراضات والمدخلات'!B13&amp;". الإحداثيات: خط عرض "&amp;TEXT(B4,"0.0000")&amp;"، خط طول "&amp;TEXT(B5,"0.0000")&amp;". دائرة التأثير السعري ≈ 1.5 كم."</f>
        <v>الموقع الجغرافي: التجمع الخامس. الإحداثيات: خط عرض 30.0131، خط طول 31.4913. دائرة التأثير السعري ≈ 1.5 كم.</v>
      </c>
      <c r="B69" s="110"/>
      <c r="C69" s="110"/>
      <c r="D69" s="110"/>
      <c r="E69" s="110"/>
      <c r="F69" s="110"/>
      <c r="G69" s="110"/>
      <c r="H69" s="110"/>
      <c r="I69" s="111"/>
    </row>
    <row r="70" spans="1:10" ht="37.950000000000003" customHeight="1">
      <c r="A70" s="109" t="s">
        <v>777</v>
      </c>
      <c r="B70" s="110"/>
      <c r="C70" s="110"/>
      <c r="D70" s="110"/>
      <c r="E70" s="110"/>
      <c r="F70" s="110"/>
      <c r="G70" s="110"/>
      <c r="H70" s="110"/>
      <c r="I70" s="111"/>
    </row>
    <row r="71" spans="1:10" ht="37.950000000000003" customHeight="1">
      <c r="A71" s="109" t="s">
        <v>778</v>
      </c>
      <c r="B71" s="110"/>
      <c r="C71" s="110"/>
      <c r="D71" s="110"/>
      <c r="E71" s="110"/>
      <c r="F71" s="110"/>
      <c r="G71" s="110"/>
      <c r="H71" s="110"/>
      <c r="I71" s="111"/>
    </row>
    <row r="72" spans="1:10" ht="37.950000000000003" customHeight="1">
      <c r="A72" s="109" t="s">
        <v>779</v>
      </c>
      <c r="B72" s="110"/>
      <c r="C72" s="110"/>
      <c r="D72" s="110"/>
      <c r="E72" s="110"/>
      <c r="F72" s="110"/>
      <c r="G72" s="110"/>
      <c r="H72" s="110"/>
      <c r="I72" s="111"/>
    </row>
    <row r="76" spans="1:10" ht="36" customHeight="1">
      <c r="A76" s="174" t="s">
        <v>780</v>
      </c>
      <c r="B76" s="119"/>
      <c r="C76" s="119"/>
      <c r="D76" s="119"/>
      <c r="E76" s="119"/>
      <c r="F76" s="119"/>
      <c r="G76" s="119"/>
      <c r="H76" s="119"/>
      <c r="I76" s="119"/>
      <c r="J76" s="119"/>
    </row>
    <row r="80" spans="1:10" ht="43.95" customHeight="1">
      <c r="A80" s="187" t="s">
        <v>781</v>
      </c>
      <c r="B80" s="116"/>
      <c r="C80" s="116"/>
      <c r="D80" s="116"/>
      <c r="E80" s="116"/>
      <c r="F80" s="116"/>
      <c r="G80" s="116"/>
      <c r="H80" s="116"/>
      <c r="I80" s="116"/>
      <c r="J80" s="116"/>
    </row>
    <row r="82" spans="1:10" ht="31.95" customHeight="1">
      <c r="A82" s="186" t="s">
        <v>782</v>
      </c>
      <c r="B82" s="119"/>
      <c r="C82" s="119"/>
      <c r="D82" s="119"/>
      <c r="E82" s="119"/>
      <c r="F82" s="119"/>
      <c r="G82" s="119"/>
      <c r="H82" s="119"/>
      <c r="I82" s="119"/>
      <c r="J82" s="119"/>
    </row>
    <row r="130" spans="1:10" ht="31.95" customHeight="1">
      <c r="A130" s="165" t="s">
        <v>783</v>
      </c>
      <c r="B130" s="119"/>
      <c r="C130" s="119"/>
      <c r="D130" s="119"/>
      <c r="E130" s="119"/>
      <c r="F130" s="119"/>
      <c r="G130" s="119"/>
      <c r="H130" s="119"/>
      <c r="I130" s="119"/>
      <c r="J130" s="119"/>
    </row>
    <row r="134" spans="1:10" ht="40.049999999999997" customHeight="1">
      <c r="A134" s="172" t="s">
        <v>784</v>
      </c>
      <c r="B134" s="116"/>
      <c r="C134" s="116"/>
      <c r="D134" s="116"/>
      <c r="E134" s="116"/>
      <c r="F134" s="116"/>
      <c r="G134" s="116"/>
      <c r="H134" s="116"/>
    </row>
    <row r="136" spans="1:10" ht="31.95" customHeight="1">
      <c r="A136" s="165" t="s">
        <v>471</v>
      </c>
      <c r="B136" s="119"/>
      <c r="C136" s="119"/>
      <c r="D136" s="119"/>
      <c r="E136" s="119"/>
      <c r="F136" s="119"/>
      <c r="G136" s="119"/>
      <c r="H136" s="119"/>
    </row>
    <row r="137" spans="1:10" ht="25.95" customHeight="1">
      <c r="A137" s="167" t="s">
        <v>785</v>
      </c>
      <c r="B137" s="110"/>
      <c r="C137" s="110"/>
      <c r="D137" s="110"/>
      <c r="E137" s="110"/>
      <c r="F137" s="110"/>
      <c r="G137" s="110"/>
      <c r="H137" s="111"/>
    </row>
    <row r="138" spans="1:10" ht="25.95" customHeight="1">
      <c r="A138" s="170" t="s">
        <v>786</v>
      </c>
      <c r="B138" s="110"/>
      <c r="C138" s="110"/>
      <c r="D138" s="110"/>
      <c r="E138" s="110"/>
      <c r="F138" s="110"/>
      <c r="G138" s="110"/>
      <c r="H138" s="111"/>
    </row>
    <row r="139" spans="1:10" ht="25.95" customHeight="1">
      <c r="A139" s="167" t="s">
        <v>787</v>
      </c>
      <c r="B139" s="110"/>
      <c r="C139" s="110"/>
      <c r="D139" s="110"/>
      <c r="E139" s="110"/>
      <c r="F139" s="110"/>
      <c r="G139" s="110"/>
      <c r="H139" s="111"/>
    </row>
    <row r="140" spans="1:10" ht="25.95" customHeight="1">
      <c r="A140" s="170" t="s">
        <v>788</v>
      </c>
      <c r="B140" s="110"/>
      <c r="C140" s="110"/>
      <c r="D140" s="110"/>
      <c r="E140" s="110"/>
      <c r="F140" s="110"/>
      <c r="G140" s="110"/>
      <c r="H140" s="111"/>
    </row>
    <row r="141" spans="1:10" ht="25.95" customHeight="1">
      <c r="A141" s="167" t="s">
        <v>789</v>
      </c>
      <c r="B141" s="110"/>
      <c r="C141" s="110"/>
      <c r="D141" s="110"/>
      <c r="E141" s="110"/>
      <c r="F141" s="110"/>
      <c r="G141" s="110"/>
      <c r="H141" s="111"/>
    </row>
    <row r="143" spans="1:10" ht="31.95" customHeight="1">
      <c r="A143" s="171" t="s">
        <v>481</v>
      </c>
      <c r="B143" s="119"/>
      <c r="C143" s="119"/>
      <c r="D143" s="119"/>
      <c r="E143" s="119"/>
      <c r="F143" s="119"/>
      <c r="G143" s="119"/>
      <c r="H143" s="119"/>
    </row>
    <row r="144" spans="1:10" ht="49.95" customHeight="1">
      <c r="A144" s="169" t="s">
        <v>790</v>
      </c>
      <c r="B144" s="130"/>
      <c r="C144" s="130"/>
      <c r="D144" s="130"/>
      <c r="E144" s="130"/>
      <c r="F144" s="130"/>
      <c r="G144" s="130"/>
      <c r="H144" s="131"/>
    </row>
  </sheetData>
  <mergeCells count="22">
    <mergeCell ref="A144:H144"/>
    <mergeCell ref="A140:H140"/>
    <mergeCell ref="A134:H134"/>
    <mergeCell ref="A70:I70"/>
    <mergeCell ref="A69:I69"/>
    <mergeCell ref="A76:J76"/>
    <mergeCell ref="B27:E27"/>
    <mergeCell ref="A136:H136"/>
    <mergeCell ref="A68:I68"/>
    <mergeCell ref="A26:E26"/>
    <mergeCell ref="A139:H139"/>
    <mergeCell ref="A33:E33"/>
    <mergeCell ref="A80:J80"/>
    <mergeCell ref="A143:H143"/>
    <mergeCell ref="A34:E36"/>
    <mergeCell ref="A138:H138"/>
    <mergeCell ref="A71:I71"/>
    <mergeCell ref="A130:J130"/>
    <mergeCell ref="A137:H137"/>
    <mergeCell ref="A82:J82"/>
    <mergeCell ref="A72:I72"/>
    <mergeCell ref="A141:H141"/>
  </mergeCells>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8"/>
  <dimension ref="A1:I93"/>
  <sheetViews>
    <sheetView rightToLeft="1" topLeftCell="A31" workbookViewId="0">
      <pane ySplit="1" topLeftCell="A2" activePane="bottomLeft" state="frozen"/>
      <selection pane="bottomLeft" activeCell="L38" sqref="L38"/>
    </sheetView>
  </sheetViews>
  <sheetFormatPr defaultRowHeight="14.4"/>
  <cols>
    <col min="1" max="2" width="38" customWidth="1"/>
    <col min="3" max="3" width="30" customWidth="1"/>
    <col min="4" max="4" width="19" customWidth="1"/>
    <col min="5" max="5" width="13" customWidth="1"/>
    <col min="6" max="6" width="16" customWidth="1"/>
    <col min="7" max="7" width="38" customWidth="1"/>
    <col min="8" max="8" width="14" customWidth="1"/>
    <col min="9" max="9" width="23" customWidth="1"/>
  </cols>
  <sheetData>
    <row r="1" spans="1:8" ht="37.950000000000003" customHeight="1">
      <c r="A1" s="153" t="s">
        <v>791</v>
      </c>
      <c r="B1" s="116"/>
      <c r="C1" s="116"/>
      <c r="D1" s="116"/>
      <c r="E1" s="116"/>
      <c r="F1" s="154"/>
    </row>
    <row r="2" spans="1:8" ht="19.95" customHeight="1">
      <c r="A2" s="112" t="s">
        <v>792</v>
      </c>
      <c r="B2" s="113"/>
      <c r="C2" s="113"/>
      <c r="D2" s="113"/>
      <c r="E2" s="113"/>
      <c r="F2" s="114"/>
    </row>
    <row r="4" spans="1:8" ht="21.6" customHeight="1">
      <c r="A4" s="112" t="s">
        <v>375</v>
      </c>
      <c r="B4" s="113"/>
      <c r="C4" s="114"/>
      <c r="D4" s="109" t="s">
        <v>376</v>
      </c>
      <c r="E4" s="110"/>
      <c r="F4" s="111"/>
    </row>
    <row r="5" spans="1:8" ht="20.399999999999999" customHeight="1">
      <c r="A5" s="18" t="s">
        <v>377</v>
      </c>
      <c r="B5" s="27">
        <v>0.91087870000000004</v>
      </c>
    </row>
    <row r="6" spans="1:8" ht="20.399999999999999" customHeight="1">
      <c r="A6" s="18" t="s">
        <v>380</v>
      </c>
      <c r="B6" s="27">
        <v>0.82969999999999999</v>
      </c>
    </row>
    <row r="7" spans="1:8" ht="20.399999999999999" customHeight="1">
      <c r="A7" s="18" t="s">
        <v>381</v>
      </c>
      <c r="B7" s="27">
        <v>0.79769999999999996</v>
      </c>
    </row>
    <row r="8" spans="1:8" ht="20.399999999999999" customHeight="1">
      <c r="A8" s="18" t="s">
        <v>793</v>
      </c>
      <c r="B8" s="26">
        <v>107001.98</v>
      </c>
    </row>
    <row r="9" spans="1:8" ht="20.399999999999999" customHeight="1">
      <c r="A9" s="18" t="s">
        <v>379</v>
      </c>
      <c r="B9" s="25">
        <v>20</v>
      </c>
    </row>
    <row r="11" spans="1:8" ht="21.6" customHeight="1">
      <c r="A11" s="18" t="s">
        <v>382</v>
      </c>
      <c r="B11" s="20" t="s">
        <v>794</v>
      </c>
      <c r="C11" s="20" t="s">
        <v>793</v>
      </c>
      <c r="D11" s="20" t="s">
        <v>384</v>
      </c>
      <c r="E11" s="20" t="s">
        <v>795</v>
      </c>
      <c r="F11" s="20" t="s">
        <v>796</v>
      </c>
      <c r="G11" s="20" t="s">
        <v>797</v>
      </c>
      <c r="H11" s="20" t="s">
        <v>798</v>
      </c>
    </row>
    <row r="12" spans="1:8" ht="20.399999999999999" customHeight="1">
      <c r="A12" s="18" t="s">
        <v>799</v>
      </c>
      <c r="B12" s="26">
        <v>827305.65</v>
      </c>
      <c r="C12" s="26">
        <v>107001.98</v>
      </c>
      <c r="D12" s="20" t="s">
        <v>800</v>
      </c>
      <c r="E12" s="20" t="s">
        <v>800</v>
      </c>
      <c r="F12" s="20" t="s">
        <v>800</v>
      </c>
      <c r="G12" s="19">
        <v>7.7317</v>
      </c>
      <c r="H12" s="20" t="s">
        <v>801</v>
      </c>
    </row>
    <row r="13" spans="1:8" ht="20.399999999999999" customHeight="1">
      <c r="A13" s="18" t="s">
        <v>802</v>
      </c>
      <c r="B13" s="25">
        <v>-146.37</v>
      </c>
      <c r="C13" s="26">
        <v>107001.98</v>
      </c>
      <c r="D13" s="27">
        <v>0.26700000000000002</v>
      </c>
      <c r="E13" s="20" t="s">
        <v>800</v>
      </c>
      <c r="F13" s="20" t="s">
        <v>800</v>
      </c>
      <c r="G13" s="19">
        <v>-1.4E-3</v>
      </c>
      <c r="H13" s="20" t="s">
        <v>803</v>
      </c>
    </row>
    <row r="14" spans="1:8" ht="20.399999999999999" customHeight="1">
      <c r="A14" s="18" t="s">
        <v>804</v>
      </c>
      <c r="B14" s="25">
        <v>-4.4000000000000004</v>
      </c>
      <c r="C14" s="26">
        <v>107001.98</v>
      </c>
      <c r="D14" s="27">
        <v>0.15179999999999999</v>
      </c>
      <c r="E14" s="20" t="s">
        <v>800</v>
      </c>
      <c r="F14" s="20" t="s">
        <v>800</v>
      </c>
      <c r="G14" s="19">
        <v>0</v>
      </c>
      <c r="H14" s="20" t="s">
        <v>803</v>
      </c>
    </row>
    <row r="15" spans="1:8" ht="20.399999999999999" customHeight="1">
      <c r="A15" s="18" t="s">
        <v>805</v>
      </c>
      <c r="B15" s="25">
        <v>-399.5</v>
      </c>
      <c r="C15" s="26">
        <v>107001.98</v>
      </c>
      <c r="D15" s="25">
        <v>0</v>
      </c>
      <c r="E15" s="20" t="s">
        <v>800</v>
      </c>
      <c r="F15" s="20" t="s">
        <v>800</v>
      </c>
      <c r="G15" s="19">
        <v>-3.7000000000000002E-3</v>
      </c>
      <c r="H15" s="20" t="s">
        <v>803</v>
      </c>
    </row>
    <row r="17" spans="1:9" ht="21.6" customHeight="1">
      <c r="A17" s="112" t="s">
        <v>806</v>
      </c>
      <c r="B17" s="113"/>
      <c r="C17" s="114"/>
    </row>
    <row r="18" spans="1:9" ht="20.399999999999999" customHeight="1">
      <c r="A18" s="18" t="s">
        <v>807</v>
      </c>
      <c r="B18" s="19">
        <v>3</v>
      </c>
    </row>
    <row r="19" spans="1:9" ht="20.399999999999999" customHeight="1">
      <c r="A19" s="18" t="s">
        <v>808</v>
      </c>
      <c r="B19" s="19">
        <v>200</v>
      </c>
    </row>
    <row r="20" spans="1:9" ht="20.399999999999999" customHeight="1">
      <c r="A20" s="18" t="s">
        <v>809</v>
      </c>
      <c r="B20" s="26">
        <v>2010</v>
      </c>
    </row>
    <row r="21" spans="1:9" ht="27" customHeight="1">
      <c r="A21" s="24" t="s">
        <v>810</v>
      </c>
      <c r="B21" s="45">
        <v>22984.495381405111</v>
      </c>
      <c r="C21" s="24" t="s">
        <v>768</v>
      </c>
      <c r="D21" s="45">
        <v>4596899.0762810223</v>
      </c>
    </row>
    <row r="25" spans="1:9" ht="21.6" customHeight="1">
      <c r="A25" s="112" t="s">
        <v>811</v>
      </c>
      <c r="B25" s="113"/>
      <c r="C25" s="113"/>
      <c r="D25" s="113"/>
      <c r="E25" s="113"/>
      <c r="F25" s="114"/>
    </row>
    <row r="26" spans="1:9" ht="21.6" customHeight="1">
      <c r="A26" s="18" t="s">
        <v>412</v>
      </c>
      <c r="B26" s="20" t="s">
        <v>354</v>
      </c>
      <c r="C26" s="20" t="s">
        <v>344</v>
      </c>
      <c r="D26" s="20" t="s">
        <v>812</v>
      </c>
      <c r="E26" s="20" t="s">
        <v>30</v>
      </c>
      <c r="F26" s="20" t="s">
        <v>813</v>
      </c>
      <c r="G26" s="20" t="s">
        <v>814</v>
      </c>
      <c r="H26" s="20" t="s">
        <v>815</v>
      </c>
      <c r="I26" s="20" t="s">
        <v>816</v>
      </c>
    </row>
    <row r="27" spans="1:9" ht="20.399999999999999" customHeight="1">
      <c r="A27" s="19">
        <v>1</v>
      </c>
      <c r="B27" s="20" t="s">
        <v>358</v>
      </c>
      <c r="C27" s="19">
        <v>1</v>
      </c>
      <c r="D27" s="25">
        <v>72</v>
      </c>
      <c r="E27" s="26">
        <v>2016</v>
      </c>
      <c r="F27" s="26">
        <v>21956</v>
      </c>
      <c r="G27" s="19">
        <f t="shared" ref="G27:G46" si="0">827305.65+(-146.37)*C27+(-4.4)*D27+(-399.5)*E27</f>
        <v>21450.479999999981</v>
      </c>
      <c r="H27" s="19">
        <f t="shared" ref="H27:H46" si="1">F27-G27</f>
        <v>505.52000000001863</v>
      </c>
      <c r="I27" s="19">
        <f t="shared" ref="I27:I46" si="2">IF(F27&gt;0,G27/F27,"")</f>
        <v>0.97697576972125988</v>
      </c>
    </row>
    <row r="28" spans="1:9" ht="20.399999999999999" customHeight="1">
      <c r="A28" s="19">
        <v>2</v>
      </c>
      <c r="B28" s="20" t="s">
        <v>359</v>
      </c>
      <c r="C28" s="19">
        <v>1</v>
      </c>
      <c r="D28" s="25">
        <v>71</v>
      </c>
      <c r="E28" s="26">
        <v>2016</v>
      </c>
      <c r="F28" s="26">
        <v>22000</v>
      </c>
      <c r="G28" s="19">
        <f t="shared" si="0"/>
        <v>21454.880000000005</v>
      </c>
      <c r="H28" s="19">
        <f t="shared" si="1"/>
        <v>545.11999999999534</v>
      </c>
      <c r="I28" s="19">
        <f t="shared" si="2"/>
        <v>0.97522181818181841</v>
      </c>
    </row>
    <row r="29" spans="1:9" ht="20.399999999999999" customHeight="1">
      <c r="A29" s="19">
        <v>3</v>
      </c>
      <c r="B29" s="20" t="s">
        <v>360</v>
      </c>
      <c r="C29" s="19">
        <v>2</v>
      </c>
      <c r="D29" s="25">
        <v>72</v>
      </c>
      <c r="E29" s="26">
        <v>2016</v>
      </c>
      <c r="F29" s="26">
        <v>21885</v>
      </c>
      <c r="G29" s="19">
        <f t="shared" si="0"/>
        <v>21304.109999999986</v>
      </c>
      <c r="H29" s="19">
        <f t="shared" si="1"/>
        <v>580.89000000001397</v>
      </c>
      <c r="I29" s="19">
        <f t="shared" si="2"/>
        <v>0.97345716244002678</v>
      </c>
    </row>
    <row r="30" spans="1:9" ht="20.399999999999999" customHeight="1">
      <c r="A30" s="19">
        <v>4</v>
      </c>
      <c r="B30" s="20" t="s">
        <v>361</v>
      </c>
      <c r="C30" s="19">
        <v>3</v>
      </c>
      <c r="D30" s="25">
        <v>92</v>
      </c>
      <c r="E30" s="26">
        <v>2017</v>
      </c>
      <c r="F30" s="26">
        <v>21436</v>
      </c>
      <c r="G30" s="19">
        <f t="shared" si="0"/>
        <v>20670.239999999991</v>
      </c>
      <c r="H30" s="19">
        <f t="shared" si="1"/>
        <v>765.76000000000931</v>
      </c>
      <c r="I30" s="19">
        <f t="shared" si="2"/>
        <v>0.96427691733532328</v>
      </c>
    </row>
    <row r="31" spans="1:9" ht="20.399999999999999" customHeight="1">
      <c r="A31" s="19">
        <v>5</v>
      </c>
      <c r="B31" s="20" t="s">
        <v>362</v>
      </c>
      <c r="C31" s="19">
        <v>4</v>
      </c>
      <c r="D31" s="25">
        <v>92</v>
      </c>
      <c r="E31" s="26">
        <v>2017</v>
      </c>
      <c r="F31" s="26">
        <v>21368</v>
      </c>
      <c r="G31" s="19">
        <f t="shared" si="0"/>
        <v>20523.869999999995</v>
      </c>
      <c r="H31" s="19">
        <f t="shared" si="1"/>
        <v>844.13000000000466</v>
      </c>
      <c r="I31" s="19">
        <f t="shared" si="2"/>
        <v>0.96049560089853969</v>
      </c>
    </row>
    <row r="32" spans="1:9" ht="20.399999999999999" customHeight="1">
      <c r="A32" s="19">
        <v>6</v>
      </c>
      <c r="B32" s="20" t="s">
        <v>363</v>
      </c>
      <c r="C32" s="19">
        <v>8</v>
      </c>
      <c r="D32" s="25">
        <v>297</v>
      </c>
      <c r="E32" s="26">
        <v>2000</v>
      </c>
      <c r="F32" s="26">
        <v>26208</v>
      </c>
      <c r="G32" s="19">
        <f t="shared" si="0"/>
        <v>25827.890000000014</v>
      </c>
      <c r="H32" s="19">
        <f t="shared" si="1"/>
        <v>380.10999999998603</v>
      </c>
      <c r="I32" s="19">
        <f t="shared" si="2"/>
        <v>0.9854964133089138</v>
      </c>
    </row>
    <row r="33" spans="1:9" ht="20.399999999999999" customHeight="1">
      <c r="A33" s="19">
        <v>7</v>
      </c>
      <c r="B33" s="20" t="s">
        <v>364</v>
      </c>
      <c r="C33" s="19">
        <v>9</v>
      </c>
      <c r="D33" s="25">
        <v>417</v>
      </c>
      <c r="E33" s="26">
        <v>2000</v>
      </c>
      <c r="F33" s="26">
        <v>25773</v>
      </c>
      <c r="G33" s="19">
        <f t="shared" si="0"/>
        <v>25153.520000000019</v>
      </c>
      <c r="H33" s="19">
        <f t="shared" si="1"/>
        <v>619.47999999998137</v>
      </c>
      <c r="I33" s="19">
        <f t="shared" si="2"/>
        <v>0.97596399332634998</v>
      </c>
    </row>
    <row r="34" spans="1:9" ht="20.399999999999999" customHeight="1">
      <c r="A34" s="19">
        <v>8</v>
      </c>
      <c r="B34" s="20" t="s">
        <v>365</v>
      </c>
      <c r="C34" s="19">
        <v>1</v>
      </c>
      <c r="D34" s="25">
        <v>372</v>
      </c>
      <c r="E34" s="26">
        <v>2000</v>
      </c>
      <c r="F34" s="26">
        <v>26855</v>
      </c>
      <c r="G34" s="19">
        <f t="shared" si="0"/>
        <v>26522.479999999981</v>
      </c>
      <c r="H34" s="19">
        <f t="shared" si="1"/>
        <v>332.52000000001863</v>
      </c>
      <c r="I34" s="19">
        <f t="shared" si="2"/>
        <v>0.98761794824055038</v>
      </c>
    </row>
    <row r="35" spans="1:9" ht="20.399999999999999" customHeight="1">
      <c r="A35" s="19">
        <v>9</v>
      </c>
      <c r="B35" s="20" t="s">
        <v>366</v>
      </c>
      <c r="C35" s="19">
        <v>5</v>
      </c>
      <c r="D35" s="25">
        <v>331</v>
      </c>
      <c r="E35" s="26">
        <v>2000</v>
      </c>
      <c r="F35" s="26">
        <v>26925</v>
      </c>
      <c r="G35" s="19">
        <f t="shared" si="0"/>
        <v>26117.400000000023</v>
      </c>
      <c r="H35" s="19">
        <f t="shared" si="1"/>
        <v>807.59999999997672</v>
      </c>
      <c r="I35" s="19">
        <f t="shared" si="2"/>
        <v>0.97000557103064156</v>
      </c>
    </row>
    <row r="36" spans="1:9" ht="20.399999999999999" customHeight="1">
      <c r="A36" s="19">
        <v>10</v>
      </c>
      <c r="B36" s="20" t="s">
        <v>367</v>
      </c>
      <c r="C36" s="19">
        <v>5</v>
      </c>
      <c r="D36" s="25">
        <v>67</v>
      </c>
      <c r="E36" s="26">
        <v>2007</v>
      </c>
      <c r="F36" s="26">
        <v>23584</v>
      </c>
      <c r="G36" s="19">
        <f t="shared" si="0"/>
        <v>24482.5</v>
      </c>
      <c r="H36" s="19">
        <f t="shared" si="1"/>
        <v>-898.5</v>
      </c>
      <c r="I36" s="19">
        <f t="shared" si="2"/>
        <v>1.0380978629579376</v>
      </c>
    </row>
    <row r="37" spans="1:9" ht="20.399999999999999" customHeight="1">
      <c r="A37" s="19">
        <v>11</v>
      </c>
      <c r="B37" s="20" t="s">
        <v>368</v>
      </c>
      <c r="C37" s="19">
        <v>1</v>
      </c>
      <c r="D37" s="25">
        <v>67</v>
      </c>
      <c r="E37" s="26">
        <v>2007</v>
      </c>
      <c r="F37" s="26">
        <v>24303</v>
      </c>
      <c r="G37" s="19">
        <f t="shared" si="0"/>
        <v>25067.979999999981</v>
      </c>
      <c r="H37" s="19">
        <f t="shared" si="1"/>
        <v>-764.97999999998137</v>
      </c>
      <c r="I37" s="19">
        <f t="shared" si="2"/>
        <v>1.0314767724149274</v>
      </c>
    </row>
    <row r="38" spans="1:9" ht="20.399999999999999" customHeight="1">
      <c r="A38" s="19">
        <v>12</v>
      </c>
      <c r="B38" s="20" t="s">
        <v>369</v>
      </c>
      <c r="C38" s="19">
        <v>1</v>
      </c>
      <c r="D38" s="25">
        <v>67</v>
      </c>
      <c r="E38" s="26">
        <v>2007</v>
      </c>
      <c r="F38" s="26">
        <v>24849</v>
      </c>
      <c r="G38" s="19">
        <f t="shared" si="0"/>
        <v>25067.979999999981</v>
      </c>
      <c r="H38" s="19">
        <f t="shared" si="1"/>
        <v>-218.97999999998137</v>
      </c>
      <c r="I38" s="19">
        <f t="shared" si="2"/>
        <v>1.0088124270594383</v>
      </c>
    </row>
    <row r="39" spans="1:9" ht="20.399999999999999" customHeight="1">
      <c r="A39" s="19">
        <v>13</v>
      </c>
      <c r="B39" s="20" t="s">
        <v>370</v>
      </c>
      <c r="C39" s="19">
        <v>4</v>
      </c>
      <c r="D39" s="25">
        <v>72</v>
      </c>
      <c r="E39" s="26">
        <v>2016</v>
      </c>
      <c r="F39" s="26">
        <v>21749</v>
      </c>
      <c r="G39" s="19">
        <f t="shared" si="0"/>
        <v>21011.369999999995</v>
      </c>
      <c r="H39" s="19">
        <f t="shared" si="1"/>
        <v>737.63000000000466</v>
      </c>
      <c r="I39" s="19">
        <f t="shared" si="2"/>
        <v>0.96608441767437558</v>
      </c>
    </row>
    <row r="40" spans="1:9" ht="20.399999999999999" customHeight="1">
      <c r="A40" s="19">
        <v>14</v>
      </c>
      <c r="B40" s="20" t="s">
        <v>371</v>
      </c>
      <c r="C40" s="19">
        <v>1</v>
      </c>
      <c r="D40" s="25">
        <v>70</v>
      </c>
      <c r="E40" s="26">
        <v>2017</v>
      </c>
      <c r="F40" s="26">
        <v>21617</v>
      </c>
      <c r="G40" s="19">
        <f t="shared" si="0"/>
        <v>21059.780000000028</v>
      </c>
      <c r="H40" s="19">
        <f t="shared" si="1"/>
        <v>557.21999999997206</v>
      </c>
      <c r="I40" s="19">
        <f t="shared" si="2"/>
        <v>0.97422306518018353</v>
      </c>
    </row>
    <row r="41" spans="1:9" ht="20.399999999999999" customHeight="1">
      <c r="A41" s="19">
        <v>15</v>
      </c>
      <c r="B41" s="20" t="s">
        <v>372</v>
      </c>
      <c r="C41" s="19">
        <v>5</v>
      </c>
      <c r="D41" s="25">
        <v>312</v>
      </c>
      <c r="E41" s="26">
        <v>2013</v>
      </c>
      <c r="F41" s="26">
        <v>17505</v>
      </c>
      <c r="G41" s="19">
        <f t="shared" si="0"/>
        <v>21007.5</v>
      </c>
      <c r="H41" s="19">
        <f t="shared" si="1"/>
        <v>-3502.5</v>
      </c>
      <c r="I41" s="19">
        <f t="shared" si="2"/>
        <v>1.2000856898029135</v>
      </c>
    </row>
    <row r="42" spans="1:9" ht="20.399999999999999" customHeight="1">
      <c r="A42" s="19">
        <v>16</v>
      </c>
      <c r="B42" s="20" t="s">
        <v>756</v>
      </c>
      <c r="C42" s="19">
        <v>1</v>
      </c>
      <c r="D42" s="25">
        <v>224</v>
      </c>
      <c r="E42" s="26">
        <v>2000</v>
      </c>
      <c r="F42" s="26">
        <v>27392</v>
      </c>
      <c r="G42" s="19">
        <f t="shared" si="0"/>
        <v>27173.680000000051</v>
      </c>
      <c r="H42" s="19">
        <f t="shared" si="1"/>
        <v>218.31999999994878</v>
      </c>
      <c r="I42" s="19">
        <f t="shared" si="2"/>
        <v>0.99202978971962807</v>
      </c>
    </row>
    <row r="43" spans="1:9" ht="20.399999999999999" customHeight="1">
      <c r="A43" s="19">
        <v>17</v>
      </c>
      <c r="B43" s="20" t="s">
        <v>757</v>
      </c>
      <c r="C43" s="19">
        <v>7</v>
      </c>
      <c r="D43" s="25">
        <v>533</v>
      </c>
      <c r="E43" s="26">
        <v>2000</v>
      </c>
      <c r="F43" s="26">
        <v>25247</v>
      </c>
      <c r="G43" s="19">
        <f t="shared" si="0"/>
        <v>24935.860000000102</v>
      </c>
      <c r="H43" s="19">
        <f t="shared" si="1"/>
        <v>311.13999999989755</v>
      </c>
      <c r="I43" s="19">
        <f t="shared" si="2"/>
        <v>0.98767615954371224</v>
      </c>
    </row>
    <row r="44" spans="1:9" ht="20.399999999999999" customHeight="1">
      <c r="A44" s="19">
        <v>18</v>
      </c>
      <c r="B44" s="20" t="s">
        <v>758</v>
      </c>
      <c r="C44" s="19">
        <v>1</v>
      </c>
      <c r="D44" s="25">
        <v>67</v>
      </c>
      <c r="E44" s="26">
        <v>2009</v>
      </c>
      <c r="F44" s="26">
        <v>23273</v>
      </c>
      <c r="G44" s="19">
        <f t="shared" si="0"/>
        <v>24268.979999999981</v>
      </c>
      <c r="H44" s="19">
        <f t="shared" si="1"/>
        <v>-995.97999999998137</v>
      </c>
      <c r="I44" s="19">
        <f t="shared" si="2"/>
        <v>1.0427955141150682</v>
      </c>
    </row>
    <row r="45" spans="1:9" ht="20.399999999999999" customHeight="1">
      <c r="A45" s="19">
        <v>19</v>
      </c>
      <c r="B45" s="20" t="s">
        <v>759</v>
      </c>
      <c r="C45" s="19">
        <v>4</v>
      </c>
      <c r="D45" s="25">
        <v>67</v>
      </c>
      <c r="E45" s="26">
        <v>2009</v>
      </c>
      <c r="F45" s="26">
        <v>23067</v>
      </c>
      <c r="G45" s="19">
        <f t="shared" si="0"/>
        <v>23829.869999999995</v>
      </c>
      <c r="H45" s="19">
        <f t="shared" si="1"/>
        <v>-762.86999999999534</v>
      </c>
      <c r="I45" s="19">
        <f t="shared" si="2"/>
        <v>1.033071920925998</v>
      </c>
    </row>
    <row r="46" spans="1:9" ht="20.399999999999999" customHeight="1">
      <c r="A46" s="19">
        <v>20</v>
      </c>
      <c r="B46" s="20" t="s">
        <v>760</v>
      </c>
      <c r="C46" s="19">
        <v>1</v>
      </c>
      <c r="D46" s="25">
        <v>110</v>
      </c>
      <c r="E46" s="26">
        <v>2007</v>
      </c>
      <c r="F46" s="26">
        <v>24677</v>
      </c>
      <c r="G46" s="19">
        <f t="shared" si="0"/>
        <v>24878.780000000028</v>
      </c>
      <c r="H46" s="19">
        <f t="shared" si="1"/>
        <v>-201.78000000002794</v>
      </c>
      <c r="I46" s="19">
        <f t="shared" si="2"/>
        <v>1.0081768448352728</v>
      </c>
    </row>
    <row r="49" spans="1:3" ht="27.6">
      <c r="A49" s="30" t="s">
        <v>817</v>
      </c>
    </row>
    <row r="50" spans="1:3">
      <c r="A50" s="30" t="s">
        <v>818</v>
      </c>
      <c r="B50" s="19">
        <v>995</v>
      </c>
      <c r="C50" s="20" t="s">
        <v>819</v>
      </c>
    </row>
    <row r="51" spans="1:3">
      <c r="A51" s="30" t="s">
        <v>820</v>
      </c>
      <c r="B51" s="19">
        <v>727.6</v>
      </c>
      <c r="C51" s="20" t="s">
        <v>819</v>
      </c>
    </row>
    <row r="52" spans="1:3">
      <c r="A52" s="30" t="s">
        <v>821</v>
      </c>
      <c r="B52" s="19">
        <v>25.98</v>
      </c>
      <c r="C52" s="20" t="s">
        <v>822</v>
      </c>
    </row>
    <row r="53" spans="1:3">
      <c r="A53" s="30" t="s">
        <v>823</v>
      </c>
      <c r="B53" s="19">
        <v>3.24</v>
      </c>
    </row>
    <row r="54" spans="1:3">
      <c r="A54" s="30" t="s">
        <v>824</v>
      </c>
      <c r="B54" s="20" t="s">
        <v>825</v>
      </c>
    </row>
    <row r="55" spans="1:3" ht="15.6">
      <c r="A55" s="18" t="s">
        <v>826</v>
      </c>
    </row>
    <row r="56" spans="1:3">
      <c r="A56" s="30" t="s">
        <v>827</v>
      </c>
    </row>
    <row r="57" spans="1:3">
      <c r="A57" s="30" t="s">
        <v>828</v>
      </c>
      <c r="B57" s="19">
        <f>AVERAGE(I27:I46)</f>
        <v>1.0026020829356439</v>
      </c>
      <c r="C57" s="20" t="s">
        <v>829</v>
      </c>
    </row>
    <row r="58" spans="1:3">
      <c r="A58" s="30" t="s">
        <v>830</v>
      </c>
      <c r="B58" s="19">
        <f>MEDIAN(I27:I46)</f>
        <v>0.98655718077473209</v>
      </c>
    </row>
    <row r="59" spans="1:3">
      <c r="A59" s="30" t="s">
        <v>831</v>
      </c>
      <c r="B59" s="19">
        <f>SUM(G27:G46)/SUM(F27:F46)</f>
        <v>1.0002971363392552</v>
      </c>
    </row>
    <row r="60" spans="1:3">
      <c r="A60" s="30" t="s">
        <v>832</v>
      </c>
      <c r="B60" s="19">
        <f>IF(B59=0,"",B57/B59)</f>
        <v>1.0023042619164382</v>
      </c>
      <c r="C60" s="20" t="s">
        <v>833</v>
      </c>
    </row>
    <row r="61" spans="1:3">
      <c r="A61" s="30" t="s">
        <v>834</v>
      </c>
      <c r="B61" s="19" t="str">
        <f>IF(AND(B60&gt;=0.98,B60&lt;=1.03),"✓ Acceptable","✗ Review")</f>
        <v>✓ Acceptable</v>
      </c>
    </row>
    <row r="62" spans="1:3" ht="15.6">
      <c r="A62" s="18" t="s">
        <v>826</v>
      </c>
    </row>
    <row r="63" spans="1:3" ht="27.6">
      <c r="A63" s="30" t="s">
        <v>835</v>
      </c>
    </row>
    <row r="64" spans="1:3">
      <c r="A64" s="30" t="s">
        <v>836</v>
      </c>
      <c r="B64" s="19">
        <f>MEDIAN(I27:I46)</f>
        <v>0.98655718077473209</v>
      </c>
    </row>
    <row r="65" spans="1:9">
      <c r="A65" s="30" t="s">
        <v>837</v>
      </c>
      <c r="B65" s="19">
        <f>IFERROR(AVERAGE(ABS(I27:I46-B64))/B64*100,0)</f>
        <v>0</v>
      </c>
      <c r="C65" s="20" t="s">
        <v>838</v>
      </c>
    </row>
    <row r="66" spans="1:9">
      <c r="A66" s="30" t="s">
        <v>839</v>
      </c>
      <c r="B66" s="19" t="str">
        <f>IF(B65&lt;=10,"✓ Excellent",IF(B65&lt;=15,"✓ Acceptable","✗ High"))</f>
        <v>✓ Excellent</v>
      </c>
    </row>
    <row r="70" spans="1:9" ht="24" customHeight="1">
      <c r="A70" s="112" t="s">
        <v>840</v>
      </c>
      <c r="B70" s="113"/>
      <c r="C70" s="113"/>
      <c r="D70" s="113"/>
      <c r="E70" s="113"/>
      <c r="F70" s="113"/>
      <c r="G70" s="113"/>
      <c r="H70" s="113"/>
      <c r="I70" s="114"/>
    </row>
    <row r="71" spans="1:9" ht="37.950000000000003" customHeight="1">
      <c r="A71" s="145" t="str">
        <f>"نموذج الانحدار يُفسر "&amp;TEXT('الانحدار المتعدد'!B6,"0.0%")&amp;" من تباين الأسعار (R²). كلما اقترب من 100%، كلما كان النموذج أدق في تفسير قوى السوق."</f>
        <v>نموذج الانحدار يُفسر 83.0% من تباين الأسعار (R²). كلما اقترب من 100%، كلما كان النموذج أدق في تفسير قوى السوق.</v>
      </c>
      <c r="B71" s="110"/>
      <c r="C71" s="110"/>
      <c r="D71" s="110"/>
      <c r="E71" s="110"/>
      <c r="F71" s="110"/>
      <c r="G71" s="110"/>
      <c r="H71" s="110"/>
      <c r="I71" s="111"/>
    </row>
    <row r="72" spans="1:9" ht="37.950000000000003" customHeight="1">
      <c r="A72" s="145" t="str">
        <f>"السعر المُقدَّر للعقار الحالي وفق النموذج: "&amp;TEXT('الانحدار المتعدد'!G27,"#,##0")&amp;" EGP/م². "&amp;IF('الانحدار المتعدد'!B54="✓ نعم","النموذج ذو دلالة إحصائية — يُعتمد عليه.","النموذج يحتاج مراجعة — قد تكون هناك متغيرات مفقودة.")</f>
        <v>السعر المُقدَّر للعقار الحالي وفق النموذج: 21,450 EGP/م². النموذج ذو دلالة إحصائية — يُعتمد عليه.</v>
      </c>
      <c r="B72" s="110"/>
      <c r="C72" s="110"/>
      <c r="D72" s="110"/>
      <c r="E72" s="110"/>
      <c r="F72" s="110"/>
      <c r="G72" s="110"/>
      <c r="H72" s="110"/>
      <c r="I72" s="111"/>
    </row>
    <row r="73" spans="1:9" ht="37.950000000000003" customHeight="1">
      <c r="A73" s="145" t="str">
        <f>"معيار IAAO للتوحيد: COD = "&amp;TEXT('الانحدار المتعدد'!B65,"0.00")&amp;"%. "&amp;IF('الانحدار المتعدد'!B65&lt;=10,"✓ ممتاز (≤10%).",IF('الانحدار المتعدد'!B65&lt;=15,"✓ مقبول (≤15%).","⚠ مرتفع — تشتت كبير في نسب التقييم."))</f>
        <v>معيار IAAO للتوحيد: COD = 0.00%. ✓ ممتاز (≤10%).</v>
      </c>
      <c r="B73" s="110"/>
      <c r="C73" s="110"/>
      <c r="D73" s="110"/>
      <c r="E73" s="110"/>
      <c r="F73" s="110"/>
      <c r="G73" s="110"/>
      <c r="H73" s="110"/>
      <c r="I73" s="111"/>
    </row>
    <row r="74" spans="1:9" ht="37.950000000000003" customHeight="1">
      <c r="A74" s="109" t="s">
        <v>841</v>
      </c>
      <c r="B74" s="110"/>
      <c r="C74" s="110"/>
      <c r="D74" s="110"/>
      <c r="E74" s="110"/>
      <c r="F74" s="110"/>
      <c r="G74" s="110"/>
      <c r="H74" s="110"/>
      <c r="I74" s="111"/>
    </row>
    <row r="78" spans="1:9" ht="36" customHeight="1">
      <c r="A78" s="174" t="s">
        <v>842</v>
      </c>
      <c r="B78" s="119"/>
      <c r="C78" s="119"/>
      <c r="D78" s="119"/>
      <c r="E78" s="119"/>
      <c r="F78" s="119"/>
      <c r="G78" s="119"/>
      <c r="H78" s="119"/>
      <c r="I78" s="119"/>
    </row>
    <row r="82" spans="1:8" ht="40.049999999999997" customHeight="1">
      <c r="A82" s="172" t="s">
        <v>843</v>
      </c>
      <c r="B82" s="116"/>
      <c r="C82" s="116"/>
      <c r="D82" s="116"/>
      <c r="E82" s="116"/>
      <c r="F82" s="116"/>
      <c r="G82" s="116"/>
      <c r="H82" s="116"/>
    </row>
    <row r="84" spans="1:8" ht="31.95" customHeight="1">
      <c r="A84" s="165" t="s">
        <v>471</v>
      </c>
      <c r="B84" s="119"/>
      <c r="C84" s="119"/>
      <c r="D84" s="119"/>
      <c r="E84" s="119"/>
      <c r="F84" s="119"/>
      <c r="G84" s="119"/>
      <c r="H84" s="119"/>
    </row>
    <row r="85" spans="1:8" ht="25.95" customHeight="1">
      <c r="A85" s="167" t="s">
        <v>844</v>
      </c>
      <c r="B85" s="110"/>
      <c r="C85" s="110"/>
      <c r="D85" s="110"/>
      <c r="E85" s="110"/>
      <c r="F85" s="110"/>
      <c r="G85" s="110"/>
      <c r="H85" s="111"/>
    </row>
    <row r="86" spans="1:8" ht="25.95" customHeight="1">
      <c r="A86" s="170" t="s">
        <v>845</v>
      </c>
      <c r="B86" s="110"/>
      <c r="C86" s="110"/>
      <c r="D86" s="110"/>
      <c r="E86" s="110"/>
      <c r="F86" s="110"/>
      <c r="G86" s="110"/>
      <c r="H86" s="111"/>
    </row>
    <row r="87" spans="1:8" ht="25.95" customHeight="1">
      <c r="A87" s="167" t="s">
        <v>846</v>
      </c>
      <c r="B87" s="110"/>
      <c r="C87" s="110"/>
      <c r="D87" s="110"/>
      <c r="E87" s="110"/>
      <c r="F87" s="110"/>
      <c r="G87" s="110"/>
      <c r="H87" s="111"/>
    </row>
    <row r="88" spans="1:8" ht="25.95" customHeight="1">
      <c r="A88" s="170" t="s">
        <v>847</v>
      </c>
      <c r="B88" s="110"/>
      <c r="C88" s="110"/>
      <c r="D88" s="110"/>
      <c r="E88" s="110"/>
      <c r="F88" s="110"/>
      <c r="G88" s="110"/>
      <c r="H88" s="111"/>
    </row>
    <row r="89" spans="1:8" ht="25.95" customHeight="1">
      <c r="A89" s="167" t="s">
        <v>848</v>
      </c>
      <c r="B89" s="110"/>
      <c r="C89" s="110"/>
      <c r="D89" s="110"/>
      <c r="E89" s="110"/>
      <c r="F89" s="110"/>
      <c r="G89" s="110"/>
      <c r="H89" s="111"/>
    </row>
    <row r="90" spans="1:8" ht="25.95" customHeight="1">
      <c r="A90" s="170" t="s">
        <v>849</v>
      </c>
      <c r="B90" s="110"/>
      <c r="C90" s="110"/>
      <c r="D90" s="110"/>
      <c r="E90" s="110"/>
      <c r="F90" s="110"/>
      <c r="G90" s="110"/>
      <c r="H90" s="111"/>
    </row>
    <row r="92" spans="1:8" ht="31.95" customHeight="1">
      <c r="A92" s="171" t="s">
        <v>481</v>
      </c>
      <c r="B92" s="119"/>
      <c r="C92" s="119"/>
      <c r="D92" s="119"/>
      <c r="E92" s="119"/>
      <c r="F92" s="119"/>
      <c r="G92" s="119"/>
      <c r="H92" s="119"/>
    </row>
    <row r="93" spans="1:8" ht="49.95" customHeight="1">
      <c r="A93" s="169" t="s">
        <v>850</v>
      </c>
      <c r="B93" s="130"/>
      <c r="C93" s="130"/>
      <c r="D93" s="130"/>
      <c r="E93" s="130"/>
      <c r="F93" s="130"/>
      <c r="G93" s="130"/>
      <c r="H93" s="131"/>
    </row>
  </sheetData>
  <mergeCells count="22">
    <mergeCell ref="A73:I73"/>
    <mergeCell ref="A1:F1"/>
    <mergeCell ref="A70:I70"/>
    <mergeCell ref="A93:H93"/>
    <mergeCell ref="A78:I78"/>
    <mergeCell ref="A25:F25"/>
    <mergeCell ref="A92:H92"/>
    <mergeCell ref="A82:H82"/>
    <mergeCell ref="A74:I74"/>
    <mergeCell ref="A88:H88"/>
    <mergeCell ref="A2:F2"/>
    <mergeCell ref="A71:I71"/>
    <mergeCell ref="A87:H87"/>
    <mergeCell ref="D4:F4"/>
    <mergeCell ref="A17:C17"/>
    <mergeCell ref="A90:H90"/>
    <mergeCell ref="A84:H84"/>
    <mergeCell ref="A4:C4"/>
    <mergeCell ref="A89:H89"/>
    <mergeCell ref="A72:I72"/>
    <mergeCell ref="A86:H86"/>
    <mergeCell ref="A85:H85"/>
  </mergeCells>
  <conditionalFormatting sqref="I27:I46">
    <cfRule type="colorScale" priority="1">
      <colorScale>
        <cfvo type="num" val="0.8"/>
        <cfvo type="num" val="1"/>
        <cfvo type="num" val="1.2"/>
        <color rgb="FFC0392B"/>
        <color rgb="FF27AE60"/>
        <color rgb="FFC0392B"/>
      </colorScale>
    </cfRule>
  </conditionalFormatting>
  <conditionalFormatting sqref="F27:F46">
    <cfRule type="colorScale" priority="2">
      <colorScale>
        <cfvo type="min"/>
        <cfvo type="percentile" val="50"/>
        <cfvo type="max"/>
        <color rgb="FFE8F4FD"/>
        <color rgb="FF3498DB"/>
        <color rgb="FF1A5276"/>
      </colorScale>
    </cfRule>
  </conditionalFormatting>
  <conditionalFormatting sqref="G27:G46">
    <cfRule type="colorScale" priority="3">
      <colorScale>
        <cfvo type="min"/>
        <cfvo type="percentile" val="50"/>
        <cfvo type="max"/>
        <color rgb="FFFEF9E7"/>
        <color rgb="FFF39C12"/>
        <color rgb="FF7D6608"/>
      </colorScale>
    </cfRule>
  </conditionalFormatting>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dimension ref="A1:J120"/>
  <sheetViews>
    <sheetView rightToLeft="1" workbookViewId="0">
      <pane ySplit="1" topLeftCell="A2" activePane="bottomLeft" state="frozen"/>
      <selection pane="bottomLeft" activeCell="F1" sqref="F1"/>
    </sheetView>
  </sheetViews>
  <sheetFormatPr defaultRowHeight="14.4"/>
  <cols>
    <col min="1" max="3" width="38" customWidth="1"/>
    <col min="4" max="5" width="13" customWidth="1"/>
    <col min="6" max="6" width="38" customWidth="1"/>
    <col min="7" max="9" width="14" customWidth="1"/>
  </cols>
  <sheetData>
    <row r="1" spans="1:3" ht="37.950000000000003" customHeight="1">
      <c r="A1" s="153" t="s">
        <v>851</v>
      </c>
      <c r="B1" s="116"/>
      <c r="C1" s="154"/>
    </row>
    <row r="2" spans="1:3" ht="19.95" customHeight="1">
      <c r="A2" s="112" t="s">
        <v>852</v>
      </c>
      <c r="B2" s="113"/>
      <c r="C2" s="114"/>
    </row>
    <row r="4" spans="1:3" ht="22.05" customHeight="1">
      <c r="A4" s="112" t="s">
        <v>853</v>
      </c>
      <c r="B4" s="113"/>
      <c r="C4" s="114"/>
    </row>
    <row r="5" spans="1:3" ht="21.6" customHeight="1">
      <c r="A5" s="18" t="s">
        <v>854</v>
      </c>
      <c r="B5" s="25">
        <f>'الافتراضات والمدخلات'!B4*'الافتراضات والمدخلات'!B5</f>
        <v>4989300</v>
      </c>
    </row>
    <row r="6" spans="1:3" ht="21.6" customHeight="1">
      <c r="A6" s="18" t="s">
        <v>855</v>
      </c>
      <c r="B6" s="25">
        <f>B5*0.35</f>
        <v>1746255</v>
      </c>
    </row>
    <row r="7" spans="1:3" ht="20.399999999999999" customHeight="1">
      <c r="A7" s="18" t="s">
        <v>856</v>
      </c>
      <c r="B7" s="27">
        <f>'الافتراضات والمدخلات'!B22</f>
        <v>0.08</v>
      </c>
    </row>
    <row r="8" spans="1:3" ht="20.399999999999999" customHeight="1">
      <c r="A8" s="18" t="s">
        <v>857</v>
      </c>
      <c r="B8" s="25">
        <v>1</v>
      </c>
    </row>
    <row r="9" spans="1:3" ht="20.399999999999999" customHeight="1">
      <c r="A9" s="18" t="s">
        <v>858</v>
      </c>
      <c r="B9" s="27">
        <f>'الافتراضات والمدخلات'!B7</f>
        <v>0.08</v>
      </c>
    </row>
    <row r="10" spans="1:3" ht="21.6" customHeight="1">
      <c r="A10" s="18" t="s">
        <v>859</v>
      </c>
      <c r="B10" s="26">
        <v>20000</v>
      </c>
    </row>
    <row r="11" spans="1:3" ht="21.6" customHeight="1">
      <c r="A11" s="18" t="s">
        <v>860</v>
      </c>
      <c r="B11" s="26">
        <v>7150</v>
      </c>
    </row>
    <row r="13" spans="1:3" ht="22.05" customHeight="1">
      <c r="A13" s="112" t="s">
        <v>861</v>
      </c>
      <c r="B13" s="113"/>
      <c r="C13" s="114"/>
    </row>
    <row r="14" spans="1:3" ht="20.399999999999999" customHeight="1">
      <c r="A14" s="18" t="s">
        <v>862</v>
      </c>
      <c r="B14" s="25">
        <f>(LN(B5/B6)+(B9+B7^2/2)*B8)/(B7*SQRT(B8))</f>
        <v>14.162776556233469</v>
      </c>
    </row>
    <row r="15" spans="1:3" ht="20.399999999999999" customHeight="1">
      <c r="A15" s="18" t="s">
        <v>863</v>
      </c>
      <c r="B15" s="25">
        <f>B14-B7*SQRT(B8)</f>
        <v>14.082776556233469</v>
      </c>
    </row>
    <row r="16" spans="1:3" ht="20.399999999999999" customHeight="1">
      <c r="A16" s="18" t="s">
        <v>864</v>
      </c>
      <c r="B16" s="25" t="e">
        <f ca="1">_xludf.NORM.S.DIST(B14,TRUE)</f>
        <v>#NAME?</v>
      </c>
    </row>
    <row r="17" spans="1:3" ht="20.399999999999999" customHeight="1">
      <c r="A17" s="18" t="s">
        <v>865</v>
      </c>
      <c r="B17" s="25" t="e">
        <f ca="1">_xludf.NORM.S.DIST(B15,TRUE)</f>
        <v>#NAME?</v>
      </c>
    </row>
    <row r="18" spans="1:3" ht="21.6" customHeight="1">
      <c r="A18" s="18" t="s">
        <v>866</v>
      </c>
      <c r="B18" s="25" t="e">
        <f ca="1">B5*B16-B6*EXP(-B9*B8)*B17</f>
        <v>#NAME?</v>
      </c>
    </row>
    <row r="20" spans="1:3" ht="22.05" customHeight="1">
      <c r="A20" s="112" t="s">
        <v>867</v>
      </c>
      <c r="B20" s="113"/>
      <c r="C20" s="114"/>
    </row>
    <row r="21" spans="1:3" ht="21.6" customHeight="1">
      <c r="A21" s="18" t="s">
        <v>868</v>
      </c>
      <c r="B21" s="25">
        <f>MAX(B5-B6,0)</f>
        <v>3243045</v>
      </c>
    </row>
    <row r="22" spans="1:3" ht="21.6" customHeight="1">
      <c r="A22" s="18" t="s">
        <v>869</v>
      </c>
      <c r="B22" s="25" t="e">
        <f ca="1">MAX(B18,0)</f>
        <v>#NAME?</v>
      </c>
    </row>
    <row r="23" spans="1:3" ht="27" customHeight="1">
      <c r="A23" s="18" t="s">
        <v>870</v>
      </c>
      <c r="B23" s="44" t="e">
        <f ca="1">B21+B22</f>
        <v>#NAME?</v>
      </c>
    </row>
    <row r="24" spans="1:3" ht="27" customHeight="1">
      <c r="A24" s="18" t="s">
        <v>871</v>
      </c>
      <c r="B24" s="44" t="e">
        <f ca="1">IF('الافتراضات والمدخلات'!B4&gt;0,B23/'الافتراضات والمدخلات'!B4,0)</f>
        <v>#NAME?</v>
      </c>
    </row>
    <row r="27" spans="1:3" ht="21.6" customHeight="1">
      <c r="A27" s="112" t="s">
        <v>872</v>
      </c>
      <c r="B27" s="113"/>
      <c r="C27" s="114"/>
    </row>
    <row r="28" spans="1:3" ht="28.05" customHeight="1">
      <c r="A28" s="109" t="s">
        <v>873</v>
      </c>
      <c r="B28" s="158"/>
      <c r="C28" s="159"/>
    </row>
    <row r="29" spans="1:3" ht="28.05" customHeight="1">
      <c r="A29" s="163"/>
      <c r="B29" s="119"/>
      <c r="C29" s="164"/>
    </row>
    <row r="30" spans="1:3" ht="28.05" customHeight="1">
      <c r="A30" s="160"/>
      <c r="B30" s="161"/>
      <c r="C30" s="162"/>
    </row>
    <row r="32" spans="1:3" ht="27.6">
      <c r="A32" s="30" t="s">
        <v>874</v>
      </c>
    </row>
    <row r="33" spans="1:6" ht="27.6">
      <c r="A33" s="20" t="s">
        <v>875</v>
      </c>
    </row>
    <row r="35" spans="1:6">
      <c r="A35" s="30" t="s">
        <v>876</v>
      </c>
      <c r="B35" s="20" t="s">
        <v>877</v>
      </c>
      <c r="C35" s="20" t="s">
        <v>878</v>
      </c>
      <c r="D35" s="20" t="s">
        <v>879</v>
      </c>
      <c r="E35" s="20" t="s">
        <v>880</v>
      </c>
      <c r="F35" s="20" t="s">
        <v>881</v>
      </c>
    </row>
    <row r="36" spans="1:6">
      <c r="A36" s="24" t="s">
        <v>882</v>
      </c>
      <c r="B36" s="24">
        <v>4989300</v>
      </c>
      <c r="F36" s="24" t="str">
        <f>IF(B36&gt;$B$6,"▲ طوّر — Develop","⏳ انتظر — Wait")</f>
        <v>▲ طوّر — Develop</v>
      </c>
    </row>
    <row r="37" spans="1:6">
      <c r="A37" s="24" t="s">
        <v>883</v>
      </c>
      <c r="C37" s="24">
        <v>5225151</v>
      </c>
      <c r="F37" s="24" t="str">
        <f>IF(C37&gt;$B$6,"▲ طوّر — Develop","⏳ انتظر — Wait")</f>
        <v>▲ طوّر — Develop</v>
      </c>
    </row>
    <row r="38" spans="1:6">
      <c r="A38" s="24" t="s">
        <v>884</v>
      </c>
      <c r="C38" s="24">
        <v>4764095</v>
      </c>
      <c r="F38" s="24" t="str">
        <f>IF(C38&gt;$B$6,"▲ طوّر — Develop","⏳ انتظر — Wait")</f>
        <v>▲ طوّر — Develop</v>
      </c>
    </row>
    <row r="39" spans="1:6">
      <c r="A39" s="24" t="s">
        <v>885</v>
      </c>
      <c r="D39" s="24">
        <v>5472150</v>
      </c>
      <c r="F39" s="24" t="str">
        <f>IF(D39&gt;$B$6,"▲ طوّر — Develop","⏳ انتظر — Wait")</f>
        <v>▲ طوّر — Develop</v>
      </c>
    </row>
    <row r="40" spans="1:6">
      <c r="A40" s="24" t="s">
        <v>886</v>
      </c>
      <c r="D40" s="24">
        <v>4989300</v>
      </c>
      <c r="F40" s="24" t="str">
        <f>IF(D40&gt;$B$6,"▲ طوّر — Develop","⏳ انتظر — Wait")</f>
        <v>▲ طوّر — Develop</v>
      </c>
    </row>
    <row r="41" spans="1:6">
      <c r="A41" s="24" t="s">
        <v>887</v>
      </c>
      <c r="D41" s="24">
        <v>4549055</v>
      </c>
      <c r="F41" s="24" t="str">
        <f>IF(D41&gt;$B$6,"▲ طوّر — Develop","⏳ انتظر — Wait")</f>
        <v>▲ طوّر — Develop</v>
      </c>
    </row>
    <row r="42" spans="1:6">
      <c r="A42" s="24" t="s">
        <v>888</v>
      </c>
      <c r="E42" s="24">
        <v>5730826</v>
      </c>
      <c r="F42" s="24" t="str">
        <f>IF(E42&gt;$B$6,"▲ طوّر — Develop","⏳ انتظر — Wait")</f>
        <v>▲ طوّر — Develop</v>
      </c>
    </row>
    <row r="43" spans="1:6">
      <c r="A43" s="24" t="s">
        <v>889</v>
      </c>
      <c r="E43" s="24">
        <v>5225151</v>
      </c>
      <c r="F43" s="24" t="str">
        <f>IF(E43&gt;$B$6,"▲ طوّر — Develop","⏳ انتظر — Wait")</f>
        <v>▲ طوّر — Develop</v>
      </c>
    </row>
    <row r="44" spans="1:6">
      <c r="A44" s="24" t="s">
        <v>890</v>
      </c>
      <c r="E44" s="24">
        <v>4764095</v>
      </c>
      <c r="F44" s="24" t="str">
        <f>IF(E44&gt;$B$6,"▲ طوّر — Develop","⏳ انتظر — Wait")</f>
        <v>▲ طوّر — Develop</v>
      </c>
    </row>
    <row r="45" spans="1:6">
      <c r="A45" s="24" t="s">
        <v>891</v>
      </c>
      <c r="E45" s="24">
        <v>4343722</v>
      </c>
      <c r="F45" s="24" t="str">
        <f>IF(E45&gt;$B$6,"▲ طوّر — Develop","⏳ انتظر — Wait")</f>
        <v>▲ طوّر — Develop</v>
      </c>
    </row>
    <row r="48" spans="1:6" ht="27.6">
      <c r="A48" s="30" t="s">
        <v>892</v>
      </c>
      <c r="C48" s="20" t="s">
        <v>893</v>
      </c>
    </row>
    <row r="49" spans="1:3">
      <c r="A49" s="30" t="s">
        <v>894</v>
      </c>
      <c r="B49" s="26">
        <v>3984571</v>
      </c>
      <c r="C49" s="19" t="str">
        <f>IF(5730826&gt;$B$6,"▲ طوّر — Develop","⏳ انتظر — Wait")</f>
        <v>▲ طوّر — Develop</v>
      </c>
    </row>
    <row r="50" spans="1:3">
      <c r="A50" s="30" t="s">
        <v>895</v>
      </c>
      <c r="B50" s="26">
        <v>3478896</v>
      </c>
      <c r="C50" s="19" t="str">
        <f>IF(5225151&gt;$B$6,"▲ طوّر — Develop","⏳ انتظر — Wait")</f>
        <v>▲ طوّر — Develop</v>
      </c>
    </row>
    <row r="51" spans="1:3">
      <c r="A51" s="30" t="s">
        <v>896</v>
      </c>
      <c r="B51" s="26">
        <v>3017840</v>
      </c>
      <c r="C51" s="19" t="str">
        <f>IF(4764095&gt;$B$6,"▲ طوّر — Develop","⏳ انتظر — Wait")</f>
        <v>▲ طوّر — Develop</v>
      </c>
    </row>
    <row r="52" spans="1:3">
      <c r="A52" s="30" t="s">
        <v>897</v>
      </c>
      <c r="B52" s="26">
        <v>2597467</v>
      </c>
      <c r="C52" s="19" t="str">
        <f>IF(4343722&gt;$B$6,"▲ طوّر — Develop","⏳ انتظر — Wait")</f>
        <v>▲ طوّر — Develop</v>
      </c>
    </row>
    <row r="53" spans="1:3">
      <c r="A53" s="30" t="s">
        <v>898</v>
      </c>
      <c r="B53" s="26">
        <v>3771847</v>
      </c>
      <c r="C53" s="19" t="str">
        <f>IF(5472150&gt;$B$6,"▲ طوّر — Develop","⏳ انتظر — Wait")</f>
        <v>▲ طوّر — Develop</v>
      </c>
    </row>
    <row r="54" spans="1:3">
      <c r="A54" s="30" t="s">
        <v>899</v>
      </c>
      <c r="B54" s="26">
        <v>3288996</v>
      </c>
      <c r="C54" s="19" t="str">
        <f>IF(4989300&gt;$B$6,"▲ طوّر — Develop","⏳ انتظر — Wait")</f>
        <v>▲ طوّر — Develop</v>
      </c>
    </row>
    <row r="55" spans="1:3">
      <c r="A55" s="30" t="s">
        <v>900</v>
      </c>
      <c r="B55" s="26">
        <v>2848752</v>
      </c>
      <c r="C55" s="19" t="str">
        <f>IF(4549055&gt;$B$6,"▲ طوّر — Develop","⏳ انتظر — Wait")</f>
        <v>▲ طوّر — Develop</v>
      </c>
    </row>
    <row r="56" spans="1:3">
      <c r="A56" s="30" t="s">
        <v>901</v>
      </c>
      <c r="B56" s="26">
        <v>3569589</v>
      </c>
      <c r="C56" s="19" t="str">
        <f>IF(5225151&gt;$B$6,"▲ طوّر — Develop","⏳ انتظر — Wait")</f>
        <v>▲ طوّر — Develop</v>
      </c>
    </row>
    <row r="57" spans="1:3">
      <c r="A57" s="30" t="s">
        <v>902</v>
      </c>
      <c r="B57" s="26">
        <v>3108534</v>
      </c>
      <c r="C57" s="19" t="str">
        <f>IF(4764095&gt;$B$6,"▲ طوّر — Develop","⏳ انتظر — Wait")</f>
        <v>▲ طوّر — Develop</v>
      </c>
    </row>
    <row r="58" spans="1:3">
      <c r="A58" s="30" t="s">
        <v>903</v>
      </c>
      <c r="B58" s="26">
        <v>3377303</v>
      </c>
      <c r="C58" s="19" t="str">
        <f>IF(4989300&gt;$B$6,"▲ طوّر — Develop","⏳ انتظر — Wait")</f>
        <v>▲ طوّر — Develop</v>
      </c>
    </row>
    <row r="60" spans="1:3">
      <c r="A60" s="30" t="s">
        <v>904</v>
      </c>
      <c r="B60" s="26">
        <v>3377303</v>
      </c>
    </row>
    <row r="61" spans="1:3">
      <c r="A61" s="30" t="s">
        <v>905</v>
      </c>
      <c r="B61" s="19">
        <v>0</v>
      </c>
    </row>
    <row r="92" spans="1:9" ht="24" customHeight="1">
      <c r="A92" s="112" t="s">
        <v>906</v>
      </c>
      <c r="B92" s="113"/>
      <c r="C92" s="113"/>
      <c r="D92" s="113"/>
      <c r="E92" s="113"/>
      <c r="F92" s="113"/>
      <c r="G92" s="113"/>
      <c r="H92" s="113"/>
      <c r="I92" s="114"/>
    </row>
    <row r="93" spans="1:9" ht="37.950000000000003" customHeight="1">
      <c r="A93" s="145" t="e">
        <f ca="1">"قيمة الخيار الحقيقي (Black-Scholes) = "&amp;TEXT('الخيارات الحقيقية'!B22,"#,##0")&amp;" EGP. هذا يمثل قيمة حق — لا الإلزام — بتطوير العقار خلال فترة الاحتفاظ."</f>
        <v>#NAME?</v>
      </c>
      <c r="B93" s="110"/>
      <c r="C93" s="110"/>
      <c r="D93" s="110"/>
      <c r="E93" s="110"/>
      <c r="F93" s="110"/>
      <c r="G93" s="110"/>
      <c r="H93" s="110"/>
      <c r="I93" s="111"/>
    </row>
    <row r="94" spans="1:9" ht="37.950000000000003" customHeight="1">
      <c r="A94" s="145" t="str">
        <f>"القرار الحالي: "&amp;IF('الخيارات الحقيقية'!B5&gt;'الخيارات الحقيقية'!B6,"▲ قيمة الأصل (S) تتجاوز سعر الإضراب (K) — التطوير مربح الآن.","⏳ سعر الإضراب (K) يتجاوز قيمة الأصل — الانتظار يُحسن العائد.")</f>
        <v>القرار الحالي: ▲ قيمة الأصل (S) تتجاوز سعر الإضراب (K) — التطوير مربح الآن.</v>
      </c>
      <c r="B94" s="110"/>
      <c r="C94" s="110"/>
      <c r="D94" s="110"/>
      <c r="E94" s="110"/>
      <c r="F94" s="110"/>
      <c r="G94" s="110"/>
      <c r="H94" s="110"/>
      <c r="I94" s="111"/>
    </row>
    <row r="95" spans="1:9" ht="37.950000000000003" customHeight="1">
      <c r="A95" s="109" t="s">
        <v>907</v>
      </c>
      <c r="B95" s="110"/>
      <c r="C95" s="110"/>
      <c r="D95" s="110"/>
      <c r="E95" s="110"/>
      <c r="F95" s="110"/>
      <c r="G95" s="110"/>
      <c r="H95" s="110"/>
      <c r="I95" s="111"/>
    </row>
    <row r="96" spans="1:9" ht="37.950000000000003" customHeight="1">
      <c r="A96" s="109" t="s">
        <v>908</v>
      </c>
      <c r="B96" s="110"/>
      <c r="C96" s="110"/>
      <c r="D96" s="110"/>
      <c r="E96" s="110"/>
      <c r="F96" s="110"/>
      <c r="G96" s="110"/>
      <c r="H96" s="110"/>
      <c r="I96" s="111"/>
    </row>
    <row r="100" spans="1:10" ht="36" customHeight="1">
      <c r="A100" s="174" t="s">
        <v>909</v>
      </c>
      <c r="B100" s="119"/>
      <c r="C100" s="119"/>
      <c r="D100" s="119"/>
      <c r="E100" s="119"/>
      <c r="F100" s="119"/>
      <c r="G100" s="119"/>
      <c r="H100" s="119"/>
      <c r="I100" s="119"/>
    </row>
    <row r="104" spans="1:10" ht="43.95" customHeight="1">
      <c r="A104" s="189" t="s">
        <v>910</v>
      </c>
      <c r="B104" s="116"/>
      <c r="C104" s="116"/>
      <c r="D104" s="116"/>
      <c r="E104" s="116"/>
      <c r="F104" s="116"/>
      <c r="G104" s="116"/>
      <c r="H104" s="116"/>
      <c r="I104" s="116"/>
      <c r="J104" s="116"/>
    </row>
    <row r="106" spans="1:10" ht="31.95" customHeight="1">
      <c r="A106" s="188" t="s">
        <v>911</v>
      </c>
      <c r="B106" s="119"/>
      <c r="C106" s="119"/>
      <c r="D106" s="119"/>
      <c r="E106" s="119"/>
      <c r="F106" s="119"/>
      <c r="G106" s="119"/>
      <c r="H106" s="119"/>
      <c r="I106" s="119"/>
      <c r="J106" s="119"/>
    </row>
    <row r="110" spans="1:10" ht="40.049999999999997" customHeight="1">
      <c r="A110" s="172" t="s">
        <v>912</v>
      </c>
      <c r="B110" s="116"/>
      <c r="C110" s="116"/>
      <c r="D110" s="116"/>
      <c r="E110" s="116"/>
      <c r="F110" s="116"/>
      <c r="G110" s="116"/>
      <c r="H110" s="116"/>
    </row>
    <row r="112" spans="1:10" ht="31.95" customHeight="1">
      <c r="A112" s="165" t="s">
        <v>471</v>
      </c>
      <c r="B112" s="119"/>
      <c r="C112" s="119"/>
      <c r="D112" s="119"/>
      <c r="E112" s="119"/>
      <c r="F112" s="119"/>
      <c r="G112" s="119"/>
      <c r="H112" s="119"/>
    </row>
    <row r="113" spans="1:8" ht="25.95" customHeight="1">
      <c r="A113" s="167" t="s">
        <v>913</v>
      </c>
      <c r="B113" s="110"/>
      <c r="C113" s="110"/>
      <c r="D113" s="110"/>
      <c r="E113" s="110"/>
      <c r="F113" s="110"/>
      <c r="G113" s="110"/>
      <c r="H113" s="111"/>
    </row>
    <row r="114" spans="1:8" ht="25.95" customHeight="1">
      <c r="A114" s="170" t="s">
        <v>914</v>
      </c>
      <c r="B114" s="110"/>
      <c r="C114" s="110"/>
      <c r="D114" s="110"/>
      <c r="E114" s="110"/>
      <c r="F114" s="110"/>
      <c r="G114" s="110"/>
      <c r="H114" s="111"/>
    </row>
    <row r="115" spans="1:8" ht="25.95" customHeight="1">
      <c r="A115" s="167" t="s">
        <v>915</v>
      </c>
      <c r="B115" s="110"/>
      <c r="C115" s="110"/>
      <c r="D115" s="110"/>
      <c r="E115" s="110"/>
      <c r="F115" s="110"/>
      <c r="G115" s="110"/>
      <c r="H115" s="111"/>
    </row>
    <row r="116" spans="1:8" ht="25.95" customHeight="1">
      <c r="A116" s="170" t="s">
        <v>916</v>
      </c>
      <c r="B116" s="110"/>
      <c r="C116" s="110"/>
      <c r="D116" s="110"/>
      <c r="E116" s="110"/>
      <c r="F116" s="110"/>
      <c r="G116" s="110"/>
      <c r="H116" s="111"/>
    </row>
    <row r="117" spans="1:8" ht="25.95" customHeight="1">
      <c r="A117" s="167" t="s">
        <v>917</v>
      </c>
      <c r="B117" s="110"/>
      <c r="C117" s="110"/>
      <c r="D117" s="110"/>
      <c r="E117" s="110"/>
      <c r="F117" s="110"/>
      <c r="G117" s="110"/>
      <c r="H117" s="111"/>
    </row>
    <row r="119" spans="1:8" ht="31.95" customHeight="1">
      <c r="A119" s="171" t="s">
        <v>481</v>
      </c>
      <c r="B119" s="119"/>
      <c r="C119" s="119"/>
      <c r="D119" s="119"/>
      <c r="E119" s="119"/>
      <c r="F119" s="119"/>
      <c r="G119" s="119"/>
      <c r="H119" s="119"/>
    </row>
    <row r="120" spans="1:8" ht="49.95" customHeight="1">
      <c r="A120" s="169" t="s">
        <v>918</v>
      </c>
      <c r="B120" s="130"/>
      <c r="C120" s="130"/>
      <c r="D120" s="130"/>
      <c r="E120" s="130"/>
      <c r="F120" s="130"/>
      <c r="G120" s="130"/>
      <c r="H120" s="131"/>
    </row>
  </sheetData>
  <mergeCells count="24">
    <mergeCell ref="A1:C1"/>
    <mergeCell ref="A94:I94"/>
    <mergeCell ref="A112:H112"/>
    <mergeCell ref="A115:H115"/>
    <mergeCell ref="A117:H117"/>
    <mergeCell ref="A104:J104"/>
    <mergeCell ref="A119:H119"/>
    <mergeCell ref="A95:I95"/>
    <mergeCell ref="A4:C4"/>
    <mergeCell ref="A120:H120"/>
    <mergeCell ref="A100:I100"/>
    <mergeCell ref="A96:I96"/>
    <mergeCell ref="A20:C20"/>
    <mergeCell ref="A13:C13"/>
    <mergeCell ref="A93:I93"/>
    <mergeCell ref="A113:H113"/>
    <mergeCell ref="A116:H116"/>
    <mergeCell ref="A28:C30"/>
    <mergeCell ref="A92:I92"/>
    <mergeCell ref="A114:H114"/>
    <mergeCell ref="A106:J106"/>
    <mergeCell ref="A27:C27"/>
    <mergeCell ref="A110:H110"/>
    <mergeCell ref="A2:C2"/>
  </mergeCells>
  <conditionalFormatting sqref="B36:E45">
    <cfRule type="cellIs" dxfId="3" priority="1" operator="greaterThan">
      <formula>$B$6</formula>
    </cfRule>
    <cfRule type="cellIs" dxfId="2" priority="2" operator="lessThanOrEqual">
      <formula>$B$6</formula>
    </cfRule>
  </conditionalFormatting>
  <conditionalFormatting sqref="F36:F45">
    <cfRule type="expression" dxfId="1" priority="3">
      <formula>ISNUMBER(SEARCH("طوّر",F36))</formula>
    </cfRule>
    <cfRule type="expression" dxfId="0" priority="4">
      <formula>ISNUMBER(SEARCH("انتظر",F36))</formula>
    </cfRule>
  </conditionalFormatting>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0"/>
  <dimension ref="A1:I39"/>
  <sheetViews>
    <sheetView rightToLeft="1" workbookViewId="0">
      <pane ySplit="1" topLeftCell="A2" activePane="bottomLeft" state="frozen"/>
      <selection pane="bottomLeft" sqref="A1:E1"/>
    </sheetView>
  </sheetViews>
  <sheetFormatPr defaultRowHeight="14.4"/>
  <cols>
    <col min="1" max="1" width="38" customWidth="1"/>
    <col min="2" max="2" width="20" customWidth="1"/>
    <col min="3" max="3" width="24" customWidth="1"/>
    <col min="4" max="4" width="14" customWidth="1"/>
    <col min="5" max="5" width="26" customWidth="1"/>
    <col min="6" max="9" width="14" customWidth="1"/>
  </cols>
  <sheetData>
    <row r="1" spans="1:5" ht="37.950000000000003" customHeight="1">
      <c r="A1" s="153" t="s">
        <v>919</v>
      </c>
      <c r="B1" s="116"/>
      <c r="C1" s="116"/>
      <c r="D1" s="116"/>
      <c r="E1" s="154"/>
    </row>
    <row r="2" spans="1:5" ht="19.95" customHeight="1">
      <c r="A2" s="112" t="s">
        <v>920</v>
      </c>
      <c r="B2" s="113"/>
      <c r="C2" s="113"/>
      <c r="D2" s="113"/>
      <c r="E2" s="114"/>
    </row>
    <row r="4" spans="1:5" ht="22.05" customHeight="1">
      <c r="A4" s="24" t="s">
        <v>921</v>
      </c>
      <c r="B4" s="24" t="s">
        <v>447</v>
      </c>
      <c r="C4" s="24" t="s">
        <v>768</v>
      </c>
      <c r="D4" s="24" t="s">
        <v>922</v>
      </c>
      <c r="E4" s="24" t="s">
        <v>923</v>
      </c>
    </row>
    <row r="5" spans="1:5" ht="21.6" customHeight="1">
      <c r="A5" s="24" t="s">
        <v>924</v>
      </c>
      <c r="B5" s="29">
        <v>22665.195</v>
      </c>
      <c r="C5" s="29">
        <f>B5*'الافتراضات والمدخلات'!$B$4</f>
        <v>3399779.25</v>
      </c>
      <c r="D5" s="32">
        <v>0.3</v>
      </c>
      <c r="E5" s="29">
        <f t="shared" ref="E5:E10" si="0">B5*D5</f>
        <v>6799.5585000000001</v>
      </c>
    </row>
    <row r="6" spans="1:5" ht="21.6" customHeight="1">
      <c r="A6" s="24" t="s">
        <v>925</v>
      </c>
      <c r="B6" s="29">
        <v>10511.833333333339</v>
      </c>
      <c r="C6" s="29">
        <f>B6*'الافتراضات والمدخلات'!$B$4</f>
        <v>1576775.0000000009</v>
      </c>
      <c r="D6" s="32">
        <v>0.2</v>
      </c>
      <c r="E6" s="29">
        <f t="shared" si="0"/>
        <v>2102.3666666666682</v>
      </c>
    </row>
    <row r="7" spans="1:5" ht="21.6" customHeight="1">
      <c r="A7" s="24" t="s">
        <v>926</v>
      </c>
      <c r="B7" s="29">
        <v>3174.683544303798</v>
      </c>
      <c r="C7" s="29">
        <f>B7*'الافتراضات والمدخلات'!$B$4</f>
        <v>476202.53164556972</v>
      </c>
      <c r="D7" s="32">
        <v>0.15</v>
      </c>
      <c r="E7" s="29">
        <f t="shared" si="0"/>
        <v>476.20253164556971</v>
      </c>
    </row>
    <row r="8" spans="1:5" ht="21.6" customHeight="1">
      <c r="A8" s="24" t="s">
        <v>927</v>
      </c>
      <c r="B8" s="29">
        <v>23583.449837021941</v>
      </c>
      <c r="C8" s="29">
        <f>B8*'الافتراضات والمدخلات'!$B$4</f>
        <v>3537517.4755532909</v>
      </c>
      <c r="D8" s="32">
        <v>0.15</v>
      </c>
      <c r="E8" s="29">
        <f t="shared" si="0"/>
        <v>3537.5174755532912</v>
      </c>
    </row>
    <row r="9" spans="1:5" ht="21.6" customHeight="1">
      <c r="A9" s="24" t="s">
        <v>928</v>
      </c>
      <c r="B9" s="29">
        <v>22984.495381405111</v>
      </c>
      <c r="C9" s="29">
        <f>B9*'الافتراضات والمدخلات'!$B$4</f>
        <v>3447674.3072107667</v>
      </c>
      <c r="D9" s="32">
        <v>0.12</v>
      </c>
      <c r="E9" s="29">
        <f t="shared" si="0"/>
        <v>2758.1394457686133</v>
      </c>
    </row>
    <row r="10" spans="1:5" ht="21.6" customHeight="1">
      <c r="A10" s="24" t="s">
        <v>929</v>
      </c>
      <c r="B10" s="29">
        <v>24350.010325020488</v>
      </c>
      <c r="C10" s="29">
        <f>B10*'الافتراضات والمدخلات'!$B$4</f>
        <v>3652501.5487530734</v>
      </c>
      <c r="D10" s="32">
        <v>0.08</v>
      </c>
      <c r="E10" s="29">
        <f t="shared" si="0"/>
        <v>1948.0008260016391</v>
      </c>
    </row>
    <row r="12" spans="1:5" ht="21.6" customHeight="1">
      <c r="A12" s="18" t="s">
        <v>930</v>
      </c>
      <c r="D12" s="27">
        <f>SUM(D5:D10)</f>
        <v>1</v>
      </c>
    </row>
    <row r="13" spans="1:5" ht="27" customHeight="1">
      <c r="A13" s="112" t="s">
        <v>931</v>
      </c>
      <c r="B13" s="113"/>
      <c r="C13" s="113"/>
      <c r="D13" s="114"/>
      <c r="E13" s="26">
        <f>IF(D12&gt;0,SUMPRODUCT(B5:B10,D5:D10)/D12,0)</f>
        <v>17621.785445635782</v>
      </c>
    </row>
    <row r="14" spans="1:5" ht="27" customHeight="1">
      <c r="A14" s="112" t="s">
        <v>932</v>
      </c>
      <c r="B14" s="113"/>
      <c r="C14" s="113"/>
      <c r="D14" s="114"/>
      <c r="E14" s="26">
        <f>E13*'الافتراضات والمدخلات'!$B$4</f>
        <v>2643267.8168453672</v>
      </c>
    </row>
    <row r="17" spans="1:5" ht="22.05" customHeight="1">
      <c r="A17" s="112" t="s">
        <v>933</v>
      </c>
      <c r="B17" s="113"/>
      <c r="C17" s="113"/>
      <c r="D17" s="113"/>
      <c r="E17" s="114"/>
    </row>
    <row r="18" spans="1:5" ht="22.05" customHeight="1">
      <c r="A18" s="109" t="s">
        <v>934</v>
      </c>
      <c r="B18" s="158"/>
      <c r="C18" s="158"/>
      <c r="D18" s="158"/>
      <c r="E18" s="159"/>
    </row>
    <row r="19" spans="1:5" ht="22.05" customHeight="1">
      <c r="A19" s="163"/>
      <c r="B19" s="119"/>
      <c r="C19" s="119"/>
      <c r="D19" s="119"/>
      <c r="E19" s="164"/>
    </row>
    <row r="20" spans="1:5" ht="22.05" customHeight="1">
      <c r="A20" s="163"/>
      <c r="B20" s="119"/>
      <c r="C20" s="119"/>
      <c r="D20" s="119"/>
      <c r="E20" s="164"/>
    </row>
    <row r="21" spans="1:5" ht="22.05" customHeight="1">
      <c r="A21" s="163"/>
      <c r="B21" s="119"/>
      <c r="C21" s="119"/>
      <c r="D21" s="119"/>
      <c r="E21" s="164"/>
    </row>
    <row r="22" spans="1:5" ht="22.05" customHeight="1">
      <c r="A22" s="163"/>
      <c r="B22" s="119"/>
      <c r="C22" s="119"/>
      <c r="D22" s="119"/>
      <c r="E22" s="164"/>
    </row>
    <row r="23" spans="1:5" ht="22.05" customHeight="1">
      <c r="A23" s="163"/>
      <c r="B23" s="119"/>
      <c r="C23" s="119"/>
      <c r="D23" s="119"/>
      <c r="E23" s="164"/>
    </row>
    <row r="24" spans="1:5" ht="22.05" customHeight="1">
      <c r="A24" s="163"/>
      <c r="B24" s="119"/>
      <c r="C24" s="119"/>
      <c r="D24" s="119"/>
      <c r="E24" s="164"/>
    </row>
    <row r="25" spans="1:5" ht="22.05" customHeight="1">
      <c r="A25" s="160"/>
      <c r="B25" s="161"/>
      <c r="C25" s="161"/>
      <c r="D25" s="161"/>
      <c r="E25" s="162"/>
    </row>
    <row r="35" spans="1:9" ht="24" customHeight="1">
      <c r="A35" s="112" t="s">
        <v>935</v>
      </c>
      <c r="B35" s="113"/>
      <c r="C35" s="113"/>
      <c r="D35" s="113"/>
      <c r="E35" s="113"/>
      <c r="F35" s="113"/>
      <c r="G35" s="113"/>
      <c r="H35" s="113"/>
      <c r="I35" s="114"/>
    </row>
    <row r="36" spans="1:9" ht="37.950000000000003" customHeight="1">
      <c r="A36" s="109" t="s">
        <v>936</v>
      </c>
      <c r="B36" s="110"/>
      <c r="C36" s="110"/>
      <c r="D36" s="110"/>
      <c r="E36" s="110"/>
      <c r="F36" s="110"/>
      <c r="G36" s="110"/>
      <c r="H36" s="110"/>
      <c r="I36" s="111"/>
    </row>
    <row r="37" spans="1:9" ht="37.950000000000003" customHeight="1">
      <c r="A37" s="109" t="s">
        <v>937</v>
      </c>
      <c r="B37" s="110"/>
      <c r="C37" s="110"/>
      <c r="D37" s="110"/>
      <c r="E37" s="110"/>
      <c r="F37" s="110"/>
      <c r="G37" s="110"/>
      <c r="H37" s="110"/>
      <c r="I37" s="111"/>
    </row>
    <row r="38" spans="1:9" ht="37.950000000000003" customHeight="1">
      <c r="A38" s="109" t="s">
        <v>938</v>
      </c>
      <c r="B38" s="110"/>
      <c r="C38" s="110"/>
      <c r="D38" s="110"/>
      <c r="E38" s="110"/>
      <c r="F38" s="110"/>
      <c r="G38" s="110"/>
      <c r="H38" s="110"/>
      <c r="I38" s="111"/>
    </row>
    <row r="39" spans="1:9" ht="37.950000000000003" customHeight="1">
      <c r="A39" s="109" t="s">
        <v>939</v>
      </c>
      <c r="B39" s="110"/>
      <c r="C39" s="110"/>
      <c r="D39" s="110"/>
      <c r="E39" s="110"/>
      <c r="F39" s="110"/>
      <c r="G39" s="110"/>
      <c r="H39" s="110"/>
      <c r="I39" s="111"/>
    </row>
  </sheetData>
  <mergeCells count="11">
    <mergeCell ref="A39:I39"/>
    <mergeCell ref="A35:I35"/>
    <mergeCell ref="A17:E17"/>
    <mergeCell ref="A38:I38"/>
    <mergeCell ref="A14:D14"/>
    <mergeCell ref="A2:E2"/>
    <mergeCell ref="A37:I37"/>
    <mergeCell ref="A36:I36"/>
    <mergeCell ref="A18:E25"/>
    <mergeCell ref="A1:E1"/>
    <mergeCell ref="A13:D13"/>
  </mergeCells>
  <conditionalFormatting sqref="D5:D10">
    <cfRule type="iconSet" priority="1">
      <iconSet iconSet="3Arrows">
        <cfvo type="percent" val="0"/>
        <cfvo type="percent" val="33"/>
        <cfvo type="percent" val="67"/>
      </iconSet>
    </cfRule>
  </conditionalFormatting>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dimension ref="A1:I34"/>
  <sheetViews>
    <sheetView rightToLeft="1" workbookViewId="0">
      <pane ySplit="1" topLeftCell="A2" activePane="bottomLeft" state="frozen"/>
      <selection sqref="A1:H1"/>
      <selection pane="bottomLeft" sqref="A1:H1"/>
    </sheetView>
  </sheetViews>
  <sheetFormatPr defaultRowHeight="14.4"/>
  <cols>
    <col min="1" max="1" width="38" customWidth="1"/>
    <col min="2" max="9" width="14" customWidth="1"/>
  </cols>
  <sheetData>
    <row r="1" spans="1:1" ht="37.950000000000003" customHeight="1"/>
    <row r="3" spans="1:1" ht="22.05" customHeight="1">
      <c r="A3" s="20" t="s">
        <v>0</v>
      </c>
    </row>
    <row r="4" spans="1:1" ht="22.05" customHeight="1">
      <c r="A4" s="18" t="s">
        <v>1</v>
      </c>
    </row>
    <row r="5" spans="1:1" ht="22.05" customHeight="1">
      <c r="A5" s="20" t="s">
        <v>2</v>
      </c>
    </row>
    <row r="6" spans="1:1" ht="22.05" customHeight="1">
      <c r="A6" s="20" t="s">
        <v>3</v>
      </c>
    </row>
    <row r="7" spans="1:1" ht="22.05" customHeight="1">
      <c r="A7" s="20" t="s">
        <v>4</v>
      </c>
    </row>
    <row r="8" spans="1:1" ht="22.05" customHeight="1">
      <c r="A8" s="30" t="s">
        <v>5</v>
      </c>
    </row>
    <row r="9" spans="1:1" ht="22.05" customHeight="1">
      <c r="A9" s="20" t="s">
        <v>6</v>
      </c>
    </row>
    <row r="10" spans="1:1" ht="22.05" customHeight="1">
      <c r="A10" s="20" t="s">
        <v>7</v>
      </c>
    </row>
    <row r="11" spans="1:1" ht="22.05" customHeight="1">
      <c r="A11" s="18" t="s">
        <v>8</v>
      </c>
    </row>
    <row r="12" spans="1:1" ht="22.05" customHeight="1">
      <c r="A12" s="20" t="s">
        <v>9</v>
      </c>
    </row>
    <row r="13" spans="1:1" ht="22.05" customHeight="1">
      <c r="A13" s="18" t="s">
        <v>10</v>
      </c>
    </row>
    <row r="14" spans="1:1" ht="22.05" customHeight="1">
      <c r="A14" s="18" t="s">
        <v>11</v>
      </c>
    </row>
    <row r="15" spans="1:1" ht="22.05" customHeight="1">
      <c r="A15" s="18" t="s">
        <v>12</v>
      </c>
    </row>
    <row r="16" spans="1:1" ht="22.05" customHeight="1">
      <c r="A16" s="30" t="s">
        <v>13</v>
      </c>
    </row>
    <row r="17" spans="1:9" ht="22.05" customHeight="1">
      <c r="A17" s="18" t="s">
        <v>14</v>
      </c>
    </row>
    <row r="18" spans="1:9" ht="22.05" customHeight="1">
      <c r="A18" s="18" t="s">
        <v>15</v>
      </c>
    </row>
    <row r="30" spans="1:9" ht="24" customHeight="1">
      <c r="A30" s="112" t="s">
        <v>16</v>
      </c>
      <c r="B30" s="113"/>
      <c r="C30" s="113"/>
      <c r="D30" s="113"/>
      <c r="E30" s="113"/>
      <c r="F30" s="113"/>
      <c r="G30" s="113"/>
      <c r="H30" s="113"/>
      <c r="I30" s="114"/>
    </row>
    <row r="31" spans="1:9" ht="37.950000000000003" customHeight="1">
      <c r="A31" s="109" t="s">
        <v>17</v>
      </c>
      <c r="B31" s="110"/>
      <c r="C31" s="110"/>
      <c r="D31" s="110"/>
      <c r="E31" s="110"/>
      <c r="F31" s="110"/>
      <c r="G31" s="110"/>
      <c r="H31" s="110"/>
      <c r="I31" s="111"/>
    </row>
    <row r="32" spans="1:9" ht="37.950000000000003" customHeight="1">
      <c r="A32" s="109" t="s">
        <v>18</v>
      </c>
      <c r="B32" s="110"/>
      <c r="C32" s="110"/>
      <c r="D32" s="110"/>
      <c r="E32" s="110"/>
      <c r="F32" s="110"/>
      <c r="G32" s="110"/>
      <c r="H32" s="110"/>
      <c r="I32" s="111"/>
    </row>
    <row r="33" spans="1:9" ht="37.950000000000003" customHeight="1">
      <c r="A33" s="109" t="s">
        <v>19</v>
      </c>
      <c r="B33" s="110"/>
      <c r="C33" s="110"/>
      <c r="D33" s="110"/>
      <c r="E33" s="110"/>
      <c r="F33" s="110"/>
      <c r="G33" s="110"/>
      <c r="H33" s="110"/>
      <c r="I33" s="111"/>
    </row>
    <row r="34" spans="1:9" ht="37.950000000000003" customHeight="1">
      <c r="A34" s="109" t="s">
        <v>20</v>
      </c>
      <c r="B34" s="110"/>
      <c r="C34" s="110"/>
      <c r="D34" s="110"/>
      <c r="E34" s="110"/>
      <c r="F34" s="110"/>
      <c r="G34" s="110"/>
      <c r="H34" s="110"/>
      <c r="I34" s="111"/>
    </row>
  </sheetData>
  <mergeCells count="5">
    <mergeCell ref="A33:I33"/>
    <mergeCell ref="A32:I32"/>
    <mergeCell ref="A31:I31"/>
    <mergeCell ref="A34:I34"/>
    <mergeCell ref="A30:I30"/>
  </mergeCell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2"/>
  <dimension ref="A1:I29"/>
  <sheetViews>
    <sheetView rightToLeft="1" workbookViewId="0"/>
  </sheetViews>
  <sheetFormatPr defaultRowHeight="14.4"/>
  <cols>
    <col min="1" max="1" width="38" customWidth="1"/>
    <col min="2" max="9" width="14" customWidth="1"/>
  </cols>
  <sheetData>
    <row r="1" spans="1:1" ht="37.950000000000003" customHeight="1"/>
    <row r="3" spans="1:1" ht="25.05" customHeight="1">
      <c r="A3" s="18" t="s">
        <v>940</v>
      </c>
    </row>
    <row r="5" spans="1:1" ht="28.05" customHeight="1">
      <c r="A5" s="20" t="s">
        <v>941</v>
      </c>
    </row>
    <row r="6" spans="1:1" ht="28.05" customHeight="1">
      <c r="A6" s="20" t="s">
        <v>942</v>
      </c>
    </row>
    <row r="7" spans="1:1" ht="28.05" customHeight="1">
      <c r="A7" s="18" t="s">
        <v>943</v>
      </c>
    </row>
    <row r="8" spans="1:1" ht="28.05" customHeight="1">
      <c r="A8" s="20" t="s">
        <v>944</v>
      </c>
    </row>
    <row r="9" spans="1:1" ht="28.05" customHeight="1">
      <c r="A9" s="20" t="s">
        <v>945</v>
      </c>
    </row>
    <row r="10" spans="1:1" ht="28.05" customHeight="1">
      <c r="A10" s="30" t="s">
        <v>946</v>
      </c>
    </row>
    <row r="11" spans="1:1" ht="28.05" customHeight="1">
      <c r="A11" s="20" t="s">
        <v>947</v>
      </c>
    </row>
    <row r="12" spans="1:1" ht="28.05" customHeight="1">
      <c r="A12" s="20" t="s">
        <v>948</v>
      </c>
    </row>
    <row r="13" spans="1:1" ht="28.05" customHeight="1">
      <c r="A13" s="30" t="s">
        <v>949</v>
      </c>
    </row>
    <row r="14" spans="1:1" ht="28.05" customHeight="1">
      <c r="A14" s="18" t="s">
        <v>950</v>
      </c>
    </row>
    <row r="17" spans="1:9" ht="20.399999999999999" customHeight="1">
      <c r="A17" s="20" t="s">
        <v>951</v>
      </c>
    </row>
    <row r="25" spans="1:9" ht="24" customHeight="1">
      <c r="A25" s="112" t="s">
        <v>952</v>
      </c>
      <c r="B25" s="113"/>
      <c r="C25" s="113"/>
      <c r="D25" s="113"/>
      <c r="E25" s="113"/>
      <c r="F25" s="113"/>
      <c r="G25" s="113"/>
      <c r="H25" s="113"/>
      <c r="I25" s="114"/>
    </row>
    <row r="26" spans="1:9" ht="37.950000000000003" customHeight="1">
      <c r="A26" s="109" t="s">
        <v>953</v>
      </c>
      <c r="B26" s="110"/>
      <c r="C26" s="110"/>
      <c r="D26" s="110"/>
      <c r="E26" s="110"/>
      <c r="F26" s="110"/>
      <c r="G26" s="110"/>
      <c r="H26" s="110"/>
      <c r="I26" s="111"/>
    </row>
    <row r="27" spans="1:9" ht="37.950000000000003" customHeight="1">
      <c r="A27" s="109" t="s">
        <v>954</v>
      </c>
      <c r="B27" s="110"/>
      <c r="C27" s="110"/>
      <c r="D27" s="110"/>
      <c r="E27" s="110"/>
      <c r="F27" s="110"/>
      <c r="G27" s="110"/>
      <c r="H27" s="110"/>
      <c r="I27" s="111"/>
    </row>
    <row r="28" spans="1:9" ht="37.950000000000003" customHeight="1">
      <c r="A28" s="109" t="s">
        <v>955</v>
      </c>
      <c r="B28" s="110"/>
      <c r="C28" s="110"/>
      <c r="D28" s="110"/>
      <c r="E28" s="110"/>
      <c r="F28" s="110"/>
      <c r="G28" s="110"/>
      <c r="H28" s="110"/>
      <c r="I28" s="111"/>
    </row>
    <row r="29" spans="1:9" ht="37.950000000000003" customHeight="1">
      <c r="A29" s="109" t="s">
        <v>956</v>
      </c>
      <c r="B29" s="110"/>
      <c r="C29" s="110"/>
      <c r="D29" s="110"/>
      <c r="E29" s="110"/>
      <c r="F29" s="110"/>
      <c r="G29" s="110"/>
      <c r="H29" s="110"/>
      <c r="I29" s="111"/>
    </row>
  </sheetData>
  <mergeCells count="5">
    <mergeCell ref="A29:I29"/>
    <mergeCell ref="A25:I25"/>
    <mergeCell ref="A28:I28"/>
    <mergeCell ref="A27:I27"/>
    <mergeCell ref="A26:I26"/>
  </mergeCell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3"/>
  <dimension ref="A1:K32"/>
  <sheetViews>
    <sheetView rightToLeft="1" topLeftCell="A7" workbookViewId="0">
      <pane ySplit="1" topLeftCell="A2" activePane="bottomLeft" state="frozen"/>
      <selection pane="bottomLeft" sqref="A1:H1"/>
    </sheetView>
  </sheetViews>
  <sheetFormatPr defaultRowHeight="14.4"/>
  <cols>
    <col min="1" max="2" width="38" customWidth="1"/>
    <col min="3" max="3" width="31" customWidth="1"/>
    <col min="4" max="4" width="19" customWidth="1"/>
    <col min="5" max="5" width="31" customWidth="1"/>
    <col min="6" max="6" width="14" customWidth="1"/>
    <col min="7" max="7" width="38" customWidth="1"/>
    <col min="8" max="8" width="14" customWidth="1"/>
    <col min="9" max="9" width="38" customWidth="1"/>
    <col min="10" max="11" width="14" customWidth="1"/>
  </cols>
  <sheetData>
    <row r="1" spans="1:11" ht="37.950000000000003" customHeight="1">
      <c r="A1" s="153" t="s">
        <v>957</v>
      </c>
      <c r="B1" s="116"/>
      <c r="C1" s="116"/>
      <c r="D1" s="116"/>
      <c r="E1" s="116"/>
      <c r="F1" s="116"/>
      <c r="G1" s="116"/>
      <c r="H1" s="154"/>
      <c r="I1" s="145" t="str">
        <f>IF('الافتراضات والمدخلات'!H1&gt;=12,"✅  مكتمل",IF('الافتراضات والمدخلات'!H1&gt;=7,"⚠  ناقص ("&amp;(13-'الافتراضات والمدخلات'!H1)&amp;" حقل)","❌  غير كافٍ"))</f>
        <v>✅  مكتمل</v>
      </c>
      <c r="J1" s="110"/>
      <c r="K1" s="111"/>
    </row>
    <row r="2" spans="1:11" ht="22.05" customHeight="1">
      <c r="A2" s="145" t="str">
        <f>" رقم التقرير: "&amp;'الافتراضات والمدخلات'!E1&amp;"   |   التاريخ: "&amp;'الافتراضات والمدخلات'!E2&amp;"   |   الموقع: "&amp;'الافتراضات والمدخلات'!B13&amp;"   |   القطاع: residential"</f>
        <v xml:space="preserve"> رقم التقرير: ES-20260501-21F2   |   التاريخ: 01/05/2026   |   الموقع: التجمع الخامس   |   القطاع: residential</v>
      </c>
      <c r="B2" s="110"/>
      <c r="C2" s="110"/>
      <c r="D2" s="110"/>
      <c r="E2" s="110"/>
      <c r="F2" s="110"/>
      <c r="G2" s="110"/>
      <c r="H2" s="110"/>
      <c r="I2" s="110"/>
      <c r="J2" s="110"/>
      <c r="K2" s="111"/>
    </row>
    <row r="3" spans="1:11" ht="18" customHeight="1">
      <c r="A3" s="109" t="s">
        <v>958</v>
      </c>
      <c r="B3" s="110"/>
      <c r="C3" s="110"/>
      <c r="D3" s="110"/>
      <c r="E3" s="110"/>
      <c r="F3" s="110"/>
      <c r="G3" s="110"/>
      <c r="H3" s="110"/>
      <c r="I3" s="110"/>
      <c r="J3" s="110"/>
      <c r="K3" s="111"/>
    </row>
    <row r="4" spans="1:11" ht="25.95" customHeight="1">
      <c r="A4" s="70" t="s">
        <v>959</v>
      </c>
      <c r="C4" s="71" t="s">
        <v>960</v>
      </c>
      <c r="E4" s="72" t="s">
        <v>961</v>
      </c>
      <c r="G4" s="73" t="s">
        <v>962</v>
      </c>
      <c r="I4" s="74" t="s">
        <v>963</v>
      </c>
    </row>
    <row r="5" spans="1:11" ht="42" customHeight="1">
      <c r="A5" s="75">
        <f>'الافتراضات والمدخلات'!B27</f>
        <v>4989300</v>
      </c>
      <c r="B5" s="191">
        <v>3524357.089127156</v>
      </c>
      <c r="C5" s="76">
        <f>'DCF — التدفقات النقدية'!B35</f>
        <v>578286.37896587327</v>
      </c>
      <c r="D5" s="191">
        <v>17621.785445635782</v>
      </c>
      <c r="E5" s="77">
        <f>'DCF — التدفقات النقدية'!B37</f>
        <v>-4411013.6210341267</v>
      </c>
      <c r="G5" s="78">
        <f>'DCF — التدفقات النقدية'!B41</f>
        <v>-0.14767291454364673</v>
      </c>
      <c r="I5" s="79" t="str">
        <f>'DCF — التدفقات النقدية'!B43&amp;"%"</f>
        <v>-71.4003819165021%</v>
      </c>
    </row>
    <row r="6" spans="1:11" ht="4.05" customHeight="1">
      <c r="A6" s="2"/>
      <c r="B6" s="192"/>
      <c r="C6" s="2"/>
      <c r="D6" s="192"/>
      <c r="E6" s="2"/>
      <c r="F6" s="2"/>
      <c r="G6" s="2"/>
      <c r="H6" s="2"/>
      <c r="I6" s="2"/>
      <c r="J6" s="2"/>
      <c r="K6" s="2"/>
    </row>
    <row r="7" spans="1:11" ht="22.05" customHeight="1">
      <c r="A7" s="190" t="s">
        <v>964</v>
      </c>
      <c r="B7" s="113"/>
      <c r="C7" s="113"/>
      <c r="D7" s="113"/>
      <c r="E7" s="113"/>
      <c r="F7" s="113"/>
      <c r="G7" s="113"/>
      <c r="H7" s="113"/>
      <c r="I7" s="113"/>
      <c r="J7" s="113"/>
      <c r="K7" s="114"/>
    </row>
    <row r="8" spans="1:11" ht="34.049999999999997" customHeight="1">
      <c r="A8" s="193" t="str">
        <f>IF(ISNUMBER('DCF — التدفقات النقدية'!B41),IF('DCF — التدفقات النقدية'!B41&gt;=0.15,"✅  استثمار ممتاز — العائد يتجاوز 15%، يُنصح بالمضي قدماً.",IF('DCF — التدفقات النقدية'!B41&gt;=0.1,"✔  استثمار جيد — العائد يتجاوز 10%، مقبول في ظروف السوق الحالية.",IF('DCF — التدفقات النقدية'!B41&gt;=0.06,"⚠  استثمار متوسط — العائد عند الحد الأدنى. راجع الافتراضات قبل القرار.","❌  استثمار ضعيف — العائد أقل من 6%. يُنصح بالانتظار أو البحث عن بدائل."))),"⚠  تعذّر حساب IRR — تحقق من التدفقات النقدية.")</f>
        <v>❌  استثمار ضعيف — العائد أقل من 6%. يُنصح بالانتظار أو البحث عن بدائل.</v>
      </c>
      <c r="B8" s="110"/>
      <c r="C8" s="110"/>
      <c r="D8" s="110"/>
      <c r="E8" s="110"/>
      <c r="F8" s="110"/>
      <c r="G8" s="110"/>
      <c r="H8" s="110"/>
      <c r="I8" s="110"/>
      <c r="J8" s="110"/>
      <c r="K8" s="111"/>
    </row>
    <row r="9" spans="1:11" ht="28.05" customHeight="1">
      <c r="A9" s="145" t="str">
        <f>" ملاحظة الخبير: القيمة السوقية = "&amp;TEXT('الافتراضات والمدخلات'!B27,"#,##0")&amp;" EGP | قيمة DCF = "&amp;TEXT('DCF — التدفقات النقدية'!B35,"#,##0")&amp;" EGP | الفارق يعكس مستوى الثقة في افتراضات النمو والخصم."</f>
        <v xml:space="preserve"> ملاحظة الخبير: القيمة السوقية = 4,989,300 EGP | قيمة DCF = 578,286 EGP | الفارق يعكس مستوى الثقة في افتراضات النمو والخصم.</v>
      </c>
      <c r="B9" s="110"/>
      <c r="C9" s="110"/>
      <c r="D9" s="110"/>
      <c r="E9" s="110"/>
      <c r="F9" s="110"/>
      <c r="G9" s="110"/>
      <c r="H9" s="110"/>
      <c r="I9" s="110"/>
      <c r="J9" s="110"/>
      <c r="K9" s="111"/>
    </row>
    <row r="10" spans="1:11" ht="4.05" customHeight="1">
      <c r="A10" s="18" t="s">
        <v>925</v>
      </c>
      <c r="B10" s="26">
        <v>10512</v>
      </c>
      <c r="C10" s="27">
        <v>0.2</v>
      </c>
      <c r="D10" s="26">
        <v>2102</v>
      </c>
      <c r="E10" s="2"/>
      <c r="F10" s="2"/>
      <c r="G10" s="2"/>
      <c r="H10" s="2"/>
      <c r="I10" s="2"/>
      <c r="J10" s="2"/>
      <c r="K10" s="2"/>
    </row>
    <row r="11" spans="1:11" ht="19.95" customHeight="1">
      <c r="A11" s="194" t="s">
        <v>965</v>
      </c>
      <c r="B11" s="110"/>
      <c r="C11" s="111"/>
      <c r="D11" s="31">
        <v>476</v>
      </c>
      <c r="I11" s="24" t="s">
        <v>966</v>
      </c>
    </row>
    <row r="12" spans="1:11" ht="20.399999999999999" customHeight="1">
      <c r="A12" s="18" t="s">
        <v>967</v>
      </c>
      <c r="B12" s="80" t="s">
        <v>968</v>
      </c>
      <c r="C12" s="27">
        <v>0.15</v>
      </c>
      <c r="D12" s="26">
        <v>3538</v>
      </c>
      <c r="I12" s="19" t="str">
        <f>INDEX('أفضل وأعلى استخدام — HABU'!A13:A16,MATCH(MAX('أفضل وأعلى استخدام — HABU'!F13:F16),'أفضل وأعلى استخدام — HABU'!F13:F16,0))</f>
        <v>تجاري (Commercial)</v>
      </c>
    </row>
    <row r="13" spans="1:11" ht="19.95" customHeight="1">
      <c r="A13" s="30" t="s">
        <v>97</v>
      </c>
      <c r="B13" s="81">
        <f>MIN(10,MAX(1,'الافتراضات والمدخلات'!B5/5000))</f>
        <v>6.6524000000000001</v>
      </c>
      <c r="C13" s="27">
        <v>0.12</v>
      </c>
      <c r="D13" s="26">
        <v>2758</v>
      </c>
      <c r="I13" s="19" t="str">
        <f>"القيمة: "&amp;TEXT(MAX('أفضل وأعلى استخدام — HABU'!F13:F16),"#,##0")&amp;" EGP"</f>
        <v>القيمة: 866,400 EGP</v>
      </c>
    </row>
    <row r="14" spans="1:11" ht="19.95" customHeight="1">
      <c r="A14" s="30" t="s">
        <v>969</v>
      </c>
      <c r="B14" s="81">
        <f>MIN(10,MAX(1,(2026-'الافتراضات والمدخلات'!B10)/3))</f>
        <v>5.333333333333333</v>
      </c>
      <c r="C14" s="27">
        <v>0.08</v>
      </c>
      <c r="D14" s="26">
        <v>1948</v>
      </c>
    </row>
    <row r="15" spans="1:11" ht="19.95" customHeight="1">
      <c r="A15" s="24" t="s">
        <v>970</v>
      </c>
      <c r="B15" s="82">
        <f>MIN(10,MAX(1,'DCF — التدفقات النقدية'!B41*60))</f>
        <v>1</v>
      </c>
      <c r="I15" s="24" t="s">
        <v>971</v>
      </c>
    </row>
    <row r="16" spans="1:11" ht="19.95" customHeight="1">
      <c r="A16" s="24" t="s">
        <v>972</v>
      </c>
      <c r="B16" s="82">
        <f>MIN(10,MAX(1,'الافتراضات والمدخلات'!B5/4000))</f>
        <v>8.3155000000000001</v>
      </c>
      <c r="I16" s="82">
        <v>7.8</v>
      </c>
    </row>
    <row r="17" spans="1:11" ht="19.95" customHeight="1">
      <c r="A17" s="30" t="s">
        <v>973</v>
      </c>
      <c r="B17" s="81">
        <f>MIN(10,MAX(1,IF('الافتراضات والمدخلات'!B27&gt;0,'DCF — التدفقات النقدية'!B35/'الافتراضات والمدخلات'!B27*7,5)))</f>
        <v>1</v>
      </c>
      <c r="I17" s="20" t="s">
        <v>974</v>
      </c>
    </row>
    <row r="18" spans="1:11" ht="22.05" customHeight="1">
      <c r="A18" s="112" t="s">
        <v>975</v>
      </c>
      <c r="B18" s="113"/>
      <c r="C18" s="113"/>
      <c r="D18" s="113"/>
      <c r="E18" s="114"/>
    </row>
    <row r="19" spans="1:11" ht="18" customHeight="1">
      <c r="A19" s="24" t="s">
        <v>354</v>
      </c>
      <c r="B19" s="24" t="s">
        <v>976</v>
      </c>
      <c r="C19" s="24" t="s">
        <v>813</v>
      </c>
      <c r="D19" s="24" t="s">
        <v>445</v>
      </c>
      <c r="E19" s="24" t="s">
        <v>977</v>
      </c>
    </row>
    <row r="20" spans="1:11" ht="28.05" customHeight="1">
      <c r="A20" s="112" t="s">
        <v>978</v>
      </c>
      <c r="B20" s="113"/>
      <c r="C20" s="113"/>
      <c r="D20" s="113"/>
      <c r="E20" s="113"/>
      <c r="F20" s="113"/>
      <c r="G20" s="113"/>
      <c r="H20" s="113"/>
      <c r="I20" s="113"/>
      <c r="J20" s="113"/>
      <c r="K20" s="114"/>
    </row>
    <row r="21" spans="1:11" ht="19.95" customHeight="1">
      <c r="A21" s="109" t="s">
        <v>979</v>
      </c>
      <c r="B21" s="110"/>
      <c r="C21" s="110"/>
      <c r="D21" s="110"/>
      <c r="E21" s="110"/>
      <c r="F21" s="110"/>
      <c r="G21" s="110"/>
      <c r="H21" s="110"/>
      <c r="I21" s="110"/>
      <c r="J21" s="110"/>
      <c r="K21" s="111"/>
    </row>
    <row r="22" spans="1:11" ht="19.95" customHeight="1">
      <c r="A22" s="109" t="s">
        <v>980</v>
      </c>
      <c r="B22" s="110"/>
      <c r="C22" s="110"/>
      <c r="D22" s="110"/>
      <c r="E22" s="110"/>
      <c r="F22" s="110"/>
      <c r="G22" s="110"/>
      <c r="H22" s="110"/>
      <c r="I22" s="110"/>
      <c r="J22" s="110"/>
      <c r="K22" s="111"/>
    </row>
    <row r="23" spans="1:11" ht="19.95" customHeight="1">
      <c r="A23" s="109" t="s">
        <v>981</v>
      </c>
      <c r="B23" s="110"/>
      <c r="C23" s="110"/>
      <c r="D23" s="110"/>
      <c r="E23" s="110"/>
      <c r="F23" s="110"/>
      <c r="G23" s="110"/>
      <c r="H23" s="110"/>
      <c r="I23" s="110"/>
      <c r="J23" s="110"/>
      <c r="K23" s="111"/>
    </row>
    <row r="24" spans="1:11" ht="19.95" customHeight="1">
      <c r="A24" s="109" t="s">
        <v>982</v>
      </c>
      <c r="B24" s="110"/>
      <c r="C24" s="110"/>
      <c r="D24" s="110"/>
      <c r="E24" s="110"/>
      <c r="F24" s="110"/>
      <c r="G24" s="110"/>
      <c r="H24" s="110"/>
      <c r="I24" s="110"/>
      <c r="J24" s="110"/>
      <c r="K24" s="111"/>
    </row>
    <row r="25" spans="1:11" ht="19.95" customHeight="1">
      <c r="A25" s="175" t="s">
        <v>983</v>
      </c>
      <c r="B25" s="110"/>
      <c r="C25" s="110"/>
      <c r="D25" s="110"/>
      <c r="E25" s="110"/>
      <c r="F25" s="110"/>
      <c r="G25" s="110"/>
      <c r="H25" s="110"/>
      <c r="I25" s="110"/>
      <c r="J25" s="110"/>
      <c r="K25" s="111"/>
    </row>
    <row r="26" spans="1:11" ht="18" customHeight="1">
      <c r="A26" s="109" t="s">
        <v>984</v>
      </c>
      <c r="B26" s="110"/>
      <c r="C26" s="110"/>
      <c r="D26" s="110"/>
      <c r="E26" s="110"/>
      <c r="F26" s="111"/>
      <c r="G26" s="109" t="s">
        <v>985</v>
      </c>
      <c r="H26" s="110"/>
      <c r="I26" s="110"/>
      <c r="J26" s="110"/>
      <c r="K26" s="111"/>
    </row>
    <row r="27" spans="1:11" ht="16.05" customHeight="1">
      <c r="A27" s="112" t="s">
        <v>986</v>
      </c>
      <c r="B27" s="113"/>
      <c r="C27" s="113"/>
      <c r="D27" s="113"/>
      <c r="E27" s="113"/>
      <c r="F27" s="113"/>
      <c r="G27" s="113"/>
      <c r="H27" s="113"/>
      <c r="I27" s="113"/>
      <c r="J27" s="113"/>
      <c r="K27" s="114"/>
    </row>
    <row r="29" spans="1:11" ht="15.6">
      <c r="A29" s="18" t="s">
        <v>987</v>
      </c>
    </row>
    <row r="30" spans="1:11">
      <c r="A30" s="83" t="s">
        <v>988</v>
      </c>
      <c r="C30" s="83" t="s">
        <v>989</v>
      </c>
      <c r="E30" s="83" t="s">
        <v>990</v>
      </c>
    </row>
    <row r="31" spans="1:11">
      <c r="A31" s="83" t="s">
        <v>991</v>
      </c>
      <c r="C31" s="83" t="s">
        <v>992</v>
      </c>
      <c r="E31" s="83" t="s">
        <v>993</v>
      </c>
    </row>
    <row r="32" spans="1:11">
      <c r="A32" s="83" t="s">
        <v>994</v>
      </c>
      <c r="C32" s="83" t="s">
        <v>995</v>
      </c>
      <c r="E32" s="83" t="s">
        <v>996</v>
      </c>
    </row>
  </sheetData>
  <mergeCells count="20">
    <mergeCell ref="A27:K27"/>
    <mergeCell ref="A3:K3"/>
    <mergeCell ref="A21:K21"/>
    <mergeCell ref="A2:K2"/>
    <mergeCell ref="A23:K23"/>
    <mergeCell ref="B5:B6"/>
    <mergeCell ref="A8:K8"/>
    <mergeCell ref="G26:K26"/>
    <mergeCell ref="D5:D6"/>
    <mergeCell ref="A22:K22"/>
    <mergeCell ref="A11:C11"/>
    <mergeCell ref="A20:K20"/>
    <mergeCell ref="A9:K9"/>
    <mergeCell ref="A24:K24"/>
    <mergeCell ref="A1:H1"/>
    <mergeCell ref="A26:F26"/>
    <mergeCell ref="A7:K7"/>
    <mergeCell ref="A25:K25"/>
    <mergeCell ref="I1:K1"/>
    <mergeCell ref="A18:E18"/>
  </mergeCells>
  <conditionalFormatting sqref="B13:B17">
    <cfRule type="dataBar" priority="1">
      <dataBar>
        <cfvo type="num" val="0"/>
        <cfvo type="num" val="10"/>
        <color rgb="FFC9A961"/>
      </dataBar>
    </cfRule>
  </conditionalFormatting>
  <conditionalFormatting sqref="D11:D17">
    <cfRule type="colorScale" priority="2">
      <colorScale>
        <cfvo type="min"/>
        <cfvo type="percentile" val="50"/>
        <cfvo type="max"/>
        <color rgb="FFC9EAD9"/>
        <color rgb="FFF8EFC9"/>
        <color rgb="FFFBE0D7"/>
      </colorScale>
    </cfRule>
  </conditionalFormatting>
  <hyperlinks>
    <hyperlink ref="A30" location="'الافتراضات والمدخلات'!A1" display="🎛 المدخلات" xr:uid="{00000000-0004-0000-0F00-000000000000}"/>
    <hyperlink ref="C30" location="'التقرير'!A1" display="📑 التقرير الرسمى" xr:uid="{00000000-0004-0000-0F00-000001000000}"/>
    <hyperlink ref="E30" location="'توفيق النتائج'!A1" display="🎯 توفيق النتائج" xr:uid="{00000000-0004-0000-0F00-000002000000}"/>
    <hyperlink ref="A31" location="'DCF — التدفقات النقدية'!A1" display="💵 DCF" xr:uid="{00000000-0004-0000-0F00-000003000000}"/>
    <hyperlink ref="C31" location="'أفضل وأعلى استخدام — HABU'!A1" display="🏆 HABU" xr:uid="{00000000-0004-0000-0F00-000004000000}"/>
    <hyperlink ref="E31" location="'ملخص تنفيذى'!A1" display="⚡ الملخص التنفيذى" xr:uid="{00000000-0004-0000-0F00-000005000000}"/>
    <hyperlink ref="A32" location="'📊 تحليل الحساسية'!A1" display="📊 الحساسية" xr:uid="{00000000-0004-0000-0F00-000006000000}"/>
    <hyperlink ref="C32" location="'🎯 مصفوفة SWOT'!A1" display="🎯 SWOT" xr:uid="{00000000-0004-0000-0F00-000007000000}"/>
    <hyperlink ref="E32" location="'💰 الاقتراض والكاش'!A1" display="💰 التمويل" xr:uid="{00000000-0004-0000-0F00-000008000000}"/>
  </hyperlinks>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4"/>
  <dimension ref="A1:I32"/>
  <sheetViews>
    <sheetView rightToLeft="1" topLeftCell="A12" workbookViewId="0">
      <pane ySplit="1" topLeftCell="A2" activePane="bottomLeft" state="frozen"/>
      <selection sqref="A1:H1"/>
      <selection pane="bottomLeft" sqref="A1:H1"/>
    </sheetView>
  </sheetViews>
  <sheetFormatPr defaultRowHeight="14.4"/>
  <cols>
    <col min="1" max="3" width="38" customWidth="1"/>
    <col min="4" max="9" width="14" customWidth="1"/>
  </cols>
  <sheetData>
    <row r="1" spans="1:3" ht="37.950000000000003" customHeight="1">
      <c r="A1" s="153" t="s">
        <v>997</v>
      </c>
      <c r="B1" s="116"/>
      <c r="C1" s="154"/>
    </row>
    <row r="2" spans="1:3" ht="19.95" customHeight="1">
      <c r="A2" s="112" t="s">
        <v>998</v>
      </c>
      <c r="B2" s="113"/>
      <c r="C2" s="114"/>
    </row>
    <row r="4" spans="1:3" ht="23.4" customHeight="1">
      <c r="A4" s="112" t="s">
        <v>999</v>
      </c>
      <c r="B4" s="113"/>
      <c r="C4" s="114"/>
    </row>
    <row r="5" spans="1:3" ht="19.95" customHeight="1">
      <c r="A5" s="24" t="s">
        <v>1000</v>
      </c>
      <c r="B5" s="24" t="s">
        <v>1001</v>
      </c>
      <c r="C5" s="24" t="s">
        <v>1002</v>
      </c>
    </row>
    <row r="6" spans="1:3" ht="20.399999999999999" customHeight="1">
      <c r="A6" s="18" t="s">
        <v>1003</v>
      </c>
      <c r="B6" s="20" t="s">
        <v>1004</v>
      </c>
      <c r="C6" s="20" t="s">
        <v>1005</v>
      </c>
    </row>
    <row r="7" spans="1:3" ht="20.399999999999999" customHeight="1">
      <c r="A7" s="18" t="s">
        <v>1006</v>
      </c>
      <c r="B7" s="20" t="s">
        <v>1007</v>
      </c>
      <c r="C7" s="20" t="s">
        <v>1008</v>
      </c>
    </row>
    <row r="8" spans="1:3" ht="20.399999999999999" customHeight="1">
      <c r="A8" s="18" t="s">
        <v>1009</v>
      </c>
      <c r="B8" s="20" t="s">
        <v>1010</v>
      </c>
      <c r="C8" s="20" t="s">
        <v>1011</v>
      </c>
    </row>
    <row r="9" spans="1:3" ht="20.399999999999999" customHeight="1">
      <c r="A9" s="18" t="s">
        <v>1012</v>
      </c>
      <c r="B9" s="20" t="s">
        <v>1013</v>
      </c>
      <c r="C9" s="20" t="s">
        <v>1014</v>
      </c>
    </row>
    <row r="10" spans="1:3" ht="20.399999999999999" customHeight="1">
      <c r="A10" s="18" t="s">
        <v>1015</v>
      </c>
      <c r="B10" s="20" t="s">
        <v>1016</v>
      </c>
      <c r="C10" s="20" t="s">
        <v>1017</v>
      </c>
    </row>
    <row r="12" spans="1:3" ht="23.4" customHeight="1">
      <c r="A12" s="112" t="s">
        <v>1018</v>
      </c>
      <c r="B12" s="113"/>
      <c r="C12" s="114"/>
    </row>
    <row r="13" spans="1:3" ht="19.95" customHeight="1">
      <c r="A13" s="24" t="s">
        <v>1019</v>
      </c>
      <c r="B13" s="24" t="s">
        <v>1020</v>
      </c>
      <c r="C13" s="24" t="s">
        <v>1021</v>
      </c>
    </row>
    <row r="14" spans="1:3" ht="20.399999999999999" customHeight="1">
      <c r="A14" s="18" t="s">
        <v>1022</v>
      </c>
      <c r="B14" s="20" t="s">
        <v>1023</v>
      </c>
      <c r="C14" s="20" t="s">
        <v>1024</v>
      </c>
    </row>
    <row r="15" spans="1:3" ht="20.399999999999999" customHeight="1">
      <c r="A15" s="18" t="s">
        <v>1025</v>
      </c>
      <c r="B15" s="20" t="s">
        <v>1026</v>
      </c>
      <c r="C15" s="20" t="s">
        <v>1027</v>
      </c>
    </row>
    <row r="16" spans="1:3" ht="20.399999999999999" customHeight="1">
      <c r="A16" s="18" t="s">
        <v>1028</v>
      </c>
      <c r="B16" s="20" t="s">
        <v>1029</v>
      </c>
      <c r="C16" s="20" t="s">
        <v>1030</v>
      </c>
    </row>
    <row r="17" spans="1:9" ht="20.399999999999999" customHeight="1">
      <c r="A17" s="18" t="s">
        <v>1031</v>
      </c>
      <c r="B17" s="20" t="s">
        <v>1032</v>
      </c>
      <c r="C17" s="20" t="s">
        <v>1033</v>
      </c>
    </row>
    <row r="18" spans="1:9" ht="20.399999999999999" customHeight="1">
      <c r="A18" s="18" t="s">
        <v>1034</v>
      </c>
      <c r="B18" s="20" t="s">
        <v>1035</v>
      </c>
      <c r="C18" s="20" t="s">
        <v>1036</v>
      </c>
    </row>
    <row r="20" spans="1:9" ht="23.4" customHeight="1">
      <c r="A20" s="112" t="s">
        <v>1037</v>
      </c>
      <c r="B20" s="113"/>
      <c r="C20" s="114"/>
    </row>
    <row r="21" spans="1:9" ht="19.95" customHeight="1">
      <c r="A21" s="24" t="s">
        <v>1038</v>
      </c>
      <c r="B21" s="24" t="s">
        <v>1039</v>
      </c>
      <c r="C21" s="24" t="s">
        <v>1040</v>
      </c>
    </row>
    <row r="22" spans="1:9" ht="20.399999999999999" customHeight="1">
      <c r="A22" s="18" t="s">
        <v>1041</v>
      </c>
      <c r="B22" s="20" t="s">
        <v>1042</v>
      </c>
      <c r="C22" s="20" t="s">
        <v>1043</v>
      </c>
    </row>
    <row r="23" spans="1:9" ht="20.399999999999999" customHeight="1">
      <c r="A23" s="18" t="s">
        <v>1044</v>
      </c>
      <c r="B23" s="20" t="s">
        <v>1045</v>
      </c>
      <c r="C23" s="20" t="s">
        <v>1046</v>
      </c>
    </row>
    <row r="24" spans="1:9" ht="20.399999999999999" customHeight="1">
      <c r="A24" s="18" t="s">
        <v>1047</v>
      </c>
      <c r="B24" s="20" t="s">
        <v>1048</v>
      </c>
      <c r="C24" s="20" t="s">
        <v>1049</v>
      </c>
    </row>
    <row r="25" spans="1:9" ht="20.399999999999999" customHeight="1">
      <c r="A25" s="18" t="s">
        <v>1050</v>
      </c>
      <c r="B25" s="20" t="s">
        <v>1051</v>
      </c>
      <c r="C25" s="20" t="s">
        <v>1052</v>
      </c>
    </row>
    <row r="26" spans="1:9" ht="20.399999999999999" customHeight="1">
      <c r="A26" s="18" t="s">
        <v>1053</v>
      </c>
      <c r="B26" s="20" t="s">
        <v>1054</v>
      </c>
      <c r="C26" s="20" t="s">
        <v>1055</v>
      </c>
    </row>
    <row r="27" spans="1:9" ht="20.399999999999999" customHeight="1">
      <c r="A27" s="18" t="s">
        <v>1056</v>
      </c>
      <c r="B27" s="20" t="s">
        <v>1057</v>
      </c>
      <c r="C27" s="20" t="s">
        <v>1058</v>
      </c>
    </row>
    <row r="28" spans="1:9" ht="24" customHeight="1">
      <c r="A28" s="112" t="s">
        <v>1059</v>
      </c>
      <c r="B28" s="113"/>
      <c r="C28" s="113"/>
      <c r="D28" s="113"/>
      <c r="E28" s="113"/>
      <c r="F28" s="113"/>
      <c r="G28" s="113"/>
      <c r="H28" s="113"/>
      <c r="I28" s="114"/>
    </row>
    <row r="29" spans="1:9" ht="37.950000000000003" customHeight="1">
      <c r="A29" s="109" t="s">
        <v>1060</v>
      </c>
      <c r="B29" s="110"/>
      <c r="C29" s="110"/>
      <c r="D29" s="110"/>
      <c r="E29" s="110"/>
      <c r="F29" s="110"/>
      <c r="G29" s="110"/>
      <c r="H29" s="110"/>
      <c r="I29" s="111"/>
    </row>
    <row r="30" spans="1:9" ht="37.950000000000003" customHeight="1">
      <c r="A30" s="109" t="s">
        <v>1061</v>
      </c>
      <c r="B30" s="110"/>
      <c r="C30" s="110"/>
      <c r="D30" s="110"/>
      <c r="E30" s="110"/>
      <c r="F30" s="110"/>
      <c r="G30" s="110"/>
      <c r="H30" s="110"/>
      <c r="I30" s="111"/>
    </row>
    <row r="31" spans="1:9" ht="37.950000000000003" customHeight="1">
      <c r="A31" s="109" t="s">
        <v>1062</v>
      </c>
      <c r="B31" s="110"/>
      <c r="C31" s="110"/>
      <c r="D31" s="110"/>
      <c r="E31" s="110"/>
      <c r="F31" s="110"/>
      <c r="G31" s="110"/>
      <c r="H31" s="110"/>
      <c r="I31" s="111"/>
    </row>
    <row r="32" spans="1:9" ht="37.950000000000003" customHeight="1">
      <c r="A32" s="109" t="s">
        <v>1063</v>
      </c>
      <c r="B32" s="110"/>
      <c r="C32" s="110"/>
      <c r="D32" s="110"/>
      <c r="E32" s="110"/>
      <c r="F32" s="110"/>
      <c r="G32" s="110"/>
      <c r="H32" s="110"/>
      <c r="I32" s="111"/>
    </row>
  </sheetData>
  <mergeCells count="10">
    <mergeCell ref="A29:I29"/>
    <mergeCell ref="A1:C1"/>
    <mergeCell ref="A28:I28"/>
    <mergeCell ref="A32:I32"/>
    <mergeCell ref="A31:I31"/>
    <mergeCell ref="A30:I30"/>
    <mergeCell ref="A12:C12"/>
    <mergeCell ref="A4:C4"/>
    <mergeCell ref="A20:C20"/>
    <mergeCell ref="A2:C2"/>
  </mergeCells>
  <hyperlinks>
    <hyperlink ref="B6" r:id="rId1" xr:uid="{00000000-0004-0000-1000-000000000000}"/>
    <hyperlink ref="B7" r:id="rId2" xr:uid="{00000000-0004-0000-1000-000001000000}"/>
    <hyperlink ref="B8" r:id="rId3" xr:uid="{00000000-0004-0000-1000-000002000000}"/>
    <hyperlink ref="B9" r:id="rId4" xr:uid="{00000000-0004-0000-1000-000003000000}"/>
    <hyperlink ref="B10" r:id="rId5" xr:uid="{00000000-0004-0000-1000-000004000000}"/>
    <hyperlink ref="B14" r:id="rId6" xr:uid="{00000000-0004-0000-1000-000005000000}"/>
    <hyperlink ref="B15" r:id="rId7" xr:uid="{00000000-0004-0000-1000-000006000000}"/>
    <hyperlink ref="B16" r:id="rId8" xr:uid="{00000000-0004-0000-1000-000007000000}"/>
    <hyperlink ref="B17" r:id="rId9" xr:uid="{00000000-0004-0000-1000-000008000000}"/>
    <hyperlink ref="B18" r:id="rId10" xr:uid="{00000000-0004-0000-1000-000009000000}"/>
  </hyperlinks>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dimension ref="A1:I83"/>
  <sheetViews>
    <sheetView rightToLeft="1" workbookViewId="0">
      <pane ySplit="1" topLeftCell="A2" activePane="bottomLeft" state="frozen"/>
      <selection pane="bottomLeft"/>
    </sheetView>
  </sheetViews>
  <sheetFormatPr defaultRowHeight="14.4"/>
  <cols>
    <col min="1" max="2" width="38" customWidth="1"/>
    <col min="3" max="3" width="16" customWidth="1"/>
    <col min="4" max="4" width="18" customWidth="1"/>
    <col min="5" max="5" width="38" customWidth="1"/>
    <col min="6" max="6" width="13" customWidth="1"/>
    <col min="7" max="7" width="17" customWidth="1"/>
    <col min="8" max="9" width="13" customWidth="1"/>
  </cols>
  <sheetData>
    <row r="1" spans="1:9" ht="37.950000000000003" customHeight="1">
      <c r="A1" s="17" t="s">
        <v>1064</v>
      </c>
    </row>
    <row r="2" spans="1:9">
      <c r="A2" s="30" t="s">
        <v>1065</v>
      </c>
    </row>
    <row r="3" spans="1:9">
      <c r="A3" s="30" t="s">
        <v>1066</v>
      </c>
    </row>
    <row r="4" spans="1:9">
      <c r="A4" s="30" t="s">
        <v>132</v>
      </c>
      <c r="B4" s="20" t="s">
        <v>74</v>
      </c>
      <c r="C4" s="20" t="s">
        <v>134</v>
      </c>
    </row>
    <row r="5" spans="1:9">
      <c r="A5" s="30" t="s">
        <v>445</v>
      </c>
      <c r="B5" s="19">
        <f>'الافتراضات والمدخلات'!B4</f>
        <v>150</v>
      </c>
      <c r="C5" s="20" t="s">
        <v>24</v>
      </c>
    </row>
    <row r="6" spans="1:9">
      <c r="A6" s="30" t="s">
        <v>447</v>
      </c>
      <c r="B6" s="19">
        <f>'الافتراضات والمدخلات'!B5</f>
        <v>33262</v>
      </c>
      <c r="C6" s="20" t="s">
        <v>26</v>
      </c>
    </row>
    <row r="7" spans="1:9">
      <c r="A7" s="30" t="s">
        <v>1067</v>
      </c>
      <c r="B7" s="19">
        <f>'الافتراضات والمدخلات'!B6</f>
        <v>380</v>
      </c>
      <c r="C7" s="20" t="s">
        <v>1068</v>
      </c>
    </row>
    <row r="8" spans="1:9">
      <c r="A8" s="30" t="s">
        <v>106</v>
      </c>
      <c r="B8" s="19">
        <f>'الافتراضات والمدخلات'!B20</f>
        <v>0.12</v>
      </c>
      <c r="C8" s="20" t="s">
        <v>178</v>
      </c>
    </row>
    <row r="9" spans="1:9">
      <c r="A9" s="30" t="s">
        <v>108</v>
      </c>
      <c r="B9" s="19">
        <f>'الافتراضات والمدخلات'!B21</f>
        <v>0.05</v>
      </c>
      <c r="C9" s="20" t="s">
        <v>178</v>
      </c>
    </row>
    <row r="10" spans="1:9">
      <c r="A10" s="30" t="s">
        <v>116</v>
      </c>
      <c r="B10" s="19">
        <f>'الافتراضات والمدخلات'!B25</f>
        <v>10</v>
      </c>
      <c r="C10" s="20" t="s">
        <v>32</v>
      </c>
    </row>
    <row r="11" spans="1:9">
      <c r="A11" s="30" t="s">
        <v>1069</v>
      </c>
      <c r="B11" s="19">
        <f>'الافتراضات والمدخلات'!B7</f>
        <v>0.08</v>
      </c>
    </row>
    <row r="12" spans="1:9">
      <c r="A12" s="30" t="s">
        <v>112</v>
      </c>
      <c r="B12" s="19">
        <f>'الافتراضات والمدخلات'!B23</f>
        <v>0.05</v>
      </c>
    </row>
    <row r="13" spans="1:9">
      <c r="A13" s="30" t="s">
        <v>114</v>
      </c>
      <c r="B13" s="19">
        <f>'الافتراضات والمدخلات'!B24</f>
        <v>0.2</v>
      </c>
    </row>
    <row r="14" spans="1:9">
      <c r="A14" s="30" t="s">
        <v>1070</v>
      </c>
      <c r="B14" s="19">
        <f>B5*B6</f>
        <v>4989300</v>
      </c>
      <c r="C14" s="20" t="s">
        <v>35</v>
      </c>
    </row>
    <row r="16" spans="1:9">
      <c r="A16" s="30" t="s">
        <v>1071</v>
      </c>
      <c r="B16" s="20" t="s">
        <v>1072</v>
      </c>
      <c r="C16" s="20" t="s">
        <v>1073</v>
      </c>
      <c r="D16" s="20" t="s">
        <v>1074</v>
      </c>
      <c r="E16" s="20" t="s">
        <v>1075</v>
      </c>
      <c r="F16" s="20" t="s">
        <v>1076</v>
      </c>
      <c r="G16" s="20" t="s">
        <v>1077</v>
      </c>
      <c r="H16" s="20" t="s">
        <v>1078</v>
      </c>
      <c r="I16" s="20" t="s">
        <v>1079</v>
      </c>
    </row>
    <row r="17" spans="1:9">
      <c r="A17" s="19">
        <v>1</v>
      </c>
      <c r="B17" s="19">
        <f t="shared" ref="B17:B26" si="0">$B$5*$B$7*(1+$B$9)^(A17-1)</f>
        <v>57000</v>
      </c>
      <c r="C17" s="19">
        <f t="shared" ref="C17:C26" si="1">B17*$B$12</f>
        <v>2850</v>
      </c>
      <c r="D17" s="19">
        <f t="shared" ref="D17:D26" si="2">B17-C17</f>
        <v>54150</v>
      </c>
      <c r="E17" s="19">
        <f t="shared" ref="E17:E26" si="3">D17*$B$13</f>
        <v>10830</v>
      </c>
      <c r="F17" s="19">
        <f t="shared" ref="F17:F26" si="4">D17-E17</f>
        <v>43320</v>
      </c>
      <c r="G17" s="19">
        <f t="shared" ref="G17:G26" si="5">1/(1+$B$8)^A17</f>
        <v>0.89285714285714279</v>
      </c>
      <c r="H17" s="19">
        <f t="shared" ref="H17:H26" si="6">F17*G17</f>
        <v>38678.571428571428</v>
      </c>
      <c r="I17" s="19">
        <f>-$B$14</f>
        <v>-4989300</v>
      </c>
    </row>
    <row r="18" spans="1:9">
      <c r="A18" s="19">
        <v>2</v>
      </c>
      <c r="B18" s="19">
        <f t="shared" si="0"/>
        <v>59850</v>
      </c>
      <c r="C18" s="19">
        <f t="shared" si="1"/>
        <v>2992.5</v>
      </c>
      <c r="D18" s="19">
        <f t="shared" si="2"/>
        <v>56857.5</v>
      </c>
      <c r="E18" s="19">
        <f t="shared" si="3"/>
        <v>11371.5</v>
      </c>
      <c r="F18" s="19">
        <f t="shared" si="4"/>
        <v>45486</v>
      </c>
      <c r="G18" s="19">
        <f t="shared" si="5"/>
        <v>0.79719387755102034</v>
      </c>
      <c r="H18" s="19">
        <f t="shared" si="6"/>
        <v>36261.16071428571</v>
      </c>
      <c r="I18" s="19">
        <f t="shared" ref="I18:I25" si="7">F18</f>
        <v>45486</v>
      </c>
    </row>
    <row r="19" spans="1:9">
      <c r="A19" s="19">
        <v>3</v>
      </c>
      <c r="B19" s="19">
        <f t="shared" si="0"/>
        <v>62842.5</v>
      </c>
      <c r="C19" s="19">
        <f t="shared" si="1"/>
        <v>3142.125</v>
      </c>
      <c r="D19" s="19">
        <f t="shared" si="2"/>
        <v>59700.375</v>
      </c>
      <c r="E19" s="19">
        <f t="shared" si="3"/>
        <v>11940.075000000001</v>
      </c>
      <c r="F19" s="19">
        <f t="shared" si="4"/>
        <v>47760.3</v>
      </c>
      <c r="G19" s="19">
        <f t="shared" si="5"/>
        <v>0.71178024781341087</v>
      </c>
      <c r="H19" s="19">
        <f t="shared" si="6"/>
        <v>33994.838169642848</v>
      </c>
      <c r="I19" s="19">
        <f t="shared" si="7"/>
        <v>47760.3</v>
      </c>
    </row>
    <row r="20" spans="1:9">
      <c r="A20" s="19">
        <v>4</v>
      </c>
      <c r="B20" s="19">
        <f t="shared" si="0"/>
        <v>65984.625</v>
      </c>
      <c r="C20" s="19">
        <f t="shared" si="1"/>
        <v>3299.2312500000003</v>
      </c>
      <c r="D20" s="19">
        <f t="shared" si="2"/>
        <v>62685.393750000003</v>
      </c>
      <c r="E20" s="19">
        <f t="shared" si="3"/>
        <v>12537.078750000001</v>
      </c>
      <c r="F20" s="19">
        <f t="shared" si="4"/>
        <v>50148.315000000002</v>
      </c>
      <c r="G20" s="19">
        <f t="shared" si="5"/>
        <v>0.63551807840483121</v>
      </c>
      <c r="H20" s="19">
        <f t="shared" si="6"/>
        <v>31870.160784040174</v>
      </c>
      <c r="I20" s="19">
        <f t="shared" si="7"/>
        <v>50148.315000000002</v>
      </c>
    </row>
    <row r="21" spans="1:9">
      <c r="A21" s="19">
        <v>5</v>
      </c>
      <c r="B21" s="19">
        <f t="shared" si="0"/>
        <v>69283.856249999997</v>
      </c>
      <c r="C21" s="19">
        <f t="shared" si="1"/>
        <v>3464.1928124999999</v>
      </c>
      <c r="D21" s="19">
        <f t="shared" si="2"/>
        <v>65819.663437499999</v>
      </c>
      <c r="E21" s="19">
        <f t="shared" si="3"/>
        <v>13163.932687500001</v>
      </c>
      <c r="F21" s="19">
        <f t="shared" si="4"/>
        <v>52655.730750000002</v>
      </c>
      <c r="G21" s="19">
        <f t="shared" si="5"/>
        <v>0.56742685571859919</v>
      </c>
      <c r="H21" s="19">
        <f t="shared" si="6"/>
        <v>29878.27573503766</v>
      </c>
      <c r="I21" s="19">
        <f t="shared" si="7"/>
        <v>52655.730750000002</v>
      </c>
    </row>
    <row r="22" spans="1:9">
      <c r="A22" s="19">
        <v>6</v>
      </c>
      <c r="B22" s="19">
        <f t="shared" si="0"/>
        <v>72748.049062500009</v>
      </c>
      <c r="C22" s="19">
        <f t="shared" si="1"/>
        <v>3637.4024531250006</v>
      </c>
      <c r="D22" s="19">
        <f t="shared" si="2"/>
        <v>69110.646609375006</v>
      </c>
      <c r="E22" s="19">
        <f t="shared" si="3"/>
        <v>13822.129321875002</v>
      </c>
      <c r="F22" s="19">
        <f t="shared" si="4"/>
        <v>55288.517287500006</v>
      </c>
      <c r="G22" s="19">
        <f t="shared" si="5"/>
        <v>0.50663112117732068</v>
      </c>
      <c r="H22" s="19">
        <f t="shared" si="6"/>
        <v>28010.883501597804</v>
      </c>
      <c r="I22" s="19">
        <f t="shared" si="7"/>
        <v>55288.517287500006</v>
      </c>
    </row>
    <row r="23" spans="1:9">
      <c r="A23" s="19">
        <v>7</v>
      </c>
      <c r="B23" s="19">
        <f t="shared" si="0"/>
        <v>76385.451515624998</v>
      </c>
      <c r="C23" s="19">
        <f t="shared" si="1"/>
        <v>3819.27257578125</v>
      </c>
      <c r="D23" s="19">
        <f t="shared" si="2"/>
        <v>72566.178939843754</v>
      </c>
      <c r="E23" s="19">
        <f t="shared" si="3"/>
        <v>14513.235787968752</v>
      </c>
      <c r="F23" s="19">
        <f t="shared" si="4"/>
        <v>58052.943151875006</v>
      </c>
      <c r="G23" s="19">
        <f t="shared" si="5"/>
        <v>0.45234921533689343</v>
      </c>
      <c r="H23" s="19">
        <f t="shared" si="6"/>
        <v>26260.203282747942</v>
      </c>
      <c r="I23" s="19">
        <f t="shared" si="7"/>
        <v>58052.943151875006</v>
      </c>
    </row>
    <row r="24" spans="1:9">
      <c r="A24" s="19">
        <v>8</v>
      </c>
      <c r="B24" s="19">
        <f t="shared" si="0"/>
        <v>80204.724091406257</v>
      </c>
      <c r="C24" s="19">
        <f t="shared" si="1"/>
        <v>4010.236204570313</v>
      </c>
      <c r="D24" s="19">
        <f t="shared" si="2"/>
        <v>76194.487886835937</v>
      </c>
      <c r="E24" s="19">
        <f t="shared" si="3"/>
        <v>15238.897577367188</v>
      </c>
      <c r="F24" s="19">
        <f t="shared" si="4"/>
        <v>60955.590309468753</v>
      </c>
      <c r="G24" s="19">
        <f t="shared" si="5"/>
        <v>0.4038832279793691</v>
      </c>
      <c r="H24" s="19">
        <f t="shared" si="6"/>
        <v>24618.940577576192</v>
      </c>
      <c r="I24" s="19">
        <f t="shared" si="7"/>
        <v>60955.590309468753</v>
      </c>
    </row>
    <row r="25" spans="1:9">
      <c r="A25" s="19">
        <v>9</v>
      </c>
      <c r="B25" s="19">
        <f t="shared" si="0"/>
        <v>84214.960295976562</v>
      </c>
      <c r="C25" s="19">
        <f t="shared" si="1"/>
        <v>4210.7480147988281</v>
      </c>
      <c r="D25" s="19">
        <f t="shared" si="2"/>
        <v>80004.212281177737</v>
      </c>
      <c r="E25" s="19">
        <f t="shared" si="3"/>
        <v>16000.842456235549</v>
      </c>
      <c r="F25" s="19">
        <f t="shared" si="4"/>
        <v>64003.369824942187</v>
      </c>
      <c r="G25" s="19">
        <f t="shared" si="5"/>
        <v>0.36061002498157957</v>
      </c>
      <c r="H25" s="19">
        <f t="shared" si="6"/>
        <v>23080.256791477677</v>
      </c>
      <c r="I25" s="19">
        <f t="shared" si="7"/>
        <v>64003.369824942187</v>
      </c>
    </row>
    <row r="26" spans="1:9">
      <c r="A26" s="19">
        <v>10</v>
      </c>
      <c r="B26" s="19">
        <f t="shared" si="0"/>
        <v>88425.708310775401</v>
      </c>
      <c r="C26" s="19">
        <f t="shared" si="1"/>
        <v>4421.2854155387704</v>
      </c>
      <c r="D26" s="19">
        <f t="shared" si="2"/>
        <v>84004.422895236625</v>
      </c>
      <c r="E26" s="19">
        <f t="shared" si="3"/>
        <v>16800.884579047324</v>
      </c>
      <c r="F26" s="19">
        <f t="shared" si="4"/>
        <v>67203.538316189297</v>
      </c>
      <c r="G26" s="19">
        <f t="shared" si="5"/>
        <v>0.32197323659069599</v>
      </c>
      <c r="H26" s="19">
        <f t="shared" si="6"/>
        <v>21637.740742010319</v>
      </c>
      <c r="I26" s="19">
        <f>F26+B29</f>
        <v>949249.97871617391</v>
      </c>
    </row>
    <row r="28" spans="1:9">
      <c r="A28" s="30" t="s">
        <v>1080</v>
      </c>
      <c r="B28" s="19">
        <f>F26*(1+$B$9)</f>
        <v>70563.715231998765</v>
      </c>
    </row>
    <row r="29" spans="1:9">
      <c r="A29" s="30" t="s">
        <v>1081</v>
      </c>
      <c r="B29" s="19">
        <f>IF($B$11&gt;0,B28/$B$11,0)</f>
        <v>882046.4403999846</v>
      </c>
    </row>
    <row r="30" spans="1:9">
      <c r="A30" s="30" t="s">
        <v>1082</v>
      </c>
      <c r="B30" s="19">
        <f>B29/(1+$B$8)^$B$10</f>
        <v>283995.34723888547</v>
      </c>
    </row>
    <row r="32" spans="1:9" ht="15.6">
      <c r="A32" s="18" t="s">
        <v>1083</v>
      </c>
    </row>
    <row r="33" spans="1:3">
      <c r="A33" s="30" t="s">
        <v>1084</v>
      </c>
      <c r="B33" s="19">
        <f>SUM(H17:H26)</f>
        <v>294291.03172698774</v>
      </c>
    </row>
    <row r="34" spans="1:3">
      <c r="A34" s="30" t="s">
        <v>1085</v>
      </c>
      <c r="B34" s="19">
        <f>B30</f>
        <v>283995.34723888547</v>
      </c>
    </row>
    <row r="35" spans="1:3">
      <c r="A35" s="30" t="s">
        <v>768</v>
      </c>
      <c r="B35" s="19">
        <f>B33+B34</f>
        <v>578286.37896587327</v>
      </c>
    </row>
    <row r="36" spans="1:3" ht="15.6">
      <c r="A36" s="18" t="s">
        <v>1086</v>
      </c>
      <c r="B36" s="19">
        <f>IF(B5&gt;0,B35/B5,0)</f>
        <v>3855.242526439155</v>
      </c>
    </row>
    <row r="37" spans="1:3">
      <c r="A37" s="30" t="s">
        <v>1087</v>
      </c>
      <c r="B37" s="19">
        <f>B35-B14</f>
        <v>-4411013.6210341267</v>
      </c>
    </row>
    <row r="38" spans="1:3">
      <c r="A38" s="30" t="s">
        <v>1088</v>
      </c>
      <c r="B38" s="19" t="str">
        <f>IF(B35&gt;B14,"✓ مجدٍ — القيمة تتجاوز الاستثمار","⚠ تحفّظ — القيمة أقل من الاستثمار")</f>
        <v>⚠ تحفّظ — القيمة أقل من الاستثمار</v>
      </c>
    </row>
    <row r="40" spans="1:3">
      <c r="A40" s="30" t="s">
        <v>1089</v>
      </c>
    </row>
    <row r="41" spans="1:3">
      <c r="A41" s="30" t="s">
        <v>1090</v>
      </c>
      <c r="B41" s="19">
        <f>IFERROR(IRR(I17:I26),"N/A")</f>
        <v>-0.14767291454364673</v>
      </c>
      <c r="C41" s="20" t="s">
        <v>1091</v>
      </c>
    </row>
    <row r="42" spans="1:3">
      <c r="A42" s="30" t="s">
        <v>1092</v>
      </c>
      <c r="B42" s="19" t="str">
        <f>IF(ISNUMBER(B41),IF(B41&gt;=0.2,"ممتاز — يتجاوز 20%: نمو قوي لرأس المال",IF(B41&gt;=0.12,"جيد — يتجاوز متوسط السوق (12%)",IF(B41&gt;=0.08,"متوسط — يغطي تكلفة رأس المال بالحد الأدنى",IF(B41&gt;=0,"ضعيف — العائد أقل من تكلفة رأس المال","سلبي — الاستثمار يولد خسارة")))),"لا يمكن الحساب — تحقق من التدفقات")</f>
        <v>سلبي — الاستثمار يولد خسارة</v>
      </c>
    </row>
    <row r="43" spans="1:3">
      <c r="A43" s="30" t="s">
        <v>1093</v>
      </c>
      <c r="B43" s="19">
        <f>IF(B14&gt;0,(SUM(F17:F26)+B29-B14)/B14*100,0)</f>
        <v>-71.400381916502127</v>
      </c>
      <c r="C43" s="20" t="s">
        <v>178</v>
      </c>
    </row>
    <row r="44" spans="1:3">
      <c r="A44" s="30" t="s">
        <v>1094</v>
      </c>
    </row>
    <row r="45" spans="1:3">
      <c r="A45" s="30" t="s">
        <v>1095</v>
      </c>
      <c r="B45" s="19">
        <f>IF(B14&gt;0,(SUM(F17:F26)+B29)/B14,0)</f>
        <v>0.28599618083497885</v>
      </c>
    </row>
    <row r="46" spans="1:3">
      <c r="A46" s="30" t="s">
        <v>1096</v>
      </c>
      <c r="B46" s="19" t="str">
        <f>IF(B45&gt;=2,"ممتاز — المال يتضاعف مرتين أو أكثر",IF(B45&gt;=1.5,"جيد — عائد يتجاوز 50% إضافة لرأس المال",IF(B45&gt;=1,"مقبول — استعادة رأس المال مع ربح","سلبي — خسارة رأس المال")))</f>
        <v>سلبي — خسارة رأس المال</v>
      </c>
    </row>
    <row r="49" spans="1:9" ht="31.2">
      <c r="A49" s="18" t="s">
        <v>1097</v>
      </c>
      <c r="E49" s="20" t="s">
        <v>1098</v>
      </c>
    </row>
    <row r="50" spans="1:9">
      <c r="A50" s="30" t="s">
        <v>1099</v>
      </c>
      <c r="B50" s="27">
        <v>0.03</v>
      </c>
      <c r="C50" s="27">
        <v>0.04</v>
      </c>
      <c r="D50" s="27">
        <v>0.05</v>
      </c>
      <c r="E50" s="27">
        <v>0.06</v>
      </c>
      <c r="F50" s="27">
        <v>7.0000000000000007E-2</v>
      </c>
    </row>
    <row r="51" spans="1:9">
      <c r="A51" s="27">
        <v>0.09</v>
      </c>
      <c r="B51" s="26">
        <v>619533</v>
      </c>
      <c r="C51" s="26">
        <v>663249</v>
      </c>
      <c r="D51" s="26">
        <v>710414</v>
      </c>
      <c r="E51" s="26">
        <v>761283</v>
      </c>
      <c r="F51" s="26">
        <v>816128</v>
      </c>
    </row>
    <row r="52" spans="1:9">
      <c r="A52" s="27">
        <v>0.1</v>
      </c>
      <c r="B52" s="26">
        <v>578775</v>
      </c>
      <c r="C52" s="26">
        <v>618989</v>
      </c>
      <c r="D52" s="26">
        <v>662360</v>
      </c>
      <c r="E52" s="26">
        <v>709122</v>
      </c>
      <c r="F52" s="26">
        <v>759524</v>
      </c>
    </row>
    <row r="53" spans="1:9">
      <c r="A53" s="27">
        <v>0.11</v>
      </c>
      <c r="B53" s="26">
        <v>541500</v>
      </c>
      <c r="C53" s="26">
        <v>578529</v>
      </c>
      <c r="D53" s="26">
        <v>618452</v>
      </c>
      <c r="E53" s="26">
        <v>661483</v>
      </c>
      <c r="F53" s="26">
        <v>707849</v>
      </c>
    </row>
    <row r="54" spans="1:9">
      <c r="A54" s="27">
        <v>0.12</v>
      </c>
      <c r="B54" s="26">
        <v>507368</v>
      </c>
      <c r="C54" s="26">
        <v>541500</v>
      </c>
      <c r="D54" s="26">
        <v>578286</v>
      </c>
      <c r="E54" s="26">
        <v>617923</v>
      </c>
      <c r="F54" s="26">
        <v>660618</v>
      </c>
    </row>
    <row r="55" spans="1:9">
      <c r="A55" s="27">
        <v>0.13</v>
      </c>
      <c r="B55" s="26">
        <v>476076</v>
      </c>
      <c r="C55" s="26">
        <v>507570</v>
      </c>
      <c r="D55" s="26">
        <v>541500</v>
      </c>
      <c r="E55" s="26">
        <v>578046</v>
      </c>
      <c r="F55" s="26">
        <v>617400</v>
      </c>
    </row>
    <row r="56" spans="1:9">
      <c r="A56" s="27">
        <v>0.14000000000000001</v>
      </c>
      <c r="B56" s="26">
        <v>447355</v>
      </c>
      <c r="C56" s="26">
        <v>476443</v>
      </c>
      <c r="D56" s="26">
        <v>507770</v>
      </c>
      <c r="E56" s="26">
        <v>541500</v>
      </c>
      <c r="F56" s="26">
        <v>577809</v>
      </c>
    </row>
    <row r="60" spans="1:9" ht="24" customHeight="1">
      <c r="A60" s="112" t="s">
        <v>1100</v>
      </c>
      <c r="B60" s="113"/>
      <c r="C60" s="113"/>
      <c r="D60" s="113"/>
      <c r="E60" s="113"/>
      <c r="F60" s="113"/>
      <c r="G60" s="113"/>
      <c r="H60" s="113"/>
      <c r="I60" s="114"/>
    </row>
    <row r="61" spans="1:9" ht="37.950000000000003" customHeight="1">
      <c r="A61" s="145" t="e">
        <f>"القيمة الجوهرية DCF = "&amp;TEXT('[1]DCF — التدقات النقدية'!B35,"#,##0")&amp;" EGP. "&amp;IF('[1]DCF — التدقات النقدية'!B35&gt;'[1]DCF — التدقات النقدية'!B14,"✅ القيمة الجوهرية تفوق سعر الشراء — مؤشر شراء إيجابي.","⚠ القيمة الجوهرية أقل من سعر الشراء — فاوض أو أعد النظر.")</f>
        <v>#REF!</v>
      </c>
      <c r="B61" s="110"/>
      <c r="C61" s="110"/>
      <c r="D61" s="110"/>
      <c r="E61" s="110"/>
      <c r="F61" s="110"/>
      <c r="G61" s="110"/>
      <c r="H61" s="110"/>
      <c r="I61" s="111"/>
    </row>
    <row r="62" spans="1:9" ht="37.950000000000003" customHeight="1">
      <c r="A62" s="145" t="e">
        <f>"IRR = "&amp;TEXT('[1]DCF — التدقات النقدية'!B41,"0.0%")&amp;" | "&amp;'[1]DCF — التدقات النقدية'!B42</f>
        <v>#REF!</v>
      </c>
      <c r="B62" s="110"/>
      <c r="C62" s="110"/>
      <c r="D62" s="110"/>
      <c r="E62" s="110"/>
      <c r="F62" s="110"/>
      <c r="G62" s="110"/>
      <c r="H62" s="110"/>
      <c r="I62" s="111"/>
    </row>
    <row r="63" spans="1:9" ht="37.950000000000003" customHeight="1">
      <c r="A63" s="145" t="e">
        <f>"مضاعف رأس المال = "&amp;TEXT('[1]DCF — التدقات النقدية'!B45,"0.0")&amp;"x — "&amp;'[1]DCF — التدقات النقدية'!B46</f>
        <v>#REF!</v>
      </c>
      <c r="B63" s="110"/>
      <c r="C63" s="110"/>
      <c r="D63" s="110"/>
      <c r="E63" s="110"/>
      <c r="F63" s="110"/>
      <c r="G63" s="110"/>
      <c r="H63" s="110"/>
      <c r="I63" s="111"/>
    </row>
    <row r="64" spans="1:9" ht="37.950000000000003" customHeight="1">
      <c r="A64" s="109" t="s">
        <v>1101</v>
      </c>
      <c r="B64" s="110"/>
      <c r="C64" s="110"/>
      <c r="D64" s="110"/>
      <c r="E64" s="110"/>
      <c r="F64" s="110"/>
      <c r="G64" s="110"/>
      <c r="H64" s="110"/>
      <c r="I64" s="111"/>
    </row>
    <row r="68" spans="1:9" ht="36" customHeight="1">
      <c r="A68" s="174" t="s">
        <v>1102</v>
      </c>
      <c r="B68" s="119"/>
      <c r="C68" s="119"/>
      <c r="D68" s="119"/>
      <c r="E68" s="119"/>
      <c r="F68" s="119"/>
      <c r="G68" s="119"/>
      <c r="H68" s="119"/>
      <c r="I68" s="119"/>
    </row>
    <row r="72" spans="1:9" ht="40.049999999999997" customHeight="1">
      <c r="A72" s="172" t="s">
        <v>1103</v>
      </c>
      <c r="B72" s="116"/>
      <c r="C72" s="116"/>
      <c r="D72" s="116"/>
      <c r="E72" s="116"/>
      <c r="F72" s="116"/>
      <c r="G72" s="116"/>
      <c r="H72" s="116"/>
    </row>
    <row r="74" spans="1:9" ht="31.95" customHeight="1">
      <c r="A74" s="165" t="s">
        <v>471</v>
      </c>
      <c r="B74" s="119"/>
      <c r="C74" s="119"/>
      <c r="D74" s="119"/>
      <c r="E74" s="119"/>
      <c r="F74" s="119"/>
      <c r="G74" s="119"/>
      <c r="H74" s="119"/>
    </row>
    <row r="75" spans="1:9" ht="25.95" customHeight="1">
      <c r="A75" s="167" t="s">
        <v>1104</v>
      </c>
      <c r="B75" s="110"/>
      <c r="C75" s="110"/>
      <c r="D75" s="110"/>
      <c r="E75" s="110"/>
      <c r="F75" s="110"/>
      <c r="G75" s="110"/>
      <c r="H75" s="111"/>
    </row>
    <row r="76" spans="1:9" ht="25.95" customHeight="1">
      <c r="A76" s="170" t="s">
        <v>1105</v>
      </c>
      <c r="B76" s="110"/>
      <c r="C76" s="110"/>
      <c r="D76" s="110"/>
      <c r="E76" s="110"/>
      <c r="F76" s="110"/>
      <c r="G76" s="110"/>
      <c r="H76" s="111"/>
    </row>
    <row r="77" spans="1:9" ht="25.95" customHeight="1">
      <c r="A77" s="167" t="s">
        <v>1106</v>
      </c>
      <c r="B77" s="110"/>
      <c r="C77" s="110"/>
      <c r="D77" s="110"/>
      <c r="E77" s="110"/>
      <c r="F77" s="110"/>
      <c r="G77" s="110"/>
      <c r="H77" s="111"/>
    </row>
    <row r="78" spans="1:9" ht="25.95" customHeight="1">
      <c r="A78" s="170" t="s">
        <v>1107</v>
      </c>
      <c r="B78" s="110"/>
      <c r="C78" s="110"/>
      <c r="D78" s="110"/>
      <c r="E78" s="110"/>
      <c r="F78" s="110"/>
      <c r="G78" s="110"/>
      <c r="H78" s="111"/>
    </row>
    <row r="79" spans="1:9" ht="25.95" customHeight="1">
      <c r="A79" s="167" t="s">
        <v>1108</v>
      </c>
      <c r="B79" s="110"/>
      <c r="C79" s="110"/>
      <c r="D79" s="110"/>
      <c r="E79" s="110"/>
      <c r="F79" s="110"/>
      <c r="G79" s="110"/>
      <c r="H79" s="111"/>
    </row>
    <row r="80" spans="1:9" ht="25.95" customHeight="1">
      <c r="A80" s="170" t="s">
        <v>1109</v>
      </c>
      <c r="B80" s="110"/>
      <c r="C80" s="110"/>
      <c r="D80" s="110"/>
      <c r="E80" s="110"/>
      <c r="F80" s="110"/>
      <c r="G80" s="110"/>
      <c r="H80" s="111"/>
    </row>
    <row r="82" spans="1:8" ht="31.95" customHeight="1">
      <c r="A82" s="171" t="s">
        <v>481</v>
      </c>
      <c r="B82" s="119"/>
      <c r="C82" s="119"/>
      <c r="D82" s="119"/>
      <c r="E82" s="119"/>
      <c r="F82" s="119"/>
      <c r="G82" s="119"/>
      <c r="H82" s="119"/>
    </row>
    <row r="83" spans="1:8" ht="49.95" customHeight="1">
      <c r="A83" s="169" t="s">
        <v>1110</v>
      </c>
      <c r="B83" s="130"/>
      <c r="C83" s="130"/>
      <c r="D83" s="130"/>
      <c r="E83" s="130"/>
      <c r="F83" s="130"/>
      <c r="G83" s="130"/>
      <c r="H83" s="131"/>
    </row>
  </sheetData>
  <mergeCells count="16">
    <mergeCell ref="A83:H83"/>
    <mergeCell ref="A60:I60"/>
    <mergeCell ref="A72:H72"/>
    <mergeCell ref="A82:H82"/>
    <mergeCell ref="A76:H76"/>
    <mergeCell ref="A61:I61"/>
    <mergeCell ref="A80:H80"/>
    <mergeCell ref="A75:H75"/>
    <mergeCell ref="A79:H79"/>
    <mergeCell ref="A62:I62"/>
    <mergeCell ref="A74:H74"/>
    <mergeCell ref="A64:I64"/>
    <mergeCell ref="A78:H78"/>
    <mergeCell ref="A68:I68"/>
    <mergeCell ref="A77:H77"/>
    <mergeCell ref="A63:I63"/>
  </mergeCells>
  <conditionalFormatting sqref="H17:H26">
    <cfRule type="colorScale" priority="1">
      <colorScale>
        <cfvo type="min"/>
        <cfvo type="percentile" val="50"/>
        <cfvo type="max"/>
        <color rgb="FFFF4444"/>
        <color rgb="FFFFD700"/>
        <color rgb="FF00CC66"/>
      </colorScale>
    </cfRule>
  </conditionalFormatting>
  <conditionalFormatting sqref="F17:F26">
    <cfRule type="colorScale" priority="2">
      <colorScale>
        <cfvo type="min"/>
        <cfvo type="percentile" val="50"/>
        <cfvo type="max"/>
        <color rgb="FF1A3A5C"/>
        <color rgb="FF2E7DB5"/>
        <color rgb="FF4EC9B0"/>
      </colorScale>
    </cfRule>
  </conditionalFormatting>
  <conditionalFormatting sqref="B51:F56">
    <cfRule type="colorScale" priority="3">
      <colorScale>
        <cfvo type="min"/>
        <cfvo type="percentile" val="50"/>
        <cfvo type="max"/>
        <color rgb="FFFF4444"/>
        <color rgb="FFFFDD57"/>
        <color rgb="FF23D160"/>
      </colorScale>
    </cfRule>
  </conditionalFormatting>
  <pageMargins left="0.75" right="0.75" top="1" bottom="1" header="0.5" footer="0.5"/>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I70"/>
  <sheetViews>
    <sheetView rightToLeft="1" workbookViewId="0">
      <pane ySplit="1" topLeftCell="A2" activePane="bottomLeft" state="frozen"/>
      <selection pane="bottomLeft"/>
    </sheetView>
  </sheetViews>
  <sheetFormatPr defaultRowHeight="14.4"/>
  <cols>
    <col min="1" max="1" width="38" customWidth="1"/>
    <col min="2" max="2" width="13" customWidth="1"/>
    <col min="3" max="3" width="28" customWidth="1"/>
    <col min="4" max="4" width="13" customWidth="1"/>
    <col min="5" max="5" width="14" customWidth="1"/>
    <col min="6" max="9" width="13" customWidth="1"/>
  </cols>
  <sheetData>
    <row r="1" spans="1:9" ht="37.950000000000003" customHeight="1">
      <c r="A1" s="17" t="s">
        <v>1111</v>
      </c>
    </row>
    <row r="2" spans="1:9" ht="27.6">
      <c r="A2" s="30" t="s">
        <v>1112</v>
      </c>
    </row>
    <row r="4" spans="1:9">
      <c r="A4" s="30" t="s">
        <v>1113</v>
      </c>
      <c r="B4" s="20" t="s">
        <v>1114</v>
      </c>
      <c r="C4" s="20" t="s">
        <v>1115</v>
      </c>
    </row>
    <row r="5" spans="1:9">
      <c r="A5" s="30" t="s">
        <v>1116</v>
      </c>
      <c r="B5" s="19">
        <v>3</v>
      </c>
      <c r="C5" s="20" t="s">
        <v>1117</v>
      </c>
    </row>
    <row r="6" spans="1:9">
      <c r="A6" s="30" t="s">
        <v>1118</v>
      </c>
      <c r="B6" s="19">
        <v>8</v>
      </c>
      <c r="C6" s="20" t="s">
        <v>1119</v>
      </c>
    </row>
    <row r="7" spans="1:9">
      <c r="A7" s="30" t="s">
        <v>1120</v>
      </c>
      <c r="B7" s="19">
        <v>4</v>
      </c>
      <c r="C7" s="20" t="s">
        <v>1119</v>
      </c>
    </row>
    <row r="8" spans="1:9">
      <c r="A8" s="30" t="s">
        <v>1121</v>
      </c>
      <c r="B8" s="19">
        <v>1</v>
      </c>
      <c r="C8" s="20" t="s">
        <v>1122</v>
      </c>
    </row>
    <row r="11" spans="1:9">
      <c r="A11" s="30" t="s">
        <v>412</v>
      </c>
      <c r="B11" s="20" t="s">
        <v>344</v>
      </c>
      <c r="C11" s="20" t="s">
        <v>812</v>
      </c>
      <c r="D11" s="20" t="s">
        <v>30</v>
      </c>
      <c r="E11" s="20" t="s">
        <v>1123</v>
      </c>
      <c r="F11" s="20" t="s">
        <v>1124</v>
      </c>
      <c r="G11" s="20" t="s">
        <v>1125</v>
      </c>
      <c r="H11" s="20" t="s">
        <v>1126</v>
      </c>
      <c r="I11" s="20" t="s">
        <v>1127</v>
      </c>
    </row>
    <row r="12" spans="1:9">
      <c r="A12" s="19">
        <v>1</v>
      </c>
      <c r="B12" s="19">
        <v>1</v>
      </c>
      <c r="C12" s="19">
        <v>72</v>
      </c>
      <c r="D12" s="26">
        <v>2016</v>
      </c>
      <c r="E12" s="26">
        <v>21956</v>
      </c>
      <c r="F12" s="26">
        <v>21450</v>
      </c>
      <c r="G12" s="26">
        <v>23179</v>
      </c>
      <c r="H12" s="19">
        <v>506</v>
      </c>
      <c r="I12" s="26">
        <v>-1223</v>
      </c>
    </row>
    <row r="13" spans="1:9">
      <c r="A13" s="19">
        <v>2</v>
      </c>
      <c r="B13" s="19">
        <v>1</v>
      </c>
      <c r="C13" s="19">
        <v>71</v>
      </c>
      <c r="D13" s="26">
        <v>2016</v>
      </c>
      <c r="E13" s="26">
        <v>22000</v>
      </c>
      <c r="F13" s="26">
        <v>21455</v>
      </c>
      <c r="G13" s="26">
        <v>23183</v>
      </c>
      <c r="H13" s="19">
        <v>545</v>
      </c>
      <c r="I13" s="26">
        <v>-1183</v>
      </c>
    </row>
    <row r="14" spans="1:9">
      <c r="A14" s="19">
        <v>3</v>
      </c>
      <c r="B14" s="19">
        <v>2</v>
      </c>
      <c r="C14" s="19">
        <v>72</v>
      </c>
      <c r="D14" s="26">
        <v>2016</v>
      </c>
      <c r="E14" s="26">
        <v>21885</v>
      </c>
      <c r="F14" s="26">
        <v>21304</v>
      </c>
      <c r="G14" s="26">
        <v>23040</v>
      </c>
      <c r="H14" s="19">
        <v>581</v>
      </c>
      <c r="I14" s="26">
        <v>-1155</v>
      </c>
    </row>
    <row r="15" spans="1:9">
      <c r="A15" s="19">
        <v>4</v>
      </c>
      <c r="B15" s="19">
        <v>3</v>
      </c>
      <c r="C15" s="19">
        <v>92</v>
      </c>
      <c r="D15" s="26">
        <v>2017</v>
      </c>
      <c r="E15" s="26">
        <v>21436</v>
      </c>
      <c r="F15" s="26">
        <v>20670</v>
      </c>
      <c r="G15" s="26">
        <v>22419</v>
      </c>
      <c r="H15" s="19">
        <v>766</v>
      </c>
      <c r="I15" s="19">
        <v>-983</v>
      </c>
    </row>
    <row r="16" spans="1:9">
      <c r="A16" s="19">
        <v>5</v>
      </c>
      <c r="B16" s="19">
        <v>4</v>
      </c>
      <c r="C16" s="19">
        <v>92</v>
      </c>
      <c r="D16" s="26">
        <v>2017</v>
      </c>
      <c r="E16" s="26">
        <v>21368</v>
      </c>
      <c r="F16" s="26">
        <v>20524</v>
      </c>
      <c r="G16" s="26">
        <v>22280</v>
      </c>
      <c r="H16" s="19">
        <v>844</v>
      </c>
      <c r="I16" s="19">
        <v>-912</v>
      </c>
    </row>
    <row r="17" spans="1:9">
      <c r="A17" s="19">
        <v>6</v>
      </c>
      <c r="B17" s="19">
        <v>8</v>
      </c>
      <c r="C17" s="19">
        <v>297</v>
      </c>
      <c r="D17" s="26">
        <v>2000</v>
      </c>
      <c r="E17" s="26">
        <v>26208</v>
      </c>
      <c r="F17" s="26">
        <v>25828</v>
      </c>
      <c r="G17" s="26">
        <v>27645</v>
      </c>
      <c r="H17" s="19">
        <v>380</v>
      </c>
      <c r="I17" s="26">
        <v>-1437</v>
      </c>
    </row>
    <row r="18" spans="1:9">
      <c r="A18" s="19">
        <v>7</v>
      </c>
      <c r="B18" s="19">
        <v>9</v>
      </c>
      <c r="C18" s="19">
        <v>417</v>
      </c>
      <c r="D18" s="26">
        <v>2000</v>
      </c>
      <c r="E18" s="26">
        <v>25773</v>
      </c>
      <c r="F18" s="26">
        <v>25154</v>
      </c>
      <c r="G18" s="26">
        <v>26998</v>
      </c>
      <c r="H18" s="19">
        <v>619</v>
      </c>
      <c r="I18" s="26">
        <v>-1225</v>
      </c>
    </row>
    <row r="19" spans="1:9">
      <c r="A19" s="19">
        <v>8</v>
      </c>
      <c r="B19" s="19">
        <v>1</v>
      </c>
      <c r="C19" s="19">
        <v>372</v>
      </c>
      <c r="D19" s="26">
        <v>2000</v>
      </c>
      <c r="E19" s="26">
        <v>26855</v>
      </c>
      <c r="F19" s="26">
        <v>26522</v>
      </c>
      <c r="G19" s="26">
        <v>28315</v>
      </c>
      <c r="H19" s="19">
        <v>333</v>
      </c>
      <c r="I19" s="26">
        <v>-1460</v>
      </c>
    </row>
    <row r="20" spans="1:9">
      <c r="A20" s="19">
        <v>9</v>
      </c>
      <c r="B20" s="19">
        <v>5</v>
      </c>
      <c r="C20" s="19">
        <v>331</v>
      </c>
      <c r="D20" s="26">
        <v>2000</v>
      </c>
      <c r="E20" s="26">
        <v>26925</v>
      </c>
      <c r="F20" s="26">
        <v>26117</v>
      </c>
      <c r="G20" s="26">
        <v>27923</v>
      </c>
      <c r="H20" s="19">
        <v>808</v>
      </c>
      <c r="I20" s="19">
        <v>-998</v>
      </c>
    </row>
    <row r="21" spans="1:9">
      <c r="A21" s="19">
        <v>10</v>
      </c>
      <c r="B21" s="19">
        <v>5</v>
      </c>
      <c r="C21" s="19">
        <v>67</v>
      </c>
      <c r="D21" s="26">
        <v>2007</v>
      </c>
      <c r="E21" s="26">
        <v>23584</v>
      </c>
      <c r="F21" s="26">
        <v>24482</v>
      </c>
      <c r="G21" s="26">
        <v>26236</v>
      </c>
      <c r="H21" s="19">
        <v>-898</v>
      </c>
      <c r="I21" s="26">
        <v>-2652</v>
      </c>
    </row>
    <row r="22" spans="1:9">
      <c r="A22" s="19">
        <v>11</v>
      </c>
      <c r="B22" s="19">
        <v>1</v>
      </c>
      <c r="C22" s="19">
        <v>67</v>
      </c>
      <c r="D22" s="26">
        <v>2007</v>
      </c>
      <c r="E22" s="26">
        <v>24303</v>
      </c>
      <c r="F22" s="26">
        <v>25068</v>
      </c>
      <c r="G22" s="26">
        <v>26790</v>
      </c>
      <c r="H22" s="19">
        <v>-765</v>
      </c>
      <c r="I22" s="26">
        <v>-2487</v>
      </c>
    </row>
    <row r="23" spans="1:9">
      <c r="A23" s="19">
        <v>12</v>
      </c>
      <c r="B23" s="19">
        <v>1</v>
      </c>
      <c r="C23" s="19">
        <v>67</v>
      </c>
      <c r="D23" s="26">
        <v>2007</v>
      </c>
      <c r="E23" s="26">
        <v>24849</v>
      </c>
      <c r="F23" s="26">
        <v>25068</v>
      </c>
      <c r="G23" s="26">
        <v>26790</v>
      </c>
      <c r="H23" s="19">
        <v>-219</v>
      </c>
      <c r="I23" s="26">
        <v>-1941</v>
      </c>
    </row>
    <row r="24" spans="1:9">
      <c r="A24" s="19">
        <v>13</v>
      </c>
      <c r="B24" s="19">
        <v>4</v>
      </c>
      <c r="C24" s="19">
        <v>72</v>
      </c>
      <c r="D24" s="26">
        <v>2016</v>
      </c>
      <c r="E24" s="26">
        <v>21749</v>
      </c>
      <c r="F24" s="26">
        <v>21011</v>
      </c>
      <c r="G24" s="26">
        <v>22763</v>
      </c>
      <c r="H24" s="19">
        <v>738</v>
      </c>
      <c r="I24" s="26">
        <v>-1014</v>
      </c>
    </row>
    <row r="25" spans="1:9">
      <c r="A25" s="19">
        <v>14</v>
      </c>
      <c r="B25" s="19">
        <v>1</v>
      </c>
      <c r="C25" s="19">
        <v>70</v>
      </c>
      <c r="D25" s="26">
        <v>2017</v>
      </c>
      <c r="E25" s="26">
        <v>21617</v>
      </c>
      <c r="F25" s="26">
        <v>21060</v>
      </c>
      <c r="G25" s="26">
        <v>22788</v>
      </c>
      <c r="H25" s="19">
        <v>557</v>
      </c>
      <c r="I25" s="26">
        <v>-1171</v>
      </c>
    </row>
    <row r="26" spans="1:9">
      <c r="A26" s="19">
        <v>15</v>
      </c>
      <c r="B26" s="19">
        <v>5</v>
      </c>
      <c r="C26" s="19">
        <v>312</v>
      </c>
      <c r="D26" s="26">
        <v>2013</v>
      </c>
      <c r="E26" s="26">
        <v>17505</v>
      </c>
      <c r="F26" s="26">
        <v>21008</v>
      </c>
      <c r="G26" s="26">
        <v>22816</v>
      </c>
      <c r="H26" s="26">
        <v>-3502</v>
      </c>
      <c r="I26" s="26">
        <v>-5311</v>
      </c>
    </row>
    <row r="27" spans="1:9">
      <c r="A27" s="19">
        <v>16</v>
      </c>
      <c r="B27" s="19">
        <v>1</v>
      </c>
      <c r="C27" s="19">
        <v>224</v>
      </c>
      <c r="D27" s="26">
        <v>2000</v>
      </c>
      <c r="E27" s="26">
        <v>27392</v>
      </c>
      <c r="F27" s="26">
        <v>27174</v>
      </c>
      <c r="G27" s="26">
        <v>28931</v>
      </c>
      <c r="H27" s="19">
        <v>218</v>
      </c>
      <c r="I27" s="26">
        <v>-1539</v>
      </c>
    </row>
    <row r="28" spans="1:9">
      <c r="A28" s="19">
        <v>17</v>
      </c>
      <c r="B28" s="19">
        <v>7</v>
      </c>
      <c r="C28" s="19">
        <v>533</v>
      </c>
      <c r="D28" s="26">
        <v>2000</v>
      </c>
      <c r="E28" s="26">
        <v>25247</v>
      </c>
      <c r="F28" s="26">
        <v>24936</v>
      </c>
      <c r="G28" s="26">
        <v>26792</v>
      </c>
      <c r="H28" s="19">
        <v>311</v>
      </c>
      <c r="I28" s="26">
        <v>-1545</v>
      </c>
    </row>
    <row r="29" spans="1:9">
      <c r="A29" s="19">
        <v>18</v>
      </c>
      <c r="B29" s="19">
        <v>1</v>
      </c>
      <c r="C29" s="19">
        <v>67</v>
      </c>
      <c r="D29" s="26">
        <v>2009</v>
      </c>
      <c r="E29" s="26">
        <v>23273</v>
      </c>
      <c r="F29" s="26">
        <v>24269</v>
      </c>
      <c r="G29" s="26">
        <v>25992</v>
      </c>
      <c r="H29" s="19">
        <v>-996</v>
      </c>
      <c r="I29" s="26">
        <v>-2719</v>
      </c>
    </row>
    <row r="30" spans="1:9">
      <c r="A30" s="19">
        <v>19</v>
      </c>
      <c r="B30" s="19">
        <v>4</v>
      </c>
      <c r="C30" s="19">
        <v>67</v>
      </c>
      <c r="D30" s="26">
        <v>2009</v>
      </c>
      <c r="E30" s="26">
        <v>23067</v>
      </c>
      <c r="F30" s="26">
        <v>23830</v>
      </c>
      <c r="G30" s="26">
        <v>25577</v>
      </c>
      <c r="H30" s="19">
        <v>-763</v>
      </c>
      <c r="I30" s="26">
        <v>-2510</v>
      </c>
    </row>
    <row r="31" spans="1:9">
      <c r="A31" s="19">
        <v>20</v>
      </c>
      <c r="B31" s="19">
        <v>1</v>
      </c>
      <c r="C31" s="19">
        <v>110</v>
      </c>
      <c r="D31" s="26">
        <v>2007</v>
      </c>
      <c r="E31" s="26">
        <v>24677</v>
      </c>
      <c r="F31" s="26">
        <v>24879</v>
      </c>
      <c r="G31" s="26">
        <v>26612</v>
      </c>
      <c r="H31" s="19">
        <v>-202</v>
      </c>
      <c r="I31" s="26">
        <v>-1935</v>
      </c>
    </row>
    <row r="34" spans="1:9">
      <c r="A34" s="30" t="s">
        <v>1128</v>
      </c>
      <c r="B34" s="20" t="s">
        <v>1129</v>
      </c>
      <c r="C34" s="20" t="s">
        <v>1130</v>
      </c>
    </row>
    <row r="35" spans="1:9">
      <c r="A35" s="30" t="s">
        <v>1131</v>
      </c>
      <c r="B35" s="19">
        <v>995</v>
      </c>
      <c r="C35" s="26">
        <v>2031.1</v>
      </c>
    </row>
    <row r="36" spans="1:9">
      <c r="A36" s="30" t="s">
        <v>1132</v>
      </c>
      <c r="B36" s="19">
        <v>727.6</v>
      </c>
      <c r="C36" s="26">
        <v>1770</v>
      </c>
    </row>
    <row r="37" spans="1:9">
      <c r="A37" s="30" t="s">
        <v>1133</v>
      </c>
      <c r="B37" s="27">
        <v>0.82969999999999999</v>
      </c>
      <c r="C37" s="27">
        <v>0.29020000000000001</v>
      </c>
    </row>
    <row r="38" spans="1:9">
      <c r="A38" s="30" t="s">
        <v>1134</v>
      </c>
      <c r="B38" s="20" t="s">
        <v>1135</v>
      </c>
    </row>
    <row r="41" spans="1:9" ht="15.6">
      <c r="A41" s="18" t="s">
        <v>1136</v>
      </c>
    </row>
    <row r="42" spans="1:9">
      <c r="A42" s="30" t="s">
        <v>447</v>
      </c>
      <c r="B42" s="26">
        <v>25388</v>
      </c>
    </row>
    <row r="43" spans="1:9">
      <c r="A43" s="30" t="s">
        <v>768</v>
      </c>
      <c r="B43" s="26">
        <v>3808125</v>
      </c>
    </row>
    <row r="47" spans="1:9" ht="24" customHeight="1">
      <c r="A47" s="112" t="s">
        <v>1137</v>
      </c>
      <c r="B47" s="113"/>
      <c r="C47" s="113"/>
      <c r="D47" s="113"/>
      <c r="E47" s="113"/>
      <c r="F47" s="113"/>
      <c r="G47" s="113"/>
      <c r="H47" s="113"/>
      <c r="I47" s="114"/>
    </row>
    <row r="48" spans="1:9" ht="37.950000000000003" customHeight="1">
      <c r="A48" s="145" t="str">
        <f>"تنبؤ ANN لسعر المتر: "&amp;TEXT('ANN — الشبكات العصبية'!B42,"#,##0")&amp;" EGP/م² | القيمة الكلية: "&amp;TEXT('ANN — الشبكات العصبية'!B43,"#,##0")&amp;" EGP."</f>
        <v>تنبؤ ANN لسعر المتر: 25,388 EGP/م² | القيمة الكلية: 3,808,125 EGP.</v>
      </c>
      <c r="B48" s="110"/>
      <c r="C48" s="110"/>
      <c r="D48" s="110"/>
      <c r="E48" s="110"/>
      <c r="F48" s="110"/>
      <c r="G48" s="110"/>
      <c r="H48" s="110"/>
      <c r="I48" s="111"/>
    </row>
    <row r="49" spans="1:9" ht="37.950000000000003" customHeight="1">
      <c r="A49" s="145" t="str">
        <f>"دقة المقارنة: R² ANN = "&amp;TEXT('ANN — الشبكات العصبية'!C37,"0.000")&amp;" مقابل R² OLS = "&amp;TEXT('ANN — الشبكات العصبية'!B37,"0.000")&amp;". "&amp;IF('ANN — الشبكات العصبية'!C37&gt;'ANN — الشبكات العصبية'!B37,"ANN أدق — يكتشف علاقات غير خطية.","OLS كافٍ — ANN لم يُضف قيمة إضافية تُذكر.")</f>
        <v>دقة المقارنة: R² ANN = 0.290 مقابل R² OLS = 0.830. OLS كافٍ — ANN لم يُضف قيمة إضافية تُذكر.</v>
      </c>
      <c r="B49" s="110"/>
      <c r="C49" s="110"/>
      <c r="D49" s="110"/>
      <c r="E49" s="110"/>
      <c r="F49" s="110"/>
      <c r="G49" s="110"/>
      <c r="H49" s="110"/>
      <c r="I49" s="111"/>
    </row>
    <row r="50" spans="1:9" ht="37.950000000000003" customHeight="1">
      <c r="A50" s="109" t="s">
        <v>1138</v>
      </c>
      <c r="B50" s="110"/>
      <c r="C50" s="110"/>
      <c r="D50" s="110"/>
      <c r="E50" s="110"/>
      <c r="F50" s="110"/>
      <c r="G50" s="110"/>
      <c r="H50" s="110"/>
      <c r="I50" s="111"/>
    </row>
    <row r="51" spans="1:9" ht="37.950000000000003" customHeight="1">
      <c r="A51" s="109" t="s">
        <v>1139</v>
      </c>
      <c r="B51" s="110"/>
      <c r="C51" s="110"/>
      <c r="D51" s="110"/>
      <c r="E51" s="110"/>
      <c r="F51" s="110"/>
      <c r="G51" s="110"/>
      <c r="H51" s="110"/>
      <c r="I51" s="111"/>
    </row>
    <row r="55" spans="1:9" ht="36" customHeight="1">
      <c r="A55" s="174" t="s">
        <v>1140</v>
      </c>
      <c r="B55" s="119"/>
      <c r="C55" s="119"/>
      <c r="D55" s="119"/>
      <c r="E55" s="119"/>
      <c r="F55" s="119"/>
      <c r="G55" s="119"/>
      <c r="H55" s="119"/>
      <c r="I55" s="119"/>
    </row>
    <row r="59" spans="1:9" ht="40.049999999999997" customHeight="1">
      <c r="A59" s="172" t="s">
        <v>1141</v>
      </c>
      <c r="B59" s="116"/>
      <c r="C59" s="116"/>
      <c r="D59" s="116"/>
      <c r="E59" s="116"/>
      <c r="F59" s="116"/>
      <c r="G59" s="116"/>
      <c r="H59" s="116"/>
    </row>
    <row r="61" spans="1:9" ht="31.95" customHeight="1">
      <c r="A61" s="165" t="s">
        <v>471</v>
      </c>
      <c r="B61" s="119"/>
      <c r="C61" s="119"/>
      <c r="D61" s="119"/>
      <c r="E61" s="119"/>
      <c r="F61" s="119"/>
      <c r="G61" s="119"/>
      <c r="H61" s="119"/>
    </row>
    <row r="62" spans="1:9" ht="25.95" customHeight="1">
      <c r="A62" s="170" t="s">
        <v>1142</v>
      </c>
      <c r="B62" s="110"/>
      <c r="C62" s="110"/>
      <c r="D62" s="110"/>
      <c r="E62" s="110"/>
      <c r="F62" s="110"/>
      <c r="G62" s="110"/>
      <c r="H62" s="111"/>
    </row>
    <row r="63" spans="1:9" ht="25.95" customHeight="1">
      <c r="A63" s="167" t="s">
        <v>1143</v>
      </c>
      <c r="B63" s="110"/>
      <c r="C63" s="110"/>
      <c r="D63" s="110"/>
      <c r="E63" s="110"/>
      <c r="F63" s="110"/>
      <c r="G63" s="110"/>
      <c r="H63" s="111"/>
    </row>
    <row r="64" spans="1:9" ht="25.95" customHeight="1">
      <c r="A64" s="170" t="s">
        <v>1144</v>
      </c>
      <c r="B64" s="110"/>
      <c r="C64" s="110"/>
      <c r="D64" s="110"/>
      <c r="E64" s="110"/>
      <c r="F64" s="110"/>
      <c r="G64" s="110"/>
      <c r="H64" s="111"/>
    </row>
    <row r="65" spans="1:8" ht="25.95" customHeight="1">
      <c r="A65" s="167" t="s">
        <v>1145</v>
      </c>
      <c r="B65" s="110"/>
      <c r="C65" s="110"/>
      <c r="D65" s="110"/>
      <c r="E65" s="110"/>
      <c r="F65" s="110"/>
      <c r="G65" s="110"/>
      <c r="H65" s="111"/>
    </row>
    <row r="66" spans="1:8" ht="25.95" customHeight="1">
      <c r="A66" s="170" t="s">
        <v>1146</v>
      </c>
      <c r="B66" s="110"/>
      <c r="C66" s="110"/>
      <c r="D66" s="110"/>
      <c r="E66" s="110"/>
      <c r="F66" s="110"/>
      <c r="G66" s="110"/>
      <c r="H66" s="111"/>
    </row>
    <row r="67" spans="1:8" ht="25.95" customHeight="1">
      <c r="A67" s="167" t="s">
        <v>1147</v>
      </c>
      <c r="B67" s="110"/>
      <c r="C67" s="110"/>
      <c r="D67" s="110"/>
      <c r="E67" s="110"/>
      <c r="F67" s="110"/>
      <c r="G67" s="110"/>
      <c r="H67" s="111"/>
    </row>
    <row r="69" spans="1:8" ht="31.95" customHeight="1">
      <c r="A69" s="171" t="s">
        <v>481</v>
      </c>
      <c r="B69" s="119"/>
      <c r="C69" s="119"/>
      <c r="D69" s="119"/>
      <c r="E69" s="119"/>
      <c r="F69" s="119"/>
      <c r="G69" s="119"/>
      <c r="H69" s="119"/>
    </row>
    <row r="70" spans="1:8" ht="49.95" customHeight="1">
      <c r="A70" s="169" t="s">
        <v>1148</v>
      </c>
      <c r="B70" s="130"/>
      <c r="C70" s="130"/>
      <c r="D70" s="130"/>
      <c r="E70" s="130"/>
      <c r="F70" s="130"/>
      <c r="G70" s="130"/>
      <c r="H70" s="131"/>
    </row>
  </sheetData>
  <mergeCells count="16">
    <mergeCell ref="A47:I47"/>
    <mergeCell ref="A59:H59"/>
    <mergeCell ref="A65:H65"/>
    <mergeCell ref="A69:H69"/>
    <mergeCell ref="A63:H63"/>
    <mergeCell ref="A64:H64"/>
    <mergeCell ref="A66:H66"/>
    <mergeCell ref="A55:I55"/>
    <mergeCell ref="A50:I50"/>
    <mergeCell ref="A48:I48"/>
    <mergeCell ref="A61:H61"/>
    <mergeCell ref="A70:H70"/>
    <mergeCell ref="A67:H67"/>
    <mergeCell ref="A62:H62"/>
    <mergeCell ref="A51:I51"/>
    <mergeCell ref="A49:I49"/>
  </mergeCells>
  <pageMargins left="0.75" right="0.75" top="1" bottom="1" header="0.5" footer="0.5"/>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I76"/>
  <sheetViews>
    <sheetView rightToLeft="1" workbookViewId="0">
      <pane ySplit="1" topLeftCell="A2" activePane="bottomLeft" state="frozen"/>
      <selection pane="bottomLeft"/>
    </sheetView>
  </sheetViews>
  <sheetFormatPr defaultRowHeight="14.4"/>
  <cols>
    <col min="1" max="2" width="38" customWidth="1"/>
    <col min="3" max="3" width="15" customWidth="1"/>
    <col min="4" max="5" width="13" customWidth="1"/>
    <col min="6" max="9" width="14" customWidth="1"/>
  </cols>
  <sheetData>
    <row r="1" spans="1:4" ht="37.950000000000003" customHeight="1">
      <c r="A1" s="17" t="s">
        <v>1149</v>
      </c>
    </row>
    <row r="2" spans="1:4" ht="31.2">
      <c r="A2" s="18" t="s">
        <v>1150</v>
      </c>
    </row>
    <row r="3" spans="1:4" ht="27.6">
      <c r="A3" s="30" t="s">
        <v>1151</v>
      </c>
    </row>
    <row r="5" spans="1:4" ht="15.6">
      <c r="A5" s="18" t="s">
        <v>1152</v>
      </c>
      <c r="B5" s="20" t="s">
        <v>1153</v>
      </c>
    </row>
    <row r="7" spans="1:4">
      <c r="A7" s="30" t="s">
        <v>1154</v>
      </c>
      <c r="B7" s="20" t="s">
        <v>813</v>
      </c>
      <c r="C7" s="20" t="s">
        <v>1155</v>
      </c>
      <c r="D7" s="20" t="s">
        <v>1156</v>
      </c>
    </row>
    <row r="8" spans="1:4">
      <c r="A8" s="30" t="s">
        <v>1157</v>
      </c>
      <c r="B8" s="26">
        <v>33176</v>
      </c>
      <c r="D8" s="26">
        <v>32705</v>
      </c>
    </row>
    <row r="9" spans="1:4">
      <c r="A9" s="30" t="s">
        <v>1158</v>
      </c>
      <c r="B9" s="26">
        <v>33768</v>
      </c>
      <c r="C9" s="19">
        <v>592</v>
      </c>
      <c r="D9" s="26">
        <v>33463</v>
      </c>
    </row>
    <row r="10" spans="1:4">
      <c r="A10" s="30" t="s">
        <v>1159</v>
      </c>
      <c r="B10" s="26">
        <v>33417</v>
      </c>
      <c r="C10" s="19">
        <v>-351</v>
      </c>
      <c r="D10" s="26">
        <v>33567</v>
      </c>
    </row>
    <row r="11" spans="1:4">
      <c r="A11" s="30" t="s">
        <v>1160</v>
      </c>
      <c r="B11" s="26">
        <v>33516</v>
      </c>
      <c r="C11" s="19">
        <v>99</v>
      </c>
      <c r="D11" s="26">
        <v>33561</v>
      </c>
    </row>
    <row r="12" spans="1:4">
      <c r="A12" s="30" t="s">
        <v>1161</v>
      </c>
      <c r="B12" s="26">
        <v>33629</v>
      </c>
      <c r="C12" s="19">
        <v>113</v>
      </c>
      <c r="D12" s="26">
        <v>33347</v>
      </c>
    </row>
    <row r="13" spans="1:4">
      <c r="A13" s="30" t="s">
        <v>1162</v>
      </c>
      <c r="B13" s="26">
        <v>33419</v>
      </c>
      <c r="C13" s="19">
        <v>-210</v>
      </c>
      <c r="D13" s="26">
        <v>33508</v>
      </c>
    </row>
    <row r="14" spans="1:4">
      <c r="A14" s="30" t="s">
        <v>1163</v>
      </c>
      <c r="B14" s="26">
        <v>34126</v>
      </c>
      <c r="C14" s="19">
        <v>707</v>
      </c>
      <c r="D14" s="26">
        <v>34443</v>
      </c>
    </row>
    <row r="15" spans="1:4">
      <c r="A15" s="30" t="s">
        <v>1164</v>
      </c>
      <c r="B15" s="26">
        <v>33379</v>
      </c>
      <c r="C15" s="19">
        <v>-747</v>
      </c>
      <c r="D15" s="26">
        <v>32885</v>
      </c>
    </row>
    <row r="16" spans="1:4">
      <c r="A16" s="30" t="s">
        <v>1165</v>
      </c>
      <c r="B16" s="26">
        <v>34019</v>
      </c>
      <c r="C16" s="19">
        <v>640</v>
      </c>
      <c r="D16" s="26">
        <v>34331</v>
      </c>
    </row>
    <row r="17" spans="1:5">
      <c r="A17" s="30" t="s">
        <v>1166</v>
      </c>
      <c r="B17" s="26">
        <v>34828</v>
      </c>
      <c r="C17" s="19">
        <v>809</v>
      </c>
      <c r="D17" s="26">
        <v>35035</v>
      </c>
    </row>
    <row r="18" spans="1:5">
      <c r="A18" s="30" t="s">
        <v>1167</v>
      </c>
      <c r="B18" s="26">
        <v>34510</v>
      </c>
      <c r="C18" s="19">
        <v>-318</v>
      </c>
      <c r="D18" s="26">
        <v>34345</v>
      </c>
    </row>
    <row r="19" spans="1:5">
      <c r="A19" s="30" t="s">
        <v>1168</v>
      </c>
      <c r="B19" s="26">
        <v>34679</v>
      </c>
      <c r="C19" s="19">
        <v>169</v>
      </c>
      <c r="D19" s="26">
        <v>34321</v>
      </c>
    </row>
    <row r="21" spans="1:5">
      <c r="A21" s="30" t="s">
        <v>1169</v>
      </c>
    </row>
    <row r="22" spans="1:5">
      <c r="A22" s="30" t="s">
        <v>1154</v>
      </c>
      <c r="B22" s="20" t="s">
        <v>1170</v>
      </c>
      <c r="C22" s="20" t="s">
        <v>1171</v>
      </c>
      <c r="D22" s="20" t="s">
        <v>1172</v>
      </c>
      <c r="E22" s="20" t="s">
        <v>1173</v>
      </c>
    </row>
    <row r="23" spans="1:5">
      <c r="A23" s="30" t="s">
        <v>314</v>
      </c>
      <c r="B23" s="26">
        <v>35186</v>
      </c>
      <c r="C23" s="26">
        <v>33427</v>
      </c>
      <c r="D23" s="26">
        <v>36945</v>
      </c>
      <c r="E23" s="20" t="s">
        <v>1174</v>
      </c>
    </row>
    <row r="24" spans="1:5">
      <c r="A24" s="30" t="s">
        <v>1175</v>
      </c>
      <c r="B24" s="26">
        <v>34969</v>
      </c>
      <c r="C24" s="26">
        <v>32496</v>
      </c>
      <c r="D24" s="26">
        <v>37442</v>
      </c>
      <c r="E24" s="20" t="s">
        <v>1176</v>
      </c>
    </row>
    <row r="25" spans="1:5">
      <c r="A25" s="30" t="s">
        <v>1177</v>
      </c>
      <c r="B25" s="26">
        <v>34883</v>
      </c>
      <c r="C25" s="26">
        <v>31862</v>
      </c>
      <c r="D25" s="26">
        <v>37904</v>
      </c>
      <c r="E25" s="20" t="s">
        <v>1178</v>
      </c>
    </row>
    <row r="26" spans="1:5">
      <c r="A26" s="30" t="s">
        <v>1179</v>
      </c>
      <c r="B26" s="26">
        <v>34885</v>
      </c>
      <c r="C26" s="26">
        <v>31396</v>
      </c>
      <c r="D26" s="26">
        <v>38374</v>
      </c>
      <c r="E26" s="20" t="s">
        <v>1178</v>
      </c>
    </row>
    <row r="29" spans="1:5" ht="15.6">
      <c r="A29" s="18" t="s">
        <v>1180</v>
      </c>
    </row>
    <row r="30" spans="1:5">
      <c r="A30" s="30" t="s">
        <v>1181</v>
      </c>
      <c r="B30" s="20" t="s">
        <v>74</v>
      </c>
      <c r="C30" s="20" t="s">
        <v>1182</v>
      </c>
      <c r="D30" s="20" t="s">
        <v>1183</v>
      </c>
      <c r="E30" s="20" t="s">
        <v>1184</v>
      </c>
    </row>
    <row r="31" spans="1:5">
      <c r="A31" s="30" t="s">
        <v>1185</v>
      </c>
      <c r="B31" s="19">
        <v>66.5</v>
      </c>
      <c r="C31" s="19">
        <v>33.299999999999997</v>
      </c>
      <c r="D31" s="19">
        <v>1.9970000000000001</v>
      </c>
      <c r="E31" s="27">
        <v>3.2000000000000001E-2</v>
      </c>
    </row>
    <row r="32" spans="1:5">
      <c r="A32" s="30" t="s">
        <v>1186</v>
      </c>
      <c r="B32" s="27">
        <v>0.72099999999999997</v>
      </c>
      <c r="C32" s="27">
        <v>0.13400000000000001</v>
      </c>
      <c r="D32" s="19">
        <v>5.3810000000000002</v>
      </c>
      <c r="E32" s="19">
        <v>0</v>
      </c>
    </row>
    <row r="33" spans="1:5">
      <c r="A33" s="30" t="s">
        <v>1187</v>
      </c>
      <c r="B33" s="19">
        <v>-0.218</v>
      </c>
      <c r="C33" s="27">
        <v>0.13900000000000001</v>
      </c>
      <c r="D33" s="19">
        <v>-1.5680000000000001</v>
      </c>
      <c r="E33" s="27">
        <v>3.2000000000000001E-2</v>
      </c>
    </row>
    <row r="34" spans="1:5">
      <c r="A34" s="30" t="s">
        <v>1188</v>
      </c>
      <c r="B34" s="19">
        <v>-0.95599999999999996</v>
      </c>
      <c r="C34" s="27">
        <v>0.10299999999999999</v>
      </c>
      <c r="D34" s="19">
        <v>-9.282</v>
      </c>
      <c r="E34" s="19">
        <v>0</v>
      </c>
    </row>
    <row r="37" spans="1:5">
      <c r="A37" s="30" t="s">
        <v>1189</v>
      </c>
    </row>
    <row r="38" spans="1:5">
      <c r="A38" s="30" t="s">
        <v>1190</v>
      </c>
      <c r="B38" s="19">
        <v>-31.4</v>
      </c>
      <c r="C38" s="20" t="s">
        <v>819</v>
      </c>
    </row>
    <row r="39" spans="1:5">
      <c r="A39" s="30" t="s">
        <v>1191</v>
      </c>
      <c r="B39" s="19">
        <v>-27.1</v>
      </c>
      <c r="C39" s="20" t="s">
        <v>819</v>
      </c>
    </row>
    <row r="40" spans="1:5">
      <c r="A40" s="30" t="s">
        <v>1192</v>
      </c>
      <c r="B40" s="19">
        <v>599</v>
      </c>
      <c r="C40" s="20" t="s">
        <v>26</v>
      </c>
    </row>
    <row r="41" spans="1:5">
      <c r="A41" s="30" t="s">
        <v>1193</v>
      </c>
      <c r="B41" s="19">
        <v>1.8</v>
      </c>
    </row>
    <row r="42" spans="1:5">
      <c r="A42" s="30" t="s">
        <v>1133</v>
      </c>
      <c r="B42" s="27">
        <v>0.92300000000000004</v>
      </c>
    </row>
    <row r="43" spans="1:5" ht="27.6">
      <c r="A43" s="30" t="s">
        <v>1194</v>
      </c>
      <c r="B43" s="19">
        <v>4.21</v>
      </c>
      <c r="C43" s="20" t="s">
        <v>1195</v>
      </c>
    </row>
    <row r="44" spans="1:5" ht="27.6">
      <c r="A44" s="30" t="s">
        <v>1196</v>
      </c>
      <c r="B44" s="19">
        <v>1.87</v>
      </c>
      <c r="C44" s="20" t="s">
        <v>1195</v>
      </c>
    </row>
    <row r="47" spans="1:5" ht="15.6">
      <c r="A47" s="18" t="s">
        <v>1197</v>
      </c>
    </row>
    <row r="48" spans="1:5">
      <c r="A48" s="30" t="s">
        <v>1198</v>
      </c>
    </row>
    <row r="49" spans="1:9">
      <c r="A49" s="30" t="s">
        <v>1199</v>
      </c>
    </row>
    <row r="50" spans="1:9">
      <c r="A50" s="30" t="s">
        <v>1200</v>
      </c>
    </row>
    <row r="51" spans="1:9">
      <c r="A51" s="30" t="s">
        <v>1201</v>
      </c>
    </row>
    <row r="52" spans="1:9">
      <c r="A52" s="30" t="s">
        <v>1202</v>
      </c>
    </row>
    <row r="53" spans="1:9" ht="24" customHeight="1">
      <c r="A53" s="112" t="s">
        <v>1203</v>
      </c>
      <c r="B53" s="113"/>
      <c r="C53" s="113"/>
      <c r="D53" s="113"/>
      <c r="E53" s="113"/>
      <c r="F53" s="113"/>
      <c r="G53" s="113"/>
      <c r="H53" s="113"/>
      <c r="I53" s="114"/>
    </row>
    <row r="54" spans="1:9" ht="37.950000000000003" customHeight="1">
      <c r="A54" s="109" t="s">
        <v>1204</v>
      </c>
      <c r="B54" s="110"/>
      <c r="C54" s="110"/>
      <c r="D54" s="110"/>
      <c r="E54" s="110"/>
      <c r="F54" s="110"/>
      <c r="G54" s="110"/>
      <c r="H54" s="110"/>
      <c r="I54" s="111"/>
    </row>
    <row r="55" spans="1:9" ht="37.950000000000003" customHeight="1">
      <c r="A55" s="145" t="str">
        <f>"تنبؤ Q4-2026 = "&amp;TEXT('ARIMA — السلاسل الزمنية'!B26,"#,##0")&amp;" EGP/م². هذا يفترض استمرار المعدل الحالي بتقلب اعتيادي ضمن حدود الثقة 95%."</f>
        <v>تنبؤ Q4-2026 = 34,885 EGP/م². هذا يفترض استمرار المعدل الحالي بتقلب اعتيادي ضمن حدود الثقة 95%.</v>
      </c>
      <c r="B55" s="110"/>
      <c r="C55" s="110"/>
      <c r="D55" s="110"/>
      <c r="E55" s="110"/>
      <c r="F55" s="110"/>
      <c r="G55" s="110"/>
      <c r="H55" s="110"/>
      <c r="I55" s="111"/>
    </row>
    <row r="56" spans="1:9" ht="37.950000000000003" customHeight="1">
      <c r="A56" s="109" t="s">
        <v>1205</v>
      </c>
      <c r="B56" s="110"/>
      <c r="C56" s="110"/>
      <c r="D56" s="110"/>
      <c r="E56" s="110"/>
      <c r="F56" s="110"/>
      <c r="G56" s="110"/>
      <c r="H56" s="110"/>
      <c r="I56" s="111"/>
    </row>
    <row r="57" spans="1:9" ht="37.950000000000003" customHeight="1">
      <c r="A57" s="109" t="s">
        <v>1206</v>
      </c>
      <c r="B57" s="110"/>
      <c r="C57" s="110"/>
      <c r="D57" s="110"/>
      <c r="E57" s="110"/>
      <c r="F57" s="110"/>
      <c r="G57" s="110"/>
      <c r="H57" s="110"/>
      <c r="I57" s="111"/>
    </row>
    <row r="61" spans="1:9" ht="36" customHeight="1">
      <c r="A61" s="174" t="s">
        <v>1207</v>
      </c>
      <c r="B61" s="119"/>
      <c r="C61" s="119"/>
      <c r="D61" s="119"/>
      <c r="E61" s="119"/>
      <c r="F61" s="119"/>
      <c r="G61" s="119"/>
      <c r="H61" s="119"/>
      <c r="I61" s="119"/>
    </row>
    <row r="65" spans="1:8" ht="40.049999999999997" customHeight="1">
      <c r="A65" s="172" t="s">
        <v>1208</v>
      </c>
      <c r="B65" s="116"/>
      <c r="C65" s="116"/>
      <c r="D65" s="116"/>
      <c r="E65" s="116"/>
      <c r="F65" s="116"/>
      <c r="G65" s="116"/>
      <c r="H65" s="116"/>
    </row>
    <row r="67" spans="1:8" ht="31.95" customHeight="1">
      <c r="A67" s="165" t="s">
        <v>471</v>
      </c>
      <c r="B67" s="119"/>
      <c r="C67" s="119"/>
      <c r="D67" s="119"/>
      <c r="E67" s="119"/>
      <c r="F67" s="119"/>
      <c r="G67" s="119"/>
      <c r="H67" s="119"/>
    </row>
    <row r="68" spans="1:8" ht="25.95" customHeight="1">
      <c r="A68" s="170" t="s">
        <v>1209</v>
      </c>
      <c r="B68" s="110"/>
      <c r="C68" s="110"/>
      <c r="D68" s="110"/>
      <c r="E68" s="110"/>
      <c r="F68" s="110"/>
      <c r="G68" s="110"/>
      <c r="H68" s="111"/>
    </row>
    <row r="69" spans="1:8" ht="25.95" customHeight="1">
      <c r="A69" s="167" t="s">
        <v>1210</v>
      </c>
      <c r="B69" s="110"/>
      <c r="C69" s="110"/>
      <c r="D69" s="110"/>
      <c r="E69" s="110"/>
      <c r="F69" s="110"/>
      <c r="G69" s="110"/>
      <c r="H69" s="111"/>
    </row>
    <row r="70" spans="1:8" ht="25.95" customHeight="1">
      <c r="A70" s="170" t="s">
        <v>1211</v>
      </c>
      <c r="B70" s="110"/>
      <c r="C70" s="110"/>
      <c r="D70" s="110"/>
      <c r="E70" s="110"/>
      <c r="F70" s="110"/>
      <c r="G70" s="110"/>
      <c r="H70" s="111"/>
    </row>
    <row r="71" spans="1:8" ht="25.95" customHeight="1">
      <c r="A71" s="167" t="s">
        <v>1212</v>
      </c>
      <c r="B71" s="110"/>
      <c r="C71" s="110"/>
      <c r="D71" s="110"/>
      <c r="E71" s="110"/>
      <c r="F71" s="110"/>
      <c r="G71" s="110"/>
      <c r="H71" s="111"/>
    </row>
    <row r="72" spans="1:8" ht="25.95" customHeight="1">
      <c r="A72" s="170" t="s">
        <v>1213</v>
      </c>
      <c r="B72" s="110"/>
      <c r="C72" s="110"/>
      <c r="D72" s="110"/>
      <c r="E72" s="110"/>
      <c r="F72" s="110"/>
      <c r="G72" s="110"/>
      <c r="H72" s="111"/>
    </row>
    <row r="73" spans="1:8" ht="25.95" customHeight="1">
      <c r="A73" s="167" t="s">
        <v>1214</v>
      </c>
      <c r="B73" s="110"/>
      <c r="C73" s="110"/>
      <c r="D73" s="110"/>
      <c r="E73" s="110"/>
      <c r="F73" s="110"/>
      <c r="G73" s="110"/>
      <c r="H73" s="111"/>
    </row>
    <row r="75" spans="1:8" ht="31.95" customHeight="1">
      <c r="A75" s="171" t="s">
        <v>481</v>
      </c>
      <c r="B75" s="119"/>
      <c r="C75" s="119"/>
      <c r="D75" s="119"/>
      <c r="E75" s="119"/>
      <c r="F75" s="119"/>
      <c r="G75" s="119"/>
      <c r="H75" s="119"/>
    </row>
    <row r="76" spans="1:8" ht="49.95" customHeight="1">
      <c r="A76" s="169" t="s">
        <v>1215</v>
      </c>
      <c r="B76" s="130"/>
      <c r="C76" s="130"/>
      <c r="D76" s="130"/>
      <c r="E76" s="130"/>
      <c r="F76" s="130"/>
      <c r="G76" s="130"/>
      <c r="H76" s="131"/>
    </row>
  </sheetData>
  <mergeCells count="16">
    <mergeCell ref="A76:H76"/>
    <mergeCell ref="A61:I61"/>
    <mergeCell ref="A53:I53"/>
    <mergeCell ref="A55:I55"/>
    <mergeCell ref="A54:I54"/>
    <mergeCell ref="A75:H75"/>
    <mergeCell ref="A73:H73"/>
    <mergeCell ref="A71:H71"/>
    <mergeCell ref="A72:H72"/>
    <mergeCell ref="A56:I56"/>
    <mergeCell ref="A68:H68"/>
    <mergeCell ref="A70:H70"/>
    <mergeCell ref="A67:H67"/>
    <mergeCell ref="A57:I57"/>
    <mergeCell ref="A69:H69"/>
    <mergeCell ref="A65:H65"/>
  </mergeCells>
  <pageMargins left="0.75" right="0.75" top="1" bottom="1" header="0.5" footer="0.5"/>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dimension ref="A1:I51"/>
  <sheetViews>
    <sheetView rightToLeft="1" workbookViewId="0">
      <pane ySplit="1" topLeftCell="A2" activePane="bottomLeft" state="frozen"/>
      <selection pane="bottomLeft"/>
    </sheetView>
  </sheetViews>
  <sheetFormatPr defaultRowHeight="14.4"/>
  <cols>
    <col min="1" max="2" width="38" customWidth="1"/>
    <col min="3" max="3" width="26" customWidth="1"/>
    <col min="4" max="4" width="21" customWidth="1"/>
    <col min="5" max="6" width="38" customWidth="1"/>
    <col min="7" max="9" width="14" customWidth="1"/>
  </cols>
  <sheetData>
    <row r="1" spans="1:3" ht="37.950000000000003" customHeight="1">
      <c r="A1" s="17" t="s">
        <v>1216</v>
      </c>
    </row>
    <row r="2" spans="1:3">
      <c r="A2" s="30" t="s">
        <v>1217</v>
      </c>
    </row>
    <row r="4" spans="1:3" ht="15.6">
      <c r="A4" s="18" t="s">
        <v>1218</v>
      </c>
    </row>
    <row r="5" spans="1:3">
      <c r="A5" s="30" t="s">
        <v>132</v>
      </c>
      <c r="B5" s="20" t="s">
        <v>74</v>
      </c>
      <c r="C5" s="20" t="s">
        <v>75</v>
      </c>
    </row>
    <row r="6" spans="1:3">
      <c r="A6" s="30" t="s">
        <v>1219</v>
      </c>
      <c r="B6" s="19">
        <f>'الافتراضات والمدخلات'!B27</f>
        <v>4989300</v>
      </c>
    </row>
    <row r="7" spans="1:3">
      <c r="A7" s="30" t="s">
        <v>1220</v>
      </c>
      <c r="B7" s="19" t="e">
        <f>B5*0.2</f>
        <v>#VALUE!</v>
      </c>
      <c r="C7" s="20" t="s">
        <v>1221</v>
      </c>
    </row>
    <row r="8" spans="1:3">
      <c r="A8" s="30" t="s">
        <v>1222</v>
      </c>
      <c r="B8" s="19" t="e">
        <f>B5-B6</f>
        <v>#VALUE!</v>
      </c>
      <c r="C8" s="19" t="e">
        <f>B5-B6</f>
        <v>#VALUE!</v>
      </c>
    </row>
    <row r="9" spans="1:3">
      <c r="A9" s="30" t="s">
        <v>1223</v>
      </c>
      <c r="B9" s="19">
        <f>'الافتراضات والمدخلات'!B20+0.04</f>
        <v>0.16</v>
      </c>
      <c r="C9" s="20" t="s">
        <v>1224</v>
      </c>
    </row>
    <row r="10" spans="1:3">
      <c r="A10" s="30" t="s">
        <v>1225</v>
      </c>
      <c r="B10" s="19">
        <f>25</f>
        <v>25</v>
      </c>
      <c r="C10" s="20" t="s">
        <v>1226</v>
      </c>
    </row>
    <row r="11" spans="1:3" ht="15.6">
      <c r="A11" s="18" t="s">
        <v>1227</v>
      </c>
      <c r="B11" s="19">
        <f>'الافتراضات والمدخلات'!B28</f>
        <v>57000</v>
      </c>
      <c r="C11" s="20" t="s">
        <v>1228</v>
      </c>
    </row>
    <row r="12" spans="1:3" ht="15.6">
      <c r="A12" s="18" t="s">
        <v>1229</v>
      </c>
      <c r="B12" s="19">
        <f>'الافتراضات والمدخلات'!B21</f>
        <v>0.05</v>
      </c>
      <c r="C12" s="20" t="s">
        <v>1228</v>
      </c>
    </row>
    <row r="13" spans="1:3">
      <c r="A13" s="30" t="s">
        <v>1230</v>
      </c>
      <c r="B13" s="19">
        <f>'الافتراضات والمدخلات'!B20</f>
        <v>0.12</v>
      </c>
      <c r="C13" s="20" t="s">
        <v>1231</v>
      </c>
    </row>
    <row r="14" spans="1:3">
      <c r="A14" s="30" t="s">
        <v>1232</v>
      </c>
      <c r="B14" s="19">
        <f>0.01</f>
        <v>0.01</v>
      </c>
      <c r="C14" s="20" t="s">
        <v>1233</v>
      </c>
    </row>
    <row r="15" spans="1:3">
      <c r="A15" s="30" t="s">
        <v>1234</v>
      </c>
      <c r="B15" s="19">
        <f>'الافتراضات والمدخلات'!B21</f>
        <v>0.05</v>
      </c>
      <c r="C15" s="20" t="s">
        <v>1235</v>
      </c>
    </row>
    <row r="17" spans="1:6">
      <c r="A17" s="30" t="s">
        <v>1236</v>
      </c>
    </row>
    <row r="18" spans="1:6">
      <c r="A18" s="30" t="s">
        <v>1237</v>
      </c>
      <c r="B18" s="19">
        <f>IFERROR(PMT(B8/12,B9*12,-B7),0)</f>
        <v>0</v>
      </c>
      <c r="C18" s="20" t="s">
        <v>1238</v>
      </c>
    </row>
    <row r="19" spans="1:6">
      <c r="A19" s="30" t="s">
        <v>1239</v>
      </c>
      <c r="B19" s="19">
        <f>B18*12</f>
        <v>0</v>
      </c>
    </row>
    <row r="20" spans="1:6">
      <c r="A20" s="30" t="s">
        <v>1240</v>
      </c>
      <c r="B20" s="19" t="e">
        <f>B5*B13</f>
        <v>#VALUE!</v>
      </c>
    </row>
    <row r="21" spans="1:6">
      <c r="A21" s="30" t="s">
        <v>1241</v>
      </c>
      <c r="B21" s="19" t="e">
        <f>B19+B20</f>
        <v>#VALUE!</v>
      </c>
    </row>
    <row r="22" spans="1:6" ht="27.6">
      <c r="A22" s="30" t="s">
        <v>1242</v>
      </c>
      <c r="B22" s="19">
        <f>B6*B12</f>
        <v>249465</v>
      </c>
    </row>
    <row r="23" spans="1:6" ht="15.6">
      <c r="A23" s="18" t="s">
        <v>1243</v>
      </c>
      <c r="B23" s="19" t="e">
        <f>B21+B22</f>
        <v>#VALUE!</v>
      </c>
    </row>
    <row r="24" spans="1:6" ht="15.6">
      <c r="A24" s="18" t="s">
        <v>1244</v>
      </c>
      <c r="B24" s="19">
        <f>B10</f>
        <v>25</v>
      </c>
    </row>
    <row r="25" spans="1:6">
      <c r="A25" s="30" t="s">
        <v>1245</v>
      </c>
      <c r="B25" s="19" t="e">
        <f>B23-B24</f>
        <v>#VALUE!</v>
      </c>
    </row>
    <row r="27" spans="1:6" ht="15.6">
      <c r="A27" s="18" t="s">
        <v>1246</v>
      </c>
    </row>
    <row r="28" spans="1:6">
      <c r="A28" s="30" t="s">
        <v>1071</v>
      </c>
      <c r="B28" s="20" t="s">
        <v>1247</v>
      </c>
      <c r="C28" s="20" t="s">
        <v>1248</v>
      </c>
      <c r="D28" s="20" t="s">
        <v>1249</v>
      </c>
      <c r="E28" s="20" t="s">
        <v>1250</v>
      </c>
      <c r="F28" s="20" t="s">
        <v>1251</v>
      </c>
    </row>
    <row r="29" spans="1:6">
      <c r="A29" s="19">
        <v>1</v>
      </c>
      <c r="B29" s="19" t="e">
        <f t="shared" ref="B29:B38" si="0">$B$19+$B$5*$B$13*(1+$B$14)^(A29-1)</f>
        <v>#VALUE!</v>
      </c>
      <c r="C29" s="19">
        <f t="shared" ref="C29:C38" si="1">$B$10*(1+$B$11)^(A29-1)</f>
        <v>25</v>
      </c>
      <c r="D29" s="19" t="e">
        <f t="shared" ref="D29:D38" si="2">$B$5*(1+$B$14)^A29</f>
        <v>#VALUE!</v>
      </c>
      <c r="E29" s="19" t="e">
        <f t="shared" ref="E29:E38" si="3">D29-($B$7*(1+$B$8/12)^(A29*12)-$B$18*((1+$B$8/12)^(A29*12)-1)/($B$8/12))</f>
        <v>#VALUE!</v>
      </c>
      <c r="F29" s="19">
        <f t="shared" ref="F29:F38" ca="1" si="4">$B$6*(1+$B$12)^A29+SUM(($B$24-$B$10*(1+$B$11)^(ROW(INDIRECT("1:"&amp;A29))-1))*(1+$B$12)^(A29-ROW(INDIRECT("1:"&amp;A29))+1))</f>
        <v>5238765</v>
      </c>
    </row>
    <row r="30" spans="1:6">
      <c r="A30" s="19">
        <v>2</v>
      </c>
      <c r="B30" s="19" t="e">
        <f t="shared" si="0"/>
        <v>#VALUE!</v>
      </c>
      <c r="C30" s="19">
        <f t="shared" si="1"/>
        <v>1425025</v>
      </c>
      <c r="D30" s="19" t="e">
        <f t="shared" si="2"/>
        <v>#VALUE!</v>
      </c>
      <c r="E30" s="19" t="e">
        <f t="shared" si="3"/>
        <v>#VALUE!</v>
      </c>
      <c r="F30" s="19">
        <f t="shared" ca="1" si="4"/>
        <v>5500703.25</v>
      </c>
    </row>
    <row r="31" spans="1:6">
      <c r="A31" s="19">
        <v>3</v>
      </c>
      <c r="B31" s="19" t="e">
        <f t="shared" si="0"/>
        <v>#VALUE!</v>
      </c>
      <c r="C31" s="19">
        <f t="shared" si="1"/>
        <v>81227850025</v>
      </c>
      <c r="D31" s="19" t="e">
        <f t="shared" si="2"/>
        <v>#VALUE!</v>
      </c>
      <c r="E31" s="19" t="e">
        <f t="shared" si="3"/>
        <v>#VALUE!</v>
      </c>
      <c r="F31" s="19">
        <f t="shared" ca="1" si="4"/>
        <v>5775738.4125000006</v>
      </c>
    </row>
    <row r="32" spans="1:6">
      <c r="A32" s="19">
        <v>4</v>
      </c>
      <c r="B32" s="19" t="e">
        <f t="shared" si="0"/>
        <v>#VALUE!</v>
      </c>
      <c r="C32" s="19">
        <f t="shared" si="1"/>
        <v>4630068679275025</v>
      </c>
      <c r="D32" s="19" t="e">
        <f t="shared" si="2"/>
        <v>#VALUE!</v>
      </c>
      <c r="E32" s="19" t="e">
        <f t="shared" si="3"/>
        <v>#VALUE!</v>
      </c>
      <c r="F32" s="19">
        <f t="shared" ca="1" si="4"/>
        <v>6064525.3331249999</v>
      </c>
    </row>
    <row r="33" spans="1:9">
      <c r="A33" s="19">
        <v>5</v>
      </c>
      <c r="B33" s="19" t="e">
        <f t="shared" si="0"/>
        <v>#VALUE!</v>
      </c>
      <c r="C33" s="19">
        <f t="shared" si="1"/>
        <v>2.639185447873557E+20</v>
      </c>
      <c r="D33" s="19" t="e">
        <f t="shared" si="2"/>
        <v>#VALUE!</v>
      </c>
      <c r="E33" s="19" t="e">
        <f t="shared" si="3"/>
        <v>#VALUE!</v>
      </c>
      <c r="F33" s="19">
        <f t="shared" ca="1" si="4"/>
        <v>6367751.5997812506</v>
      </c>
    </row>
    <row r="34" spans="1:9">
      <c r="A34" s="19">
        <v>6</v>
      </c>
      <c r="B34" s="19" t="e">
        <f t="shared" si="0"/>
        <v>#VALUE!</v>
      </c>
      <c r="C34" s="19">
        <f t="shared" si="1"/>
        <v>1.5043620971424063E+25</v>
      </c>
      <c r="D34" s="19" t="e">
        <f t="shared" si="2"/>
        <v>#VALUE!</v>
      </c>
      <c r="E34" s="19" t="e">
        <f t="shared" si="3"/>
        <v>#VALUE!</v>
      </c>
      <c r="F34" s="19">
        <f t="shared" ca="1" si="4"/>
        <v>6686139.1797703123</v>
      </c>
    </row>
    <row r="35" spans="1:9">
      <c r="A35" s="19">
        <v>7</v>
      </c>
      <c r="B35" s="19" t="e">
        <f t="shared" si="0"/>
        <v>#VALUE!</v>
      </c>
      <c r="C35" s="19">
        <f t="shared" si="1"/>
        <v>8.5750143899214295E+29</v>
      </c>
      <c r="D35" s="19" t="e">
        <f t="shared" si="2"/>
        <v>#VALUE!</v>
      </c>
      <c r="E35" s="19" t="e">
        <f t="shared" si="3"/>
        <v>#VALUE!</v>
      </c>
      <c r="F35" s="19">
        <f t="shared" ca="1" si="4"/>
        <v>7020446.1387588289</v>
      </c>
    </row>
    <row r="36" spans="1:9">
      <c r="A36" s="19">
        <v>8</v>
      </c>
      <c r="B36" s="19" t="e">
        <f t="shared" si="0"/>
        <v>#VALUE!</v>
      </c>
      <c r="C36" s="19">
        <f t="shared" si="1"/>
        <v>4.8878439523991141E+34</v>
      </c>
      <c r="D36" s="19" t="e">
        <f t="shared" si="2"/>
        <v>#VALUE!</v>
      </c>
      <c r="E36" s="19" t="e">
        <f t="shared" si="3"/>
        <v>#VALUE!</v>
      </c>
      <c r="F36" s="19">
        <f t="shared" ca="1" si="4"/>
        <v>7371468.4456967702</v>
      </c>
    </row>
    <row r="37" spans="1:9">
      <c r="A37" s="19">
        <v>9</v>
      </c>
      <c r="B37" s="19" t="e">
        <f t="shared" si="0"/>
        <v>#VALUE!</v>
      </c>
      <c r="C37" s="19">
        <f t="shared" si="1"/>
        <v>2.7861199313070192E+39</v>
      </c>
      <c r="D37" s="19" t="e">
        <f t="shared" si="2"/>
        <v>#VALUE!</v>
      </c>
      <c r="E37" s="19" t="e">
        <f t="shared" si="3"/>
        <v>#VALUE!</v>
      </c>
      <c r="F37" s="19">
        <f t="shared" ca="1" si="4"/>
        <v>7740041.867981609</v>
      </c>
    </row>
    <row r="38" spans="1:9">
      <c r="A38" s="19">
        <v>10</v>
      </c>
      <c r="B38" s="19" t="e">
        <f t="shared" si="0"/>
        <v>#VALUE!</v>
      </c>
      <c r="C38" s="19">
        <f t="shared" si="1"/>
        <v>1.5881162220443138E+44</v>
      </c>
      <c r="D38" s="19" t="e">
        <f t="shared" si="2"/>
        <v>#VALUE!</v>
      </c>
      <c r="E38" s="19" t="e">
        <f t="shared" si="3"/>
        <v>#VALUE!</v>
      </c>
      <c r="F38" s="19">
        <f t="shared" ca="1" si="4"/>
        <v>8127043.9613806894</v>
      </c>
    </row>
    <row r="40" spans="1:9">
      <c r="A40" s="30" t="s">
        <v>1252</v>
      </c>
    </row>
    <row r="41" spans="1:9">
      <c r="A41" s="30" t="s">
        <v>1253</v>
      </c>
      <c r="B41" s="19" t="str">
        <f>IFERROR(MATCH(1,(E29:E38-F29:F38)&gt;=0,0),"بعد 10 سنوات")</f>
        <v>بعد 10 سنوات</v>
      </c>
    </row>
    <row r="42" spans="1:9" ht="187.2" customHeight="1">
      <c r="A42" s="30" t="s">
        <v>1254</v>
      </c>
      <c r="B42" s="19" t="str">
        <f>IF(ISNUMBER(B41),"بعد "&amp;B41&amp;" سنة يصبح التملك أفضل مالياً من الإيجار + الاستثمار.","خلال الأفق المدروس (10 سنوات)، الإيجار + الاستثمار يتفوق على التملك. راجع افتراضات معدل الفائدة.")</f>
        <v>خلال الأفق المدروس (10 سنوات)، الإيجار + الاستثمار يتفوق على التملك. راجع افتراضات معدل الفائدة.</v>
      </c>
    </row>
    <row r="44" spans="1:9">
      <c r="A44" s="19" t="e">
        <f>" تحليل الاستحقاق: إذا كانت تكلفة الإيجار السنوية "&amp;TEXT(B10,"#,##0")&amp;" EGP وتكلفة التملك الاقتصادية "&amp;TEXT(B23,"#,##0")&amp;" EGP، فإن الفرق "&amp;TEXT(B25,"#,##0")&amp;" EGP يشير إلى الخيار الأفضل في المدى القصير."</f>
        <v>#VALUE!</v>
      </c>
    </row>
    <row r="47" spans="1:9" ht="24" customHeight="1">
      <c r="A47" s="112" t="s">
        <v>1255</v>
      </c>
      <c r="B47" s="113"/>
      <c r="C47" s="113"/>
      <c r="D47" s="113"/>
      <c r="E47" s="113"/>
      <c r="F47" s="113"/>
      <c r="G47" s="113"/>
      <c r="H47" s="113"/>
      <c r="I47" s="114"/>
    </row>
    <row r="48" spans="1:9" ht="37.950000000000003" customHeight="1">
      <c r="A48" s="145" t="str">
        <f>"القسط الشهري للشراء: "&amp;TEXT('الإيجار مقابل الشراء'!B10,"#,##0")&amp;" EGP. قارنه بالإيجار الشهري السائد لعقار مماثل لاتخاذ قرارك."</f>
        <v>القسط الشهري للشراء: 25 EGP. قارنه بالإيجار الشهري السائد لعقار مماثل لاتخاذ قرارك.</v>
      </c>
      <c r="B48" s="110"/>
      <c r="C48" s="110"/>
      <c r="D48" s="110"/>
      <c r="E48" s="110"/>
      <c r="F48" s="110"/>
      <c r="G48" s="110"/>
      <c r="H48" s="110"/>
      <c r="I48" s="111"/>
    </row>
    <row r="49" spans="1:9" ht="37.950000000000003" customHeight="1">
      <c r="A49" s="109" t="s">
        <v>1256</v>
      </c>
      <c r="B49" s="110"/>
      <c r="C49" s="110"/>
      <c r="D49" s="110"/>
      <c r="E49" s="110"/>
      <c r="F49" s="110"/>
      <c r="G49" s="110"/>
      <c r="H49" s="110"/>
      <c r="I49" s="111"/>
    </row>
    <row r="50" spans="1:9" ht="37.950000000000003" customHeight="1">
      <c r="A50" s="109" t="s">
        <v>1257</v>
      </c>
      <c r="B50" s="110"/>
      <c r="C50" s="110"/>
      <c r="D50" s="110"/>
      <c r="E50" s="110"/>
      <c r="F50" s="110"/>
      <c r="G50" s="110"/>
      <c r="H50" s="110"/>
      <c r="I50" s="111"/>
    </row>
    <row r="51" spans="1:9" ht="37.950000000000003" customHeight="1">
      <c r="A51" s="145" t="str">
        <f>"نقطة التعادل التراكمية: "&amp;TEXT('الإيجار مقابل الشراء'!B41,"")&amp;". بعد هذه المدة يصبح الشراء أجدى من الإيجار تراكمياً."</f>
        <v>نقطة التعادل التراكمية: بعد 10 سنوات. بعد هذه المدة يصبح الشراء أجدى من الإيجار تراكمياً.</v>
      </c>
      <c r="B51" s="110"/>
      <c r="C51" s="110"/>
      <c r="D51" s="110"/>
      <c r="E51" s="110"/>
      <c r="F51" s="110"/>
      <c r="G51" s="110"/>
      <c r="H51" s="110"/>
      <c r="I51" s="111"/>
    </row>
  </sheetData>
  <mergeCells count="5">
    <mergeCell ref="A51:I51"/>
    <mergeCell ref="A49:I49"/>
    <mergeCell ref="A47:I47"/>
    <mergeCell ref="A50:I50"/>
    <mergeCell ref="A48:I48"/>
  </mergeCells>
  <conditionalFormatting sqref="E29:E38">
    <cfRule type="colorScale" priority="1">
      <colorScale>
        <cfvo type="min"/>
        <cfvo type="percentile" val="50"/>
        <cfvo type="max"/>
        <color rgb="FFFFF3E0"/>
        <color rgb="FFFF9800"/>
        <color rgb="FFE65100"/>
      </colorScale>
    </cfRule>
  </conditionalFormatting>
  <conditionalFormatting sqref="F29:F38">
    <cfRule type="colorScale" priority="2">
      <colorScale>
        <cfvo type="min"/>
        <cfvo type="percentile" val="50"/>
        <cfvo type="max"/>
        <color rgb="FFE8F5E9"/>
        <color rgb="FF4CAF50"/>
        <color rgb="FF1B5E20"/>
      </colorScale>
    </cfRule>
  </conditionalFormatting>
  <pageMargins left="0.75" right="0.75" top="1" bottom="1" header="0.5" footer="0.5"/>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dimension ref="A1:I50"/>
  <sheetViews>
    <sheetView rightToLeft="1" workbookViewId="0">
      <pane ySplit="1" topLeftCell="A2" activePane="bottomLeft" state="frozen"/>
      <selection pane="bottomLeft"/>
    </sheetView>
  </sheetViews>
  <sheetFormatPr defaultRowHeight="14.4"/>
  <cols>
    <col min="1" max="2" width="38" customWidth="1"/>
    <col min="3" max="3" width="32" customWidth="1"/>
    <col min="4" max="5" width="38" customWidth="1"/>
    <col min="6" max="6" width="20" customWidth="1"/>
    <col min="7" max="7" width="27" customWidth="1"/>
    <col min="8" max="8" width="13" customWidth="1"/>
    <col min="9" max="9" width="14" customWidth="1"/>
  </cols>
  <sheetData>
    <row r="1" spans="1:8" ht="37.950000000000003" customHeight="1">
      <c r="A1" s="17" t="s">
        <v>1258</v>
      </c>
    </row>
    <row r="2" spans="1:8">
      <c r="A2" s="19" t="str">
        <f>"تحليل مقارن للاستخدامات الممكنة للعقار في: "&amp;'الافتراضات والمدخلات'!B13&amp;"  |  المساحة: "&amp;'الافتراضات والمدخلات'!B4&amp;" م²"</f>
        <v>تحليل مقارن للاستخدامات الممكنة للعقار في: التجمع الخامس  |  المساحة: 150 م²</v>
      </c>
    </row>
    <row r="4" spans="1:8">
      <c r="A4" s="30" t="s">
        <v>1259</v>
      </c>
    </row>
    <row r="5" spans="1:8">
      <c r="A5" s="30" t="s">
        <v>1040</v>
      </c>
      <c r="B5" s="20" t="s">
        <v>1260</v>
      </c>
      <c r="C5" s="20" t="s">
        <v>1261</v>
      </c>
      <c r="D5" s="20" t="s">
        <v>1262</v>
      </c>
      <c r="E5" s="20" t="s">
        <v>1263</v>
      </c>
    </row>
    <row r="6" spans="1:8">
      <c r="A6" s="30" t="s">
        <v>1264</v>
      </c>
      <c r="B6" s="84">
        <v>1</v>
      </c>
      <c r="C6" s="19">
        <v>1</v>
      </c>
      <c r="D6" s="27">
        <v>7.0000000000000007E-2</v>
      </c>
      <c r="E6" s="20" t="s">
        <v>1265</v>
      </c>
    </row>
    <row r="7" spans="1:8">
      <c r="A7" s="30" t="s">
        <v>1266</v>
      </c>
      <c r="B7" s="84">
        <v>1.35</v>
      </c>
      <c r="C7" s="19">
        <v>1.6</v>
      </c>
      <c r="D7" s="27">
        <v>0.08</v>
      </c>
      <c r="E7" s="20" t="s">
        <v>1267</v>
      </c>
    </row>
    <row r="8" spans="1:8">
      <c r="A8" s="30" t="s">
        <v>1268</v>
      </c>
      <c r="B8" s="84">
        <v>1.2</v>
      </c>
      <c r="C8" s="19">
        <v>1.4</v>
      </c>
      <c r="D8" s="27">
        <v>7.4999999999999997E-2</v>
      </c>
      <c r="E8" s="20" t="s">
        <v>1269</v>
      </c>
    </row>
    <row r="9" spans="1:8">
      <c r="A9" s="30" t="s">
        <v>1270</v>
      </c>
      <c r="B9" s="84">
        <v>1.175</v>
      </c>
      <c r="C9" s="19">
        <v>1.3</v>
      </c>
      <c r="D9" s="27">
        <v>7.4999999999999997E-2</v>
      </c>
      <c r="E9" s="20" t="s">
        <v>1271</v>
      </c>
    </row>
    <row r="11" spans="1:8">
      <c r="A11" s="30" t="s">
        <v>1272</v>
      </c>
    </row>
    <row r="12" spans="1:8">
      <c r="A12" s="24" t="s">
        <v>1040</v>
      </c>
      <c r="B12" s="24" t="s">
        <v>1273</v>
      </c>
      <c r="C12" s="24" t="s">
        <v>1219</v>
      </c>
      <c r="D12" s="24" t="s">
        <v>1274</v>
      </c>
      <c r="E12" s="24" t="s">
        <v>1275</v>
      </c>
      <c r="F12" s="24" t="s">
        <v>1276</v>
      </c>
      <c r="G12" s="24" t="s">
        <v>1277</v>
      </c>
      <c r="H12" s="24" t="s">
        <v>530</v>
      </c>
    </row>
    <row r="13" spans="1:8">
      <c r="A13" s="19" t="str">
        <f>A6</f>
        <v>سكني (Residential)</v>
      </c>
      <c r="B13" s="33">
        <f>'الافتراضات والمدخلات'!B5*B6</f>
        <v>33262</v>
      </c>
      <c r="C13" s="36">
        <f>'الافتراضات والمدخلات'!B4*B13</f>
        <v>4989300</v>
      </c>
      <c r="D13" s="36">
        <f>'الافتراضات والمدخلات'!B4*'الافتراضات والمدخلات'!B6*C6</f>
        <v>57000</v>
      </c>
      <c r="E13" s="36">
        <f>D13*(1-'الافتراضات والمدخلات'!B23)*(1-'الافتراضات والمدخلات'!B24)</f>
        <v>43320</v>
      </c>
      <c r="F13" s="36">
        <f>IF(D6&gt;0,E13/D6,0)</f>
        <v>618857.14285714284</v>
      </c>
      <c r="G13" s="20" t="s">
        <v>29</v>
      </c>
      <c r="H13" s="16"/>
    </row>
    <row r="14" spans="1:8">
      <c r="A14" s="19" t="str">
        <f>A7</f>
        <v>تجاري (Commercial)</v>
      </c>
      <c r="B14" s="33">
        <f>'الافتراضات والمدخلات'!B5*B7</f>
        <v>44903.700000000004</v>
      </c>
      <c r="C14" s="36">
        <f>'الافتراضات والمدخلات'!B4*B14</f>
        <v>6735555.0000000009</v>
      </c>
      <c r="D14" s="36">
        <f>'الافتراضات والمدخلات'!B4*'الافتراضات والمدخلات'!B6*C7</f>
        <v>91200</v>
      </c>
      <c r="E14" s="36">
        <f>D14*(1-'الافتراضات والمدخلات'!B23)*(1-'الافتراضات والمدخلات'!B24)</f>
        <v>69312</v>
      </c>
      <c r="F14" s="36">
        <f>IF(D7&gt;0,E14/D7,0)</f>
        <v>866400</v>
      </c>
      <c r="G14" s="85">
        <f>F14-F13</f>
        <v>247542.85714285716</v>
      </c>
      <c r="H14" s="16"/>
    </row>
    <row r="15" spans="1:8">
      <c r="A15" s="19" t="str">
        <f>A8</f>
        <v>إداري / مكتبي (Office)</v>
      </c>
      <c r="B15" s="33">
        <f>'الافتراضات والمدخلات'!B5*B8</f>
        <v>39914.400000000001</v>
      </c>
      <c r="C15" s="36">
        <f>'الافتراضات والمدخلات'!B4*B15</f>
        <v>5987160</v>
      </c>
      <c r="D15" s="36">
        <f>'الافتراضات والمدخلات'!B4*'الافتراضات والمدخلات'!B6*C8</f>
        <v>79800</v>
      </c>
      <c r="E15" s="36">
        <f>D15*(1-'الافتراضات والمدخلات'!B23)*(1-'الافتراضات والمدخلات'!B24)</f>
        <v>60648</v>
      </c>
      <c r="F15" s="36">
        <f>IF(D8&gt;0,E15/D8,0)</f>
        <v>808640</v>
      </c>
      <c r="G15" s="85">
        <f>F15-F13</f>
        <v>189782.85714285716</v>
      </c>
      <c r="H15" s="16"/>
    </row>
    <row r="16" spans="1:8">
      <c r="A16" s="19" t="str">
        <f>A9</f>
        <v>مختلط (Mixed Use 50/50)</v>
      </c>
      <c r="B16" s="33">
        <f>'الافتراضات والمدخلات'!B5*B9</f>
        <v>39082.85</v>
      </c>
      <c r="C16" s="36">
        <f>'الافتراضات والمدخلات'!B4*B16</f>
        <v>5862427.5</v>
      </c>
      <c r="D16" s="36">
        <f>'الافتراضات والمدخلات'!B4*'الافتراضات والمدخلات'!B6*C9</f>
        <v>74100</v>
      </c>
      <c r="E16" s="36">
        <f>D16*(1-'الافتراضات والمدخلات'!B23)*(1-'الافتراضات والمدخلات'!B24)</f>
        <v>56316</v>
      </c>
      <c r="F16" s="36">
        <f>IF(D9&gt;0,E16/D9,0)</f>
        <v>750880</v>
      </c>
      <c r="G16" s="85">
        <f>F16-F13</f>
        <v>132022.85714285716</v>
      </c>
      <c r="H16" s="16"/>
    </row>
    <row r="18" spans="1:9" ht="15.6">
      <c r="A18" s="18" t="s">
        <v>1278</v>
      </c>
    </row>
    <row r="19" spans="1:9" ht="17.399999999999999" customHeight="1">
      <c r="A19" s="18" t="s">
        <v>1279</v>
      </c>
      <c r="B19" s="19" t="str">
        <f>INDEX(A13:A16,MATCH(MAX(F13:F16),F13:F16,0))</f>
        <v>تجاري (Commercial)</v>
      </c>
    </row>
    <row r="20" spans="1:9" ht="17.399999999999999" customHeight="1">
      <c r="A20" s="18" t="s">
        <v>46</v>
      </c>
      <c r="B20" s="36">
        <f>MAX(F13:F16)</f>
        <v>866400</v>
      </c>
    </row>
    <row r="21" spans="1:9">
      <c r="A21" s="30" t="s">
        <v>1280</v>
      </c>
      <c r="B21" s="84">
        <f>IF(F13&gt;0,MAX(F13:F16)/F13,1)</f>
        <v>1.4000000000000001</v>
      </c>
    </row>
    <row r="23" spans="1:9" ht="48" customHeight="1">
      <c r="A23" s="19" t="str">
        <f>"تفسير HABU: الاستخدام الأمثل للعقار هو "&amp;B19&amp;" بقيمة دخل "&amp;TEXT(B20,"#,##0")&amp;" EGP. "&amp;"مضاعف القيمة مقارنة بالاستخدام السكني = "&amp;TEXT(B21,"0.00")&amp;"x. "&amp;"يُنصح بمراجعة الاشتراطات التخطيطية والتصاريح اللازمة قبل تغيير الاستخدام."</f>
        <v>تفسير HABU: الاستخدام الأمثل للعقار هو تجاري (Commercial) بقيمة دخل 866,400 EGP. مضاعف القيمة مقارنة بالاستخدام السكني = 1.40x. يُنصح بمراجعة الاشتراطات التخطيطية والتصاريح اللازمة قبل تغيير الاستخدام.</v>
      </c>
    </row>
    <row r="27" spans="1:9" ht="24" customHeight="1">
      <c r="A27" s="112" t="s">
        <v>1281</v>
      </c>
      <c r="B27" s="113"/>
      <c r="C27" s="113"/>
      <c r="D27" s="113"/>
      <c r="E27" s="113"/>
      <c r="F27" s="113"/>
      <c r="G27" s="113"/>
      <c r="H27" s="113"/>
      <c r="I27" s="114"/>
    </row>
    <row r="28" spans="1:9" ht="37.950000000000003" customHeight="1">
      <c r="A28" s="145" t="str">
        <f>"HABU يُظهر أن الاستخدام الأمثل لهذا العقار هو: "&amp;B19&amp;". القيمة الدخلية المتوقعة: "&amp;TEXT(B20,"#,##0")&amp;" EGP."</f>
        <v>HABU يُظهر أن الاستخدام الأمثل لهذا العقار هو: تجاري (Commercial). القيمة الدخلية المتوقعة: 866,400 EGP.</v>
      </c>
      <c r="B28" s="110"/>
      <c r="C28" s="110"/>
      <c r="D28" s="110"/>
      <c r="E28" s="110"/>
      <c r="F28" s="110"/>
      <c r="G28" s="110"/>
      <c r="H28" s="110"/>
      <c r="I28" s="111"/>
    </row>
    <row r="29" spans="1:9" ht="37.950000000000003" customHeight="1">
      <c r="A29" s="145" t="str">
        <f>"مضاعف HABU = "&amp;TEXT(B21,"0.00")&amp;"x. "&amp;IF(B21&gt;1.2,"التحويل للاستخدام الأمثل يُحسّن القيمة جوهرياً — يستحق دراسة الجدوى.","الاستخدام الحالي قريب من الأمثل — التحويل قد لا يُبرر تكاليفه.")</f>
        <v>مضاعف HABU = 1.40x. التحويل للاستخدام الأمثل يُحسّن القيمة جوهرياً — يستحق دراسة الجدوى.</v>
      </c>
      <c r="B29" s="110"/>
      <c r="C29" s="110"/>
      <c r="D29" s="110"/>
      <c r="E29" s="110"/>
      <c r="F29" s="110"/>
      <c r="G29" s="110"/>
      <c r="H29" s="110"/>
      <c r="I29" s="111"/>
    </row>
    <row r="30" spans="1:9" ht="37.950000000000003" customHeight="1">
      <c r="A30" s="109" t="s">
        <v>1282</v>
      </c>
      <c r="B30" s="110"/>
      <c r="C30" s="110"/>
      <c r="D30" s="110"/>
      <c r="E30" s="110"/>
      <c r="F30" s="110"/>
      <c r="G30" s="110"/>
      <c r="H30" s="110"/>
      <c r="I30" s="111"/>
    </row>
    <row r="31" spans="1:9" ht="37.950000000000003" customHeight="1">
      <c r="A31" s="109" t="s">
        <v>1283</v>
      </c>
      <c r="B31" s="110"/>
      <c r="C31" s="110"/>
      <c r="D31" s="110"/>
      <c r="E31" s="110"/>
      <c r="F31" s="110"/>
      <c r="G31" s="110"/>
      <c r="H31" s="110"/>
      <c r="I31" s="111"/>
    </row>
    <row r="35" spans="1:9" ht="36" customHeight="1">
      <c r="A35" s="174" t="s">
        <v>1284</v>
      </c>
      <c r="B35" s="119"/>
      <c r="C35" s="119"/>
      <c r="D35" s="119"/>
      <c r="E35" s="119"/>
      <c r="F35" s="119"/>
      <c r="G35" s="119"/>
      <c r="H35" s="119"/>
      <c r="I35" s="119"/>
    </row>
    <row r="39" spans="1:9" ht="40.049999999999997" customHeight="1">
      <c r="A39" s="172" t="s">
        <v>1285</v>
      </c>
      <c r="B39" s="116"/>
      <c r="C39" s="116"/>
      <c r="D39" s="116"/>
      <c r="E39" s="116"/>
      <c r="F39" s="116"/>
      <c r="G39" s="116"/>
      <c r="H39" s="116"/>
    </row>
    <row r="41" spans="1:9" ht="31.95" customHeight="1">
      <c r="A41" s="165" t="s">
        <v>471</v>
      </c>
      <c r="B41" s="119"/>
      <c r="C41" s="119"/>
      <c r="D41" s="119"/>
      <c r="E41" s="119"/>
      <c r="F41" s="119"/>
      <c r="G41" s="119"/>
      <c r="H41" s="119"/>
    </row>
    <row r="42" spans="1:9" ht="25.95" customHeight="1">
      <c r="A42" s="170" t="s">
        <v>1286</v>
      </c>
      <c r="B42" s="110"/>
      <c r="C42" s="110"/>
      <c r="D42" s="110"/>
      <c r="E42" s="110"/>
      <c r="F42" s="110"/>
      <c r="G42" s="110"/>
      <c r="H42" s="111"/>
    </row>
    <row r="43" spans="1:9" ht="25.95" customHeight="1">
      <c r="A43" s="167" t="s">
        <v>1287</v>
      </c>
      <c r="B43" s="110"/>
      <c r="C43" s="110"/>
      <c r="D43" s="110"/>
      <c r="E43" s="110"/>
      <c r="F43" s="110"/>
      <c r="G43" s="110"/>
      <c r="H43" s="111"/>
    </row>
    <row r="44" spans="1:9" ht="25.95" customHeight="1">
      <c r="A44" s="170" t="s">
        <v>1288</v>
      </c>
      <c r="B44" s="110"/>
      <c r="C44" s="110"/>
      <c r="D44" s="110"/>
      <c r="E44" s="110"/>
      <c r="F44" s="110"/>
      <c r="G44" s="110"/>
      <c r="H44" s="111"/>
    </row>
    <row r="45" spans="1:9" ht="25.95" customHeight="1">
      <c r="A45" s="167" t="s">
        <v>1289</v>
      </c>
      <c r="B45" s="110"/>
      <c r="C45" s="110"/>
      <c r="D45" s="110"/>
      <c r="E45" s="110"/>
      <c r="F45" s="110"/>
      <c r="G45" s="110"/>
      <c r="H45" s="111"/>
    </row>
    <row r="46" spans="1:9" ht="25.95" customHeight="1">
      <c r="A46" s="170" t="s">
        <v>1290</v>
      </c>
      <c r="B46" s="110"/>
      <c r="C46" s="110"/>
      <c r="D46" s="110"/>
      <c r="E46" s="110"/>
      <c r="F46" s="110"/>
      <c r="G46" s="110"/>
      <c r="H46" s="111"/>
    </row>
    <row r="47" spans="1:9" ht="25.95" customHeight="1">
      <c r="A47" s="167" t="s">
        <v>1291</v>
      </c>
      <c r="B47" s="110"/>
      <c r="C47" s="110"/>
      <c r="D47" s="110"/>
      <c r="E47" s="110"/>
      <c r="F47" s="110"/>
      <c r="G47" s="110"/>
      <c r="H47" s="111"/>
    </row>
    <row r="49" spans="1:8" ht="31.95" customHeight="1">
      <c r="A49" s="171" t="s">
        <v>481</v>
      </c>
      <c r="B49" s="119"/>
      <c r="C49" s="119"/>
      <c r="D49" s="119"/>
      <c r="E49" s="119"/>
      <c r="F49" s="119"/>
      <c r="G49" s="119"/>
      <c r="H49" s="119"/>
    </row>
    <row r="50" spans="1:8" ht="49.95" customHeight="1">
      <c r="A50" s="169" t="s">
        <v>1292</v>
      </c>
      <c r="B50" s="130"/>
      <c r="C50" s="130"/>
      <c r="D50" s="130"/>
      <c r="E50" s="130"/>
      <c r="F50" s="130"/>
      <c r="G50" s="130"/>
      <c r="H50" s="131"/>
    </row>
  </sheetData>
  <mergeCells count="16">
    <mergeCell ref="A27:I27"/>
    <mergeCell ref="A31:I31"/>
    <mergeCell ref="A44:H44"/>
    <mergeCell ref="A47:H47"/>
    <mergeCell ref="A45:H45"/>
    <mergeCell ref="A46:H46"/>
    <mergeCell ref="A35:I35"/>
    <mergeCell ref="A30:I30"/>
    <mergeCell ref="A29:I29"/>
    <mergeCell ref="A50:H50"/>
    <mergeCell ref="A39:H39"/>
    <mergeCell ref="A28:I28"/>
    <mergeCell ref="A43:H43"/>
    <mergeCell ref="A42:H42"/>
    <mergeCell ref="A41:H41"/>
    <mergeCell ref="A49:H49"/>
  </mergeCells>
  <conditionalFormatting sqref="F13:F16">
    <cfRule type="colorScale" priority="1">
      <colorScale>
        <cfvo type="min"/>
        <cfvo type="percentile" val="50"/>
        <cfvo type="max"/>
        <color rgb="FFFFE0E0"/>
        <color rgb="FFFFD700"/>
        <color rgb="FF00CC44"/>
      </colorScale>
    </cfRule>
  </conditionalFormatting>
  <conditionalFormatting sqref="C13:C16">
    <cfRule type="colorScale" priority="2">
      <colorScale>
        <cfvo type="min"/>
        <cfvo type="percentile" val="50"/>
        <cfvo type="max"/>
        <color rgb="FFE8F0FE"/>
        <color rgb="FF4285F4"/>
        <color rgb="FF0D47A1"/>
      </colorScale>
    </cfRule>
  </conditionalFormatting>
  <conditionalFormatting sqref="G13:G16">
    <cfRule type="iconSet" priority="3">
      <iconSet iconSet="3Arrows">
        <cfvo type="percent" val="0"/>
        <cfvo type="percent" val="33"/>
        <cfvo type="percent" val="67"/>
      </iconSet>
    </cfRule>
  </conditionalFormatting>
  <pageMargins left="0.75" right="0.75" top="1" bottom="1" header="0.5" footer="0.5"/>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dimension ref="A1:J50"/>
  <sheetViews>
    <sheetView rightToLeft="1" workbookViewId="0">
      <pane ySplit="1" topLeftCell="A2" activePane="bottomLeft" state="frozen"/>
      <selection pane="bottomLeft"/>
    </sheetView>
  </sheetViews>
  <sheetFormatPr defaultRowHeight="14.4"/>
  <cols>
    <col min="1" max="1" width="38" customWidth="1"/>
    <col min="2" max="2" width="26" customWidth="1"/>
    <col min="3" max="3" width="28" customWidth="1"/>
    <col min="4" max="4" width="25" customWidth="1"/>
    <col min="5" max="5" width="14" customWidth="1"/>
    <col min="6" max="6" width="15" customWidth="1"/>
    <col min="7" max="7" width="13" customWidth="1"/>
    <col min="8" max="10" width="14" customWidth="1"/>
  </cols>
  <sheetData>
    <row r="1" spans="1:10" ht="37.950000000000003" customHeight="1">
      <c r="A1" s="195" t="s">
        <v>1293</v>
      </c>
      <c r="B1" s="116"/>
      <c r="C1" s="116"/>
      <c r="D1" s="116"/>
      <c r="E1" s="116"/>
      <c r="F1" s="116"/>
      <c r="G1" s="116"/>
      <c r="H1" s="116"/>
      <c r="I1" s="116"/>
      <c r="J1" s="116"/>
    </row>
    <row r="2" spans="1:10">
      <c r="A2" s="109" t="s">
        <v>1294</v>
      </c>
      <c r="B2" s="110"/>
      <c r="C2" s="110"/>
      <c r="D2" s="110"/>
      <c r="E2" s="110"/>
      <c r="F2" s="110"/>
      <c r="G2" s="110"/>
      <c r="H2" s="110"/>
      <c r="I2" s="110"/>
      <c r="J2" s="111"/>
    </row>
    <row r="3" spans="1:10" ht="28.05" customHeight="1">
      <c r="A3" s="109" t="s">
        <v>1295</v>
      </c>
      <c r="B3" s="110"/>
      <c r="C3" s="110"/>
      <c r="D3" s="110"/>
      <c r="E3" s="110"/>
      <c r="F3" s="110"/>
      <c r="G3" s="110"/>
      <c r="H3" s="110"/>
      <c r="I3" s="110"/>
      <c r="J3" s="111"/>
    </row>
    <row r="5" spans="1:10" ht="22.05" customHeight="1">
      <c r="A5" s="112" t="s">
        <v>1296</v>
      </c>
      <c r="B5" s="113"/>
      <c r="C5" s="113"/>
      <c r="D5" s="113"/>
      <c r="E5" s="113"/>
      <c r="F5" s="113"/>
      <c r="G5" s="113"/>
      <c r="H5" s="113"/>
      <c r="I5" s="113"/>
      <c r="J5" s="114"/>
    </row>
    <row r="6" spans="1:10">
      <c r="A6" s="24" t="s">
        <v>1297</v>
      </c>
      <c r="B6" s="24" t="s">
        <v>1298</v>
      </c>
      <c r="C6" s="24" t="s">
        <v>1299</v>
      </c>
      <c r="D6" s="24" t="s">
        <v>1300</v>
      </c>
    </row>
    <row r="7" spans="1:10">
      <c r="A7" s="30" t="s">
        <v>1301</v>
      </c>
      <c r="B7" s="19">
        <v>6</v>
      </c>
      <c r="C7" s="19">
        <v>6</v>
      </c>
    </row>
    <row r="8" spans="1:10">
      <c r="A8" s="30" t="s">
        <v>1302</v>
      </c>
      <c r="B8" s="26">
        <v>32325</v>
      </c>
      <c r="C8" s="26">
        <v>32325</v>
      </c>
      <c r="D8" s="20" t="s">
        <v>1303</v>
      </c>
    </row>
    <row r="9" spans="1:10">
      <c r="A9" s="30" t="s">
        <v>1304</v>
      </c>
      <c r="B9" s="26">
        <v>32938</v>
      </c>
      <c r="C9" s="26">
        <v>32938</v>
      </c>
      <c r="D9" s="20" t="s">
        <v>1305</v>
      </c>
    </row>
    <row r="10" spans="1:10">
      <c r="A10" s="30" t="s">
        <v>573</v>
      </c>
      <c r="B10" s="26">
        <v>1966</v>
      </c>
      <c r="C10" s="26">
        <v>1966</v>
      </c>
      <c r="D10" s="20" t="s">
        <v>1306</v>
      </c>
    </row>
    <row r="11" spans="1:10">
      <c r="A11" s="30" t="s">
        <v>1307</v>
      </c>
      <c r="B11" s="19">
        <v>0</v>
      </c>
      <c r="C11" s="20" t="s">
        <v>29</v>
      </c>
      <c r="D11" s="20" t="s">
        <v>1308</v>
      </c>
    </row>
    <row r="13" spans="1:10" ht="22.05" customHeight="1">
      <c r="A13" s="112" t="s">
        <v>1309</v>
      </c>
      <c r="B13" s="113"/>
      <c r="C13" s="113"/>
      <c r="D13" s="113"/>
      <c r="E13" s="113"/>
      <c r="F13" s="113"/>
      <c r="G13" s="113"/>
      <c r="H13" s="113"/>
      <c r="I13" s="113"/>
      <c r="J13" s="114"/>
    </row>
    <row r="14" spans="1:10">
      <c r="A14" s="30" t="s">
        <v>1310</v>
      </c>
      <c r="B14" s="26">
        <v>27427</v>
      </c>
      <c r="C14" s="20" t="s">
        <v>1311</v>
      </c>
      <c r="D14" s="26">
        <v>38448</v>
      </c>
    </row>
    <row r="15" spans="1:10">
      <c r="A15" s="24" t="s">
        <v>412</v>
      </c>
      <c r="B15" s="24" t="s">
        <v>1273</v>
      </c>
      <c r="C15" s="24" t="s">
        <v>559</v>
      </c>
      <c r="D15" s="24" t="s">
        <v>812</v>
      </c>
      <c r="E15" s="24" t="s">
        <v>1019</v>
      </c>
      <c r="F15" s="24" t="s">
        <v>1312</v>
      </c>
    </row>
    <row r="16" spans="1:10">
      <c r="A16" s="112" t="s">
        <v>1313</v>
      </c>
      <c r="B16" s="113"/>
      <c r="C16" s="113"/>
      <c r="D16" s="113"/>
      <c r="E16" s="113"/>
      <c r="F16" s="114"/>
    </row>
    <row r="19" spans="1:10" ht="22.05" customHeight="1">
      <c r="A19" s="112" t="s">
        <v>1314</v>
      </c>
      <c r="B19" s="113"/>
      <c r="C19" s="113"/>
      <c r="D19" s="113"/>
      <c r="E19" s="113"/>
      <c r="F19" s="113"/>
      <c r="G19" s="113"/>
      <c r="H19" s="113"/>
      <c r="I19" s="113"/>
      <c r="J19" s="114"/>
    </row>
    <row r="20" spans="1:10">
      <c r="A20" s="24" t="s">
        <v>412</v>
      </c>
      <c r="B20" s="24" t="s">
        <v>1315</v>
      </c>
      <c r="C20" s="24" t="s">
        <v>1019</v>
      </c>
      <c r="D20" s="24" t="s">
        <v>1316</v>
      </c>
      <c r="E20" s="24" t="s">
        <v>1317</v>
      </c>
      <c r="F20" s="24" t="s">
        <v>1318</v>
      </c>
      <c r="G20" s="24" t="s">
        <v>1319</v>
      </c>
    </row>
    <row r="21" spans="1:10">
      <c r="A21" s="19">
        <v>1</v>
      </c>
      <c r="B21" s="26">
        <v>33325</v>
      </c>
      <c r="C21" s="20" t="s">
        <v>1320</v>
      </c>
      <c r="D21" s="27">
        <v>0.55000000000000004</v>
      </c>
      <c r="E21" s="27">
        <v>0.58799999999999997</v>
      </c>
      <c r="F21" s="27">
        <v>0.32300000000000001</v>
      </c>
      <c r="G21" s="20" t="s">
        <v>1321</v>
      </c>
    </row>
    <row r="22" spans="1:10">
      <c r="A22" s="19">
        <v>2</v>
      </c>
      <c r="B22" s="26">
        <v>34091</v>
      </c>
      <c r="C22" s="20" t="s">
        <v>1320</v>
      </c>
      <c r="D22" s="27">
        <v>0.55000000000000004</v>
      </c>
      <c r="E22" s="27">
        <v>0.90100000000000002</v>
      </c>
      <c r="F22" s="27">
        <v>0.496</v>
      </c>
      <c r="G22" s="20" t="s">
        <v>1321</v>
      </c>
    </row>
    <row r="23" spans="1:10">
      <c r="A23" s="19">
        <v>3</v>
      </c>
      <c r="B23" s="26">
        <v>32550</v>
      </c>
      <c r="C23" s="20" t="s">
        <v>1320</v>
      </c>
      <c r="D23" s="27">
        <v>0.55000000000000004</v>
      </c>
      <c r="E23" s="27">
        <v>0.51800000000000002</v>
      </c>
      <c r="F23" s="27">
        <v>0.28499999999999998</v>
      </c>
      <c r="G23" s="20" t="s">
        <v>1321</v>
      </c>
    </row>
    <row r="24" spans="1:10">
      <c r="A24" s="19">
        <v>4</v>
      </c>
      <c r="B24" s="26">
        <v>28994</v>
      </c>
      <c r="C24" s="20" t="s">
        <v>1320</v>
      </c>
      <c r="D24" s="27">
        <v>0.55000000000000004</v>
      </c>
      <c r="E24" s="27">
        <v>0.83799999999999997</v>
      </c>
      <c r="F24" s="27">
        <v>0.46100000000000002</v>
      </c>
      <c r="G24" s="20" t="s">
        <v>1321</v>
      </c>
    </row>
    <row r="25" spans="1:10">
      <c r="A25" s="19">
        <v>5</v>
      </c>
      <c r="B25" s="26">
        <v>31080</v>
      </c>
      <c r="C25" s="20" t="s">
        <v>1320</v>
      </c>
      <c r="D25" s="27">
        <v>0.55000000000000004</v>
      </c>
      <c r="E25" s="27">
        <v>0.61299999999999999</v>
      </c>
      <c r="F25" s="27">
        <v>0.33700000000000002</v>
      </c>
      <c r="G25" s="20" t="s">
        <v>1321</v>
      </c>
    </row>
    <row r="26" spans="1:10">
      <c r="A26" s="19">
        <v>6</v>
      </c>
      <c r="B26" s="26">
        <v>33908</v>
      </c>
      <c r="C26" s="20" t="s">
        <v>1320</v>
      </c>
      <c r="D26" s="27">
        <v>0.55000000000000004</v>
      </c>
      <c r="E26" s="27">
        <v>0.97</v>
      </c>
      <c r="F26" s="27">
        <v>0.53300000000000003</v>
      </c>
      <c r="G26" s="20" t="s">
        <v>1321</v>
      </c>
    </row>
    <row r="29" spans="1:10" ht="22.05" customHeight="1">
      <c r="A29" s="112" t="s">
        <v>1322</v>
      </c>
      <c r="B29" s="113"/>
      <c r="C29" s="113"/>
      <c r="D29" s="113"/>
      <c r="E29" s="113"/>
      <c r="F29" s="113"/>
      <c r="G29" s="113"/>
      <c r="H29" s="113"/>
      <c r="I29" s="113"/>
      <c r="J29" s="114"/>
    </row>
    <row r="30" spans="1:10" ht="15.6">
      <c r="A30" s="18" t="s">
        <v>1323</v>
      </c>
      <c r="B30" s="26">
        <v>32388</v>
      </c>
    </row>
    <row r="31" spans="1:10" ht="15.6">
      <c r="A31" s="18" t="s">
        <v>1324</v>
      </c>
      <c r="B31" s="86" t="s">
        <v>1325</v>
      </c>
    </row>
    <row r="32" spans="1:10" ht="15.6">
      <c r="A32" s="18" t="s">
        <v>1326</v>
      </c>
      <c r="B32" s="26">
        <v>31254</v>
      </c>
    </row>
    <row r="33" spans="1:10" ht="15.6">
      <c r="A33" s="18" t="s">
        <v>1327</v>
      </c>
      <c r="B33" s="26">
        <v>4688100</v>
      </c>
    </row>
    <row r="34" spans="1:10" ht="15.6">
      <c r="A34" s="18" t="s">
        <v>1328</v>
      </c>
      <c r="B34" s="81">
        <v>7.8</v>
      </c>
    </row>
    <row r="37" spans="1:10" ht="22.05" customHeight="1">
      <c r="A37" s="112" t="s">
        <v>1329</v>
      </c>
      <c r="B37" s="113"/>
      <c r="C37" s="113"/>
      <c r="D37" s="113"/>
      <c r="E37" s="113"/>
      <c r="F37" s="113"/>
      <c r="G37" s="113"/>
      <c r="H37" s="113"/>
      <c r="I37" s="113"/>
      <c r="J37" s="114"/>
    </row>
    <row r="38" spans="1:10">
      <c r="A38" s="24" t="s">
        <v>1330</v>
      </c>
      <c r="B38" s="24" t="s">
        <v>1331</v>
      </c>
      <c r="C38" s="24" t="s">
        <v>1332</v>
      </c>
    </row>
    <row r="39" spans="1:10">
      <c r="A39" s="30" t="s">
        <v>1333</v>
      </c>
      <c r="B39" s="20" t="s">
        <v>1334</v>
      </c>
      <c r="C39" s="20" t="s">
        <v>1335</v>
      </c>
    </row>
    <row r="40" spans="1:10">
      <c r="A40" s="30" t="s">
        <v>1336</v>
      </c>
      <c r="B40" s="20" t="s">
        <v>1337</v>
      </c>
      <c r="C40" s="20" t="s">
        <v>1338</v>
      </c>
    </row>
    <row r="41" spans="1:10">
      <c r="A41" s="30" t="s">
        <v>1339</v>
      </c>
      <c r="B41" s="20" t="s">
        <v>1340</v>
      </c>
      <c r="C41" s="20" t="s">
        <v>1341</v>
      </c>
    </row>
    <row r="42" spans="1:10">
      <c r="A42" s="30" t="s">
        <v>1342</v>
      </c>
      <c r="B42" s="20" t="s">
        <v>1343</v>
      </c>
      <c r="C42" s="20" t="s">
        <v>1344</v>
      </c>
    </row>
    <row r="43" spans="1:10">
      <c r="A43" s="30" t="s">
        <v>1320</v>
      </c>
      <c r="B43" s="20" t="s">
        <v>1345</v>
      </c>
      <c r="C43" s="20" t="s">
        <v>1346</v>
      </c>
    </row>
    <row r="46" spans="1:10" ht="24" customHeight="1">
      <c r="A46" s="112" t="s">
        <v>1347</v>
      </c>
      <c r="B46" s="113"/>
      <c r="C46" s="113"/>
      <c r="D46" s="113"/>
      <c r="E46" s="113"/>
      <c r="F46" s="113"/>
      <c r="G46" s="113"/>
      <c r="H46" s="113"/>
      <c r="I46" s="114"/>
    </row>
    <row r="47" spans="1:10" ht="37.950000000000003" customHeight="1">
      <c r="A47" s="109" t="s">
        <v>1348</v>
      </c>
      <c r="B47" s="110"/>
      <c r="C47" s="110"/>
      <c r="D47" s="110"/>
      <c r="E47" s="110"/>
      <c r="F47" s="110"/>
      <c r="G47" s="110"/>
      <c r="H47" s="110"/>
      <c r="I47" s="111"/>
    </row>
    <row r="48" spans="1:10" ht="37.950000000000003" customHeight="1">
      <c r="A48" s="109" t="s">
        <v>1349</v>
      </c>
      <c r="B48" s="110"/>
      <c r="C48" s="110"/>
      <c r="D48" s="110"/>
      <c r="E48" s="110"/>
      <c r="F48" s="110"/>
      <c r="G48" s="110"/>
      <c r="H48" s="110"/>
      <c r="I48" s="111"/>
    </row>
    <row r="49" spans="1:9" ht="37.950000000000003" customHeight="1">
      <c r="A49" s="109" t="s">
        <v>1350</v>
      </c>
      <c r="B49" s="110"/>
      <c r="C49" s="110"/>
      <c r="D49" s="110"/>
      <c r="E49" s="110"/>
      <c r="F49" s="110"/>
      <c r="G49" s="110"/>
      <c r="H49" s="110"/>
      <c r="I49" s="111"/>
    </row>
    <row r="50" spans="1:9" ht="37.950000000000003" customHeight="1">
      <c r="A50" s="109" t="s">
        <v>1351</v>
      </c>
      <c r="B50" s="110"/>
      <c r="C50" s="110"/>
      <c r="D50" s="110"/>
      <c r="E50" s="110"/>
      <c r="F50" s="110"/>
      <c r="G50" s="110"/>
      <c r="H50" s="110"/>
      <c r="I50" s="111"/>
    </row>
  </sheetData>
  <mergeCells count="14">
    <mergeCell ref="A50:I50"/>
    <mergeCell ref="A48:I48"/>
    <mergeCell ref="A19:J19"/>
    <mergeCell ref="A16:F16"/>
    <mergeCell ref="A1:J1"/>
    <mergeCell ref="A37:J37"/>
    <mergeCell ref="A5:J5"/>
    <mergeCell ref="A49:I49"/>
    <mergeCell ref="A47:I47"/>
    <mergeCell ref="A46:I46"/>
    <mergeCell ref="A3:J3"/>
    <mergeCell ref="A29:J29"/>
    <mergeCell ref="A13:J13"/>
    <mergeCell ref="A2:J2"/>
  </mergeCells>
  <conditionalFormatting sqref="F21:F26">
    <cfRule type="colorScale" priority="1">
      <colorScale>
        <cfvo type="min"/>
        <cfvo type="percentile" val="50"/>
        <cfvo type="max"/>
        <color rgb="FFFF4444"/>
        <color rgb="FFF39C12"/>
        <color rgb="FF00CC44"/>
      </colorScale>
    </cfRule>
  </conditionalFormatting>
  <pageMargins left="0.75" right="0.75" top="1" bottom="1" header="0.5" footer="0.5"/>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dimension ref="A1:I16"/>
  <sheetViews>
    <sheetView showGridLines="0" rightToLeft="1" workbookViewId="0">
      <pane ySplit="1" topLeftCell="A2" activePane="bottomLeft" state="frozen"/>
      <selection pane="bottomLeft"/>
    </sheetView>
  </sheetViews>
  <sheetFormatPr defaultRowHeight="14.4"/>
  <cols>
    <col min="1" max="1" width="38" customWidth="1"/>
    <col min="2" max="2" width="13" customWidth="1"/>
    <col min="3" max="7" width="38" customWidth="1"/>
    <col min="8" max="8" width="13" customWidth="1"/>
    <col min="9" max="9" width="17" customWidth="1"/>
  </cols>
  <sheetData>
    <row r="1" spans="1:9" ht="37.950000000000003" customHeight="1">
      <c r="A1" s="195" t="s">
        <v>1352</v>
      </c>
      <c r="B1" s="116"/>
      <c r="C1" s="116"/>
      <c r="D1" s="116"/>
      <c r="E1" s="116"/>
      <c r="F1" s="116"/>
      <c r="G1" s="116"/>
      <c r="H1" s="116"/>
      <c r="I1" s="116"/>
    </row>
    <row r="2" spans="1:9" ht="28.05" customHeight="1">
      <c r="A2" s="175" t="s">
        <v>1353</v>
      </c>
      <c r="B2" s="110"/>
      <c r="C2" s="110"/>
      <c r="D2" s="110"/>
      <c r="E2" s="110"/>
      <c r="F2" s="110"/>
      <c r="G2" s="110"/>
      <c r="H2" s="110"/>
      <c r="I2" s="111"/>
    </row>
    <row r="4" spans="1:9" ht="31.95" customHeight="1">
      <c r="A4" s="112" t="s">
        <v>1354</v>
      </c>
      <c r="B4" s="113"/>
      <c r="C4" s="113"/>
      <c r="D4" s="113"/>
      <c r="E4" s="113"/>
      <c r="F4" s="113"/>
      <c r="G4" s="113"/>
      <c r="H4" s="113"/>
      <c r="I4" s="114"/>
    </row>
    <row r="5" spans="1:9" ht="31.95" customHeight="1">
      <c r="A5" s="24" t="s">
        <v>412</v>
      </c>
      <c r="B5" s="24" t="s">
        <v>382</v>
      </c>
      <c r="C5" s="24" t="s">
        <v>1355</v>
      </c>
      <c r="D5" s="24" t="s">
        <v>1356</v>
      </c>
      <c r="E5" s="24" t="s">
        <v>1357</v>
      </c>
      <c r="F5" s="24" t="s">
        <v>1358</v>
      </c>
      <c r="G5" s="24" t="s">
        <v>1359</v>
      </c>
      <c r="H5" s="24" t="s">
        <v>1360</v>
      </c>
      <c r="I5" s="24" t="s">
        <v>448</v>
      </c>
    </row>
    <row r="6" spans="1:9" ht="30" customHeight="1">
      <c r="A6" s="19">
        <v>1</v>
      </c>
      <c r="B6" s="20" t="s">
        <v>1315</v>
      </c>
      <c r="C6" s="26">
        <f>'الافتراضات والمدخلات'!$B$4*'الافتراضات والمدخلات'!$B$5*0.8</f>
        <v>3991440</v>
      </c>
      <c r="D6" s="26">
        <f>'الافتراضات والمدخلات'!$B$4*'الافتراضات والمدخلات'!$B$5*0.9</f>
        <v>4490370</v>
      </c>
      <c r="E6" s="26">
        <f>'الافتراضات والمدخلات'!$B$4*'الافتراضات والمدخلات'!$B$5</f>
        <v>4989300</v>
      </c>
      <c r="F6" s="26">
        <f>'الافتراضات والمدخلات'!$B$4*'الافتراضات والمدخلات'!$B$5*1.1</f>
        <v>5488230</v>
      </c>
      <c r="G6" s="26">
        <f>'الافتراضات والمدخلات'!$B$4*'الافتراضات والمدخلات'!$B$5*1.2</f>
        <v>5987160</v>
      </c>
      <c r="H6" s="20" t="s">
        <v>1361</v>
      </c>
      <c r="I6" s="20" t="s">
        <v>1362</v>
      </c>
    </row>
    <row r="7" spans="1:9" ht="30" customHeight="1">
      <c r="A7" s="19">
        <v>2</v>
      </c>
      <c r="B7" s="20" t="s">
        <v>1363</v>
      </c>
      <c r="C7" s="26">
        <f>'الافتراضات والمدخلات'!$B$4*'الافتراضات والمدخلات'!$B$6*0.8/'الافتراضات والمدخلات'!$B$7</f>
        <v>570000</v>
      </c>
      <c r="D7" s="26">
        <f>'الافتراضات والمدخلات'!$B$4*'الافتراضات والمدخلات'!$B$6*0.9/'الافتراضات والمدخلات'!$B$7</f>
        <v>641250</v>
      </c>
      <c r="E7" s="26">
        <f>'الافتراضات والمدخلات'!$B$4*'الافتراضات والمدخلات'!$B$6/'الافتراضات والمدخلات'!$B$7</f>
        <v>712500</v>
      </c>
      <c r="F7" s="26">
        <f>'الافتراضات والمدخلات'!$B$4*'الافتراضات والمدخلات'!$B$6*1.1/'الافتراضات والمدخلات'!$B$7</f>
        <v>783750.00000000012</v>
      </c>
      <c r="G7" s="26">
        <f>'الافتراضات والمدخلات'!$B$4*'الافتراضات والمدخلات'!$B$6*1.2/'الافتراضات والمدخلات'!$B$7</f>
        <v>855000</v>
      </c>
      <c r="H7" s="20" t="s">
        <v>1364</v>
      </c>
      <c r="I7" s="20" t="s">
        <v>1365</v>
      </c>
    </row>
    <row r="8" spans="1:9" ht="30" customHeight="1">
      <c r="A8" s="19">
        <v>3</v>
      </c>
      <c r="B8" s="20" t="s">
        <v>1366</v>
      </c>
      <c r="C8" s="26">
        <f>'الافتراضات والمدخلات'!$B$4*'الافتراضات والمدخلات'!$B$6/('الافتراضات والمدخلات'!$B$7*0.8)</f>
        <v>890625</v>
      </c>
      <c r="D8" s="26">
        <f>'الافتراضات والمدخلات'!$B$4*'الافتراضات والمدخلات'!$B$6/('الافتراضات والمدخلات'!$B$7*0.9)</f>
        <v>791666.66666666663</v>
      </c>
      <c r="E8" s="26">
        <f>'الافتراضات والمدخلات'!$B$4*'الافتراضات والمدخلات'!$B$6/'الافتراضات والمدخلات'!$B$7</f>
        <v>712500</v>
      </c>
      <c r="F8" s="26">
        <f>'الافتراضات والمدخلات'!$B$4*'الافتراضات والمدخلات'!$B$6/('الافتراضات والمدخلات'!$B$7*1.1)</f>
        <v>647727.27272727271</v>
      </c>
      <c r="G8" s="26">
        <f>'الافتراضات والمدخلات'!$B$4*'الافتراضات والمدخلات'!$B$6/('الافتراضات والمدخلات'!$B$7*1.2)</f>
        <v>593750</v>
      </c>
      <c r="H8" s="20" t="s">
        <v>1367</v>
      </c>
      <c r="I8" s="20" t="s">
        <v>1368</v>
      </c>
    </row>
    <row r="9" spans="1:9" ht="30" customHeight="1">
      <c r="A9" s="19">
        <v>4</v>
      </c>
      <c r="B9" s="20" t="s">
        <v>812</v>
      </c>
      <c r="C9" s="26">
        <f>'الافتراضات والمدخلات'!$B$4*0.8*'الافتراضات والمدخلات'!$B$5</f>
        <v>3991440</v>
      </c>
      <c r="D9" s="26">
        <f>'الافتراضات والمدخلات'!$B$4*0.9*'الافتراضات والمدخلات'!$B$5</f>
        <v>4490370</v>
      </c>
      <c r="E9" s="26">
        <f>'الافتراضات والمدخلات'!$B$4*'الافتراضات والمدخلات'!$B$5</f>
        <v>4989300</v>
      </c>
      <c r="F9" s="26">
        <f>'الافتراضات والمدخلات'!$B$4*1.1*'الافتراضات والمدخلات'!$B$5</f>
        <v>5488230</v>
      </c>
      <c r="G9" s="26">
        <f>'الافتراضات والمدخلات'!$B$4*1.2*'الافتراضات والمدخلات'!$B$5</f>
        <v>5987160</v>
      </c>
      <c r="H9" s="20" t="s">
        <v>1361</v>
      </c>
      <c r="I9" s="20" t="s">
        <v>1369</v>
      </c>
    </row>
    <row r="11" spans="1:9" ht="31.95" customHeight="1">
      <c r="A11" s="165" t="s">
        <v>1370</v>
      </c>
      <c r="B11" s="119"/>
      <c r="C11" s="119"/>
      <c r="D11" s="119"/>
      <c r="E11" s="119"/>
      <c r="F11" s="119"/>
      <c r="G11" s="119"/>
      <c r="H11" s="119"/>
      <c r="I11" s="119"/>
    </row>
    <row r="12" spans="1:9" ht="31.95" customHeight="1">
      <c r="A12" s="21" t="s">
        <v>1371</v>
      </c>
      <c r="B12" s="21" t="s">
        <v>382</v>
      </c>
      <c r="C12" s="21" t="s">
        <v>1372</v>
      </c>
      <c r="D12" s="21" t="s">
        <v>1373</v>
      </c>
      <c r="E12" s="123" t="s">
        <v>530</v>
      </c>
      <c r="F12" s="110"/>
      <c r="G12" s="110"/>
      <c r="H12" s="110"/>
      <c r="I12" s="111"/>
    </row>
    <row r="13" spans="1:9" ht="36" customHeight="1">
      <c r="A13" s="87">
        <v>1</v>
      </c>
      <c r="B13" s="87" t="s">
        <v>1374</v>
      </c>
      <c r="C13" s="88" t="s">
        <v>1367</v>
      </c>
      <c r="D13" s="88" t="s">
        <v>1375</v>
      </c>
      <c r="E13" s="198" t="s">
        <v>1376</v>
      </c>
      <c r="F13" s="110"/>
      <c r="G13" s="110"/>
      <c r="H13" s="110"/>
      <c r="I13" s="111"/>
    </row>
    <row r="14" spans="1:9" ht="36" customHeight="1">
      <c r="A14" s="42">
        <v>2</v>
      </c>
      <c r="B14" s="42" t="s">
        <v>25</v>
      </c>
      <c r="C14" s="65" t="s">
        <v>1377</v>
      </c>
      <c r="D14" s="65" t="s">
        <v>1378</v>
      </c>
      <c r="E14" s="199" t="s">
        <v>1379</v>
      </c>
      <c r="F14" s="110"/>
      <c r="G14" s="110"/>
      <c r="H14" s="110"/>
      <c r="I14" s="111"/>
    </row>
    <row r="15" spans="1:9" ht="36" customHeight="1">
      <c r="A15" s="89">
        <v>3</v>
      </c>
      <c r="B15" s="89" t="s">
        <v>1380</v>
      </c>
      <c r="C15" s="90" t="s">
        <v>1361</v>
      </c>
      <c r="D15" s="90" t="s">
        <v>1378</v>
      </c>
      <c r="E15" s="196" t="s">
        <v>1381</v>
      </c>
      <c r="F15" s="110"/>
      <c r="G15" s="110"/>
      <c r="H15" s="110"/>
      <c r="I15" s="111"/>
    </row>
    <row r="16" spans="1:9" ht="36" customHeight="1">
      <c r="A16" s="91">
        <v>4</v>
      </c>
      <c r="B16" s="91" t="s">
        <v>27</v>
      </c>
      <c r="C16" s="92" t="s">
        <v>1364</v>
      </c>
      <c r="D16" s="92" t="s">
        <v>1382</v>
      </c>
      <c r="E16" s="197" t="s">
        <v>1383</v>
      </c>
      <c r="F16" s="110"/>
      <c r="G16" s="110"/>
      <c r="H16" s="110"/>
      <c r="I16" s="111"/>
    </row>
  </sheetData>
  <mergeCells count="9">
    <mergeCell ref="A1:I1"/>
    <mergeCell ref="E13:I13"/>
    <mergeCell ref="E14:I14"/>
    <mergeCell ref="A4:I4"/>
    <mergeCell ref="E12:I12"/>
    <mergeCell ref="E15:I15"/>
    <mergeCell ref="A2:I2"/>
    <mergeCell ref="A11:I11"/>
    <mergeCell ref="E16:I16"/>
  </mergeCells>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dimension ref="A1:H17"/>
  <sheetViews>
    <sheetView showGridLines="0" rightToLeft="1" workbookViewId="0">
      <pane ySplit="1" topLeftCell="A2" activePane="bottomLeft" state="frozen"/>
      <selection pane="bottomLeft"/>
    </sheetView>
  </sheetViews>
  <sheetFormatPr defaultRowHeight="14.4"/>
  <cols>
    <col min="1" max="8" width="18" customWidth="1"/>
  </cols>
  <sheetData>
    <row r="1" spans="1:8" ht="37.950000000000003" customHeight="1">
      <c r="A1" s="195" t="s">
        <v>1384</v>
      </c>
      <c r="B1" s="116"/>
      <c r="C1" s="116"/>
      <c r="D1" s="116"/>
      <c r="E1" s="116"/>
      <c r="F1" s="116"/>
      <c r="G1" s="116"/>
      <c r="H1" s="116"/>
    </row>
    <row r="4" spans="1:8" ht="37.950000000000003" customHeight="1">
      <c r="A4" s="193" t="s">
        <v>1385</v>
      </c>
      <c r="B4" s="110"/>
      <c r="C4" s="110"/>
      <c r="D4" s="111"/>
      <c r="E4" s="202" t="s">
        <v>1386</v>
      </c>
      <c r="F4" s="110"/>
      <c r="G4" s="110"/>
      <c r="H4" s="111"/>
    </row>
    <row r="5" spans="1:8" ht="28.05" customHeight="1">
      <c r="A5" s="167" t="s">
        <v>1387</v>
      </c>
      <c r="B5" s="110"/>
      <c r="C5" s="110"/>
      <c r="D5" s="111"/>
      <c r="E5" s="167" t="s">
        <v>1388</v>
      </c>
      <c r="F5" s="110"/>
      <c r="G5" s="110"/>
      <c r="H5" s="111"/>
    </row>
    <row r="6" spans="1:8" ht="28.05" customHeight="1">
      <c r="A6" s="170" t="s">
        <v>1389</v>
      </c>
      <c r="B6" s="110"/>
      <c r="C6" s="110"/>
      <c r="D6" s="111"/>
      <c r="E6" s="170" t="s">
        <v>1390</v>
      </c>
      <c r="F6" s="110"/>
      <c r="G6" s="110"/>
      <c r="H6" s="111"/>
    </row>
    <row r="7" spans="1:8" ht="28.05" customHeight="1">
      <c r="A7" s="167" t="s">
        <v>1391</v>
      </c>
      <c r="B7" s="110"/>
      <c r="C7" s="110"/>
      <c r="D7" s="111"/>
      <c r="E7" s="167" t="s">
        <v>1392</v>
      </c>
      <c r="F7" s="110"/>
      <c r="G7" s="110"/>
      <c r="H7" s="111"/>
    </row>
    <row r="8" spans="1:8" ht="28.05" customHeight="1">
      <c r="A8" s="170" t="s">
        <v>1393</v>
      </c>
      <c r="B8" s="110"/>
      <c r="C8" s="110"/>
      <c r="D8" s="111"/>
      <c r="E8" s="170" t="s">
        <v>1394</v>
      </c>
      <c r="F8" s="110"/>
      <c r="G8" s="110"/>
      <c r="H8" s="111"/>
    </row>
    <row r="9" spans="1:8" ht="28.05" customHeight="1">
      <c r="A9" s="167" t="s">
        <v>1395</v>
      </c>
      <c r="B9" s="110"/>
      <c r="C9" s="110"/>
      <c r="D9" s="111"/>
      <c r="E9" s="167" t="s">
        <v>1396</v>
      </c>
      <c r="F9" s="110"/>
      <c r="G9" s="110"/>
      <c r="H9" s="111"/>
    </row>
    <row r="10" spans="1:8" ht="37.950000000000003" customHeight="1">
      <c r="A10" s="200" t="s">
        <v>1397</v>
      </c>
      <c r="B10" s="110"/>
      <c r="C10" s="110"/>
      <c r="D10" s="111"/>
      <c r="E10" s="203" t="s">
        <v>1398</v>
      </c>
      <c r="F10" s="110"/>
      <c r="G10" s="110"/>
      <c r="H10" s="111"/>
    </row>
    <row r="11" spans="1:8" ht="28.05" customHeight="1">
      <c r="A11" s="167" t="s">
        <v>1399</v>
      </c>
      <c r="B11" s="110"/>
      <c r="C11" s="110"/>
      <c r="D11" s="111"/>
      <c r="E11" s="167" t="s">
        <v>1400</v>
      </c>
      <c r="F11" s="110"/>
      <c r="G11" s="110"/>
      <c r="H11" s="111"/>
    </row>
    <row r="12" spans="1:8" ht="28.05" customHeight="1">
      <c r="A12" s="170" t="s">
        <v>1401</v>
      </c>
      <c r="B12" s="110"/>
      <c r="C12" s="110"/>
      <c r="D12" s="111"/>
      <c r="E12" s="170" t="s">
        <v>1402</v>
      </c>
      <c r="F12" s="110"/>
      <c r="G12" s="110"/>
      <c r="H12" s="111"/>
    </row>
    <row r="13" spans="1:8" ht="28.05" customHeight="1">
      <c r="A13" s="167" t="s">
        <v>1403</v>
      </c>
      <c r="B13" s="110"/>
      <c r="C13" s="110"/>
      <c r="D13" s="111"/>
      <c r="E13" s="167" t="s">
        <v>1404</v>
      </c>
      <c r="F13" s="110"/>
      <c r="G13" s="110"/>
      <c r="H13" s="111"/>
    </row>
    <row r="14" spans="1:8" ht="28.05" customHeight="1">
      <c r="A14" s="170" t="s">
        <v>1405</v>
      </c>
      <c r="B14" s="110"/>
      <c r="C14" s="110"/>
      <c r="D14" s="111"/>
      <c r="E14" s="170" t="s">
        <v>1406</v>
      </c>
      <c r="F14" s="110"/>
      <c r="G14" s="110"/>
      <c r="H14" s="111"/>
    </row>
    <row r="15" spans="1:8" ht="28.05" customHeight="1">
      <c r="A15" s="167" t="s">
        <v>1407</v>
      </c>
      <c r="B15" s="110"/>
      <c r="C15" s="110"/>
      <c r="D15" s="111"/>
      <c r="E15" s="167" t="s">
        <v>1408</v>
      </c>
      <c r="F15" s="110"/>
      <c r="G15" s="110"/>
      <c r="H15" s="111"/>
    </row>
    <row r="16" spans="1:8" ht="31.95" customHeight="1">
      <c r="A16" s="201" t="s">
        <v>1409</v>
      </c>
      <c r="B16" s="113"/>
      <c r="C16" s="113"/>
      <c r="D16" s="113"/>
      <c r="E16" s="113"/>
      <c r="F16" s="113"/>
      <c r="G16" s="113"/>
      <c r="H16" s="114"/>
    </row>
    <row r="17" spans="1:8" ht="60" customHeight="1">
      <c r="A17" s="204" t="s">
        <v>1410</v>
      </c>
      <c r="B17" s="130"/>
      <c r="C17" s="130"/>
      <c r="D17" s="130"/>
      <c r="E17" s="130"/>
      <c r="F17" s="130"/>
      <c r="G17" s="130"/>
      <c r="H17" s="131"/>
    </row>
  </sheetData>
  <mergeCells count="27">
    <mergeCell ref="A17:H17"/>
    <mergeCell ref="E9:H9"/>
    <mergeCell ref="A12:D12"/>
    <mergeCell ref="E6:H6"/>
    <mergeCell ref="E15:H15"/>
    <mergeCell ref="E11:H11"/>
    <mergeCell ref="A14:D14"/>
    <mergeCell ref="A10:D10"/>
    <mergeCell ref="A13:D13"/>
    <mergeCell ref="A9:D9"/>
    <mergeCell ref="E12:H12"/>
    <mergeCell ref="A16:H16"/>
    <mergeCell ref="A15:D15"/>
    <mergeCell ref="A11:D11"/>
    <mergeCell ref="E14:H14"/>
    <mergeCell ref="E10:H10"/>
    <mergeCell ref="E13:H13"/>
    <mergeCell ref="A5:D5"/>
    <mergeCell ref="A8:D8"/>
    <mergeCell ref="A4:D4"/>
    <mergeCell ref="E7:H7"/>
    <mergeCell ref="A1:H1"/>
    <mergeCell ref="E5:H5"/>
    <mergeCell ref="A6:D6"/>
    <mergeCell ref="E8:H8"/>
    <mergeCell ref="E4:H4"/>
    <mergeCell ref="A7:D7"/>
  </mergeCells>
  <pageMargins left="0.75" right="0.75" top="1" bottom="1" header="0.5" footer="0.5"/>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dimension ref="A1:H19"/>
  <sheetViews>
    <sheetView rightToLeft="1" workbookViewId="0">
      <pane ySplit="1" topLeftCell="A2" activePane="bottomLeft" state="frozen"/>
      <selection pane="bottomLeft"/>
    </sheetView>
  </sheetViews>
  <sheetFormatPr defaultRowHeight="14.4"/>
  <cols>
    <col min="1" max="1" width="6" customWidth="1"/>
    <col min="2" max="2" width="28" customWidth="1"/>
    <col min="3" max="4" width="18" customWidth="1"/>
    <col min="5" max="8" width="14" customWidth="1"/>
  </cols>
  <sheetData>
    <row r="1" spans="1:8" ht="46.05" customHeight="1">
      <c r="A1" s="207" t="s">
        <v>1411</v>
      </c>
      <c r="B1" s="116"/>
      <c r="C1" s="116"/>
      <c r="D1" s="116"/>
      <c r="E1" s="116"/>
      <c r="F1" s="116"/>
      <c r="G1" s="116"/>
      <c r="H1" s="116"/>
    </row>
    <row r="2" spans="1:8" ht="31.95" customHeight="1">
      <c r="A2" s="210" t="s">
        <v>1412</v>
      </c>
      <c r="B2" s="119"/>
      <c r="C2" s="119"/>
      <c r="D2" s="119"/>
      <c r="E2" s="119"/>
      <c r="F2" s="119"/>
      <c r="G2" s="119"/>
      <c r="H2" s="119"/>
    </row>
    <row r="4" spans="1:8" ht="31.95" customHeight="1">
      <c r="A4" s="142" t="s">
        <v>1413</v>
      </c>
      <c r="B4" s="119"/>
      <c r="C4" s="119"/>
      <c r="D4" s="119"/>
      <c r="E4" s="119"/>
      <c r="F4" s="119"/>
      <c r="G4" s="119"/>
      <c r="H4" s="119"/>
    </row>
    <row r="5" spans="1:8" ht="43.95" customHeight="1">
      <c r="A5" s="211" t="s">
        <v>1414</v>
      </c>
      <c r="B5" s="119"/>
      <c r="C5" s="119"/>
      <c r="D5" s="119"/>
      <c r="E5" s="119"/>
      <c r="F5" s="119"/>
      <c r="G5" s="119"/>
      <c r="H5" s="119"/>
    </row>
    <row r="7" spans="1:8" ht="31.95" customHeight="1">
      <c r="A7" s="165" t="s">
        <v>1415</v>
      </c>
      <c r="B7" s="119"/>
      <c r="C7" s="119"/>
      <c r="D7" s="119"/>
      <c r="E7" s="119"/>
      <c r="F7" s="119"/>
      <c r="G7" s="119"/>
      <c r="H7" s="119"/>
    </row>
    <row r="8" spans="1:8" ht="30" customHeight="1">
      <c r="A8" s="21" t="s">
        <v>412</v>
      </c>
      <c r="B8" s="21" t="s">
        <v>132</v>
      </c>
      <c r="C8" s="21" t="s">
        <v>74</v>
      </c>
      <c r="D8" s="119"/>
      <c r="E8" s="119"/>
      <c r="F8" s="119"/>
      <c r="G8" s="119"/>
      <c r="H8" s="119"/>
    </row>
    <row r="9" spans="1:8" ht="28.05" customHeight="1">
      <c r="A9" s="93">
        <v>1</v>
      </c>
      <c r="B9" s="205" t="s">
        <v>1416</v>
      </c>
      <c r="C9" s="94" t="s">
        <v>1417</v>
      </c>
      <c r="D9" s="208" t="s">
        <v>1418</v>
      </c>
      <c r="E9" s="110"/>
      <c r="F9" s="110"/>
      <c r="G9" s="110"/>
      <c r="H9" s="111"/>
    </row>
    <row r="10" spans="1:8" ht="28.05" customHeight="1">
      <c r="A10" s="96">
        <v>2</v>
      </c>
      <c r="B10" s="209" t="s">
        <v>1419</v>
      </c>
      <c r="C10" s="97" t="s">
        <v>1420</v>
      </c>
      <c r="D10" s="206" t="s">
        <v>1421</v>
      </c>
      <c r="E10" s="110"/>
      <c r="F10" s="110"/>
      <c r="G10" s="110"/>
      <c r="H10" s="111"/>
    </row>
    <row r="11" spans="1:8" ht="28.05" customHeight="1">
      <c r="A11" s="93">
        <v>3</v>
      </c>
      <c r="B11" s="205" t="s">
        <v>1422</v>
      </c>
      <c r="C11" s="94" t="s">
        <v>1423</v>
      </c>
      <c r="D11" s="208" t="s">
        <v>1424</v>
      </c>
      <c r="E11" s="110"/>
      <c r="F11" s="110"/>
      <c r="G11" s="110"/>
      <c r="H11" s="111"/>
    </row>
    <row r="12" spans="1:8" ht="28.05" customHeight="1">
      <c r="A12" s="96">
        <v>4</v>
      </c>
      <c r="B12" s="209" t="s">
        <v>1425</v>
      </c>
      <c r="C12" s="97" t="s">
        <v>1426</v>
      </c>
      <c r="D12" s="206" t="s">
        <v>1427</v>
      </c>
      <c r="E12" s="110"/>
      <c r="F12" s="110"/>
      <c r="G12" s="110"/>
      <c r="H12" s="111"/>
    </row>
    <row r="13" spans="1:8" ht="28.05" customHeight="1">
      <c r="A13" s="93">
        <v>5</v>
      </c>
      <c r="B13" s="205" t="s">
        <v>1428</v>
      </c>
      <c r="C13" s="94" t="s">
        <v>1429</v>
      </c>
      <c r="D13" s="208" t="s">
        <v>1430</v>
      </c>
      <c r="E13" s="110"/>
      <c r="F13" s="110"/>
      <c r="G13" s="110"/>
      <c r="H13" s="111"/>
    </row>
    <row r="14" spans="1:8" ht="28.05" customHeight="1">
      <c r="A14" s="96">
        <v>6</v>
      </c>
      <c r="B14" s="209" t="s">
        <v>1431</v>
      </c>
      <c r="C14" s="97" t="s">
        <v>1432</v>
      </c>
      <c r="D14" s="206" t="s">
        <v>1433</v>
      </c>
      <c r="E14" s="110"/>
      <c r="F14" s="110"/>
      <c r="G14" s="110"/>
      <c r="H14" s="111"/>
    </row>
    <row r="15" spans="1:8" ht="28.05" customHeight="1">
      <c r="A15" s="93">
        <v>7</v>
      </c>
      <c r="B15" s="205" t="s">
        <v>1434</v>
      </c>
      <c r="C15" s="94" t="s">
        <v>1435</v>
      </c>
      <c r="D15" s="208" t="s">
        <v>1436</v>
      </c>
      <c r="E15" s="110"/>
      <c r="F15" s="110"/>
      <c r="G15" s="110"/>
      <c r="H15" s="111"/>
    </row>
    <row r="16" spans="1:8" ht="28.05" customHeight="1">
      <c r="A16" s="96">
        <v>8</v>
      </c>
      <c r="B16" s="209" t="s">
        <v>1437</v>
      </c>
      <c r="C16" s="97" t="s">
        <v>1438</v>
      </c>
      <c r="D16" s="206" t="s">
        <v>241</v>
      </c>
      <c r="E16" s="110"/>
      <c r="F16" s="110"/>
      <c r="G16" s="110"/>
      <c r="H16" s="111"/>
    </row>
    <row r="18" spans="1:8" ht="31.95" customHeight="1">
      <c r="A18" s="171" t="s">
        <v>1439</v>
      </c>
      <c r="B18" s="119"/>
      <c r="C18" s="119"/>
      <c r="D18" s="119"/>
      <c r="E18" s="119"/>
      <c r="F18" s="119"/>
      <c r="G18" s="119"/>
      <c r="H18" s="119"/>
    </row>
    <row r="19" spans="1:8" ht="49.95" customHeight="1">
      <c r="A19" s="204" t="s">
        <v>1440</v>
      </c>
      <c r="B19" s="130"/>
      <c r="C19" s="130"/>
      <c r="D19" s="130"/>
      <c r="E19" s="130"/>
      <c r="F19" s="130"/>
      <c r="G19" s="130"/>
      <c r="H19" s="131"/>
    </row>
  </sheetData>
  <mergeCells count="24">
    <mergeCell ref="A19:H19"/>
    <mergeCell ref="B10"/>
    <mergeCell ref="D14:H14"/>
    <mergeCell ref="B16"/>
    <mergeCell ref="A18:H18"/>
    <mergeCell ref="B12"/>
    <mergeCell ref="D16:H16"/>
    <mergeCell ref="A2:H2"/>
    <mergeCell ref="B11"/>
    <mergeCell ref="A5:H5"/>
    <mergeCell ref="B14"/>
    <mergeCell ref="D9:H9"/>
    <mergeCell ref="A4:H4"/>
    <mergeCell ref="D12:H12"/>
    <mergeCell ref="D8:H8"/>
    <mergeCell ref="D15:H15"/>
    <mergeCell ref="B13"/>
    <mergeCell ref="B9"/>
    <mergeCell ref="D10:H10"/>
    <mergeCell ref="B15"/>
    <mergeCell ref="A1:H1"/>
    <mergeCell ref="A7:H7"/>
    <mergeCell ref="D11:H11"/>
    <mergeCell ref="D13:H13"/>
  </mergeCells>
  <pageMargins left="0.75" right="0.75" top="1" bottom="1" header="0.5" footer="0.5"/>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dimension ref="A1:H17"/>
  <sheetViews>
    <sheetView rightToLeft="1" workbookViewId="0">
      <pane ySplit="1" topLeftCell="A2" activePane="bottomLeft" state="frozen"/>
      <selection pane="bottomLeft"/>
    </sheetView>
  </sheetViews>
  <sheetFormatPr defaultRowHeight="14.4"/>
  <cols>
    <col min="1" max="1" width="6" customWidth="1"/>
    <col min="2" max="2" width="28" customWidth="1"/>
    <col min="3" max="4" width="18" customWidth="1"/>
    <col min="5" max="8" width="14" customWidth="1"/>
  </cols>
  <sheetData>
    <row r="1" spans="1:8" ht="46.05" customHeight="1">
      <c r="A1" s="212" t="s">
        <v>1441</v>
      </c>
      <c r="B1" s="116"/>
      <c r="C1" s="116"/>
      <c r="D1" s="116"/>
      <c r="E1" s="116"/>
      <c r="F1" s="116"/>
      <c r="G1" s="116"/>
      <c r="H1" s="116"/>
    </row>
    <row r="2" spans="1:8" ht="31.95" customHeight="1">
      <c r="A2" s="210" t="s">
        <v>1442</v>
      </c>
      <c r="B2" s="119"/>
      <c r="C2" s="119"/>
      <c r="D2" s="119"/>
      <c r="E2" s="119"/>
      <c r="F2" s="119"/>
      <c r="G2" s="119"/>
      <c r="H2" s="119"/>
    </row>
    <row r="4" spans="1:8" ht="31.95" customHeight="1">
      <c r="A4" s="142" t="s">
        <v>1413</v>
      </c>
      <c r="B4" s="119"/>
      <c r="C4" s="119"/>
      <c r="D4" s="119"/>
      <c r="E4" s="119"/>
      <c r="F4" s="119"/>
      <c r="G4" s="119"/>
      <c r="H4" s="119"/>
    </row>
    <row r="5" spans="1:8" ht="43.95" customHeight="1">
      <c r="A5" s="211" t="s">
        <v>1443</v>
      </c>
      <c r="B5" s="119"/>
      <c r="C5" s="119"/>
      <c r="D5" s="119"/>
      <c r="E5" s="119"/>
      <c r="F5" s="119"/>
      <c r="G5" s="119"/>
      <c r="H5" s="119"/>
    </row>
    <row r="7" spans="1:8" ht="31.95" customHeight="1">
      <c r="A7" s="165" t="s">
        <v>1415</v>
      </c>
      <c r="B7" s="119"/>
      <c r="C7" s="119"/>
      <c r="D7" s="119"/>
      <c r="E7" s="119"/>
      <c r="F7" s="119"/>
      <c r="G7" s="119"/>
      <c r="H7" s="119"/>
    </row>
    <row r="8" spans="1:8" ht="30" customHeight="1">
      <c r="A8" s="21" t="s">
        <v>412</v>
      </c>
      <c r="B8" s="21" t="s">
        <v>132</v>
      </c>
      <c r="C8" s="21" t="s">
        <v>74</v>
      </c>
      <c r="D8" s="119"/>
      <c r="E8" s="119"/>
      <c r="F8" s="119"/>
      <c r="G8" s="119"/>
      <c r="H8" s="119"/>
    </row>
    <row r="9" spans="1:8" ht="28.05" customHeight="1">
      <c r="A9" s="93">
        <v>1</v>
      </c>
      <c r="B9" s="205" t="s">
        <v>1444</v>
      </c>
      <c r="C9" s="94" t="s">
        <v>1445</v>
      </c>
      <c r="D9" s="208" t="s">
        <v>35</v>
      </c>
      <c r="E9" s="110"/>
      <c r="F9" s="110"/>
      <c r="G9" s="110"/>
      <c r="H9" s="111"/>
    </row>
    <row r="10" spans="1:8" ht="28.05" customHeight="1">
      <c r="A10" s="96">
        <v>2</v>
      </c>
      <c r="B10" s="209" t="s">
        <v>1446</v>
      </c>
      <c r="C10" s="97" t="s">
        <v>1447</v>
      </c>
      <c r="D10" s="206" t="s">
        <v>1448</v>
      </c>
      <c r="E10" s="110"/>
      <c r="F10" s="110"/>
      <c r="G10" s="110"/>
      <c r="H10" s="111"/>
    </row>
    <row r="11" spans="1:8" ht="28.05" customHeight="1">
      <c r="A11" s="93">
        <v>3</v>
      </c>
      <c r="B11" s="205" t="s">
        <v>1449</v>
      </c>
      <c r="C11" s="94" t="s">
        <v>1450</v>
      </c>
      <c r="D11" s="208" t="s">
        <v>1451</v>
      </c>
      <c r="E11" s="110"/>
      <c r="F11" s="110"/>
      <c r="G11" s="110"/>
      <c r="H11" s="111"/>
    </row>
    <row r="12" spans="1:8" ht="28.05" customHeight="1">
      <c r="A12" s="96">
        <v>4</v>
      </c>
      <c r="B12" s="209" t="s">
        <v>1452</v>
      </c>
      <c r="C12" s="97" t="s">
        <v>1453</v>
      </c>
      <c r="D12" s="206" t="s">
        <v>1454</v>
      </c>
      <c r="E12" s="110"/>
      <c r="F12" s="110"/>
      <c r="G12" s="110"/>
      <c r="H12" s="111"/>
    </row>
    <row r="13" spans="1:8" ht="28.05" customHeight="1">
      <c r="A13" s="93">
        <v>5</v>
      </c>
      <c r="B13" s="205" t="s">
        <v>1455</v>
      </c>
      <c r="C13" s="94" t="s">
        <v>1456</v>
      </c>
      <c r="D13" s="208" t="s">
        <v>1457</v>
      </c>
      <c r="E13" s="110"/>
      <c r="F13" s="110"/>
      <c r="G13" s="110"/>
      <c r="H13" s="111"/>
    </row>
    <row r="14" spans="1:8" ht="28.05" customHeight="1">
      <c r="A14" s="96">
        <v>6</v>
      </c>
      <c r="B14" s="209" t="s">
        <v>1458</v>
      </c>
      <c r="C14" s="97" t="s">
        <v>1459</v>
      </c>
      <c r="D14" s="206" t="s">
        <v>1460</v>
      </c>
      <c r="E14" s="110"/>
      <c r="F14" s="110"/>
      <c r="G14" s="110"/>
      <c r="H14" s="111"/>
    </row>
    <row r="16" spans="1:8" ht="31.95" customHeight="1">
      <c r="A16" s="171" t="s">
        <v>1439</v>
      </c>
      <c r="B16" s="119"/>
      <c r="C16" s="119"/>
      <c r="D16" s="119"/>
      <c r="E16" s="119"/>
      <c r="F16" s="119"/>
      <c r="G16" s="119"/>
      <c r="H16" s="119"/>
    </row>
    <row r="17" spans="1:8" ht="49.95" customHeight="1">
      <c r="A17" s="204" t="s">
        <v>1461</v>
      </c>
      <c r="B17" s="130"/>
      <c r="C17" s="130"/>
      <c r="D17" s="130"/>
      <c r="E17" s="130"/>
      <c r="F17" s="130"/>
      <c r="G17" s="130"/>
      <c r="H17" s="131"/>
    </row>
  </sheetData>
  <mergeCells count="20">
    <mergeCell ref="A17:H17"/>
    <mergeCell ref="A4:H4"/>
    <mergeCell ref="D12:H12"/>
    <mergeCell ref="D8:H8"/>
    <mergeCell ref="B13"/>
    <mergeCell ref="B10"/>
    <mergeCell ref="D14:H14"/>
    <mergeCell ref="B9"/>
    <mergeCell ref="D10:H10"/>
    <mergeCell ref="A1:H1"/>
    <mergeCell ref="A7:H7"/>
    <mergeCell ref="A16:H16"/>
    <mergeCell ref="D11:H11"/>
    <mergeCell ref="D13:H13"/>
    <mergeCell ref="B12"/>
    <mergeCell ref="A2:H2"/>
    <mergeCell ref="B11"/>
    <mergeCell ref="A5:H5"/>
    <mergeCell ref="B14"/>
    <mergeCell ref="D9:H9"/>
  </mergeCells>
  <pageMargins left="0.75" right="0.75" top="1" bottom="1" header="0.5" footer="0.5"/>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dimension ref="A1:H18"/>
  <sheetViews>
    <sheetView rightToLeft="1" workbookViewId="0">
      <pane ySplit="1" topLeftCell="A2" activePane="bottomLeft" state="frozen"/>
      <selection pane="bottomLeft"/>
    </sheetView>
  </sheetViews>
  <sheetFormatPr defaultRowHeight="14.4"/>
  <cols>
    <col min="1" max="1" width="6" customWidth="1"/>
    <col min="2" max="2" width="28" customWidth="1"/>
    <col min="3" max="4" width="18" customWidth="1"/>
    <col min="5" max="8" width="14" customWidth="1"/>
  </cols>
  <sheetData>
    <row r="1" spans="1:8" ht="46.05" customHeight="1">
      <c r="A1" s="213" t="s">
        <v>1462</v>
      </c>
      <c r="B1" s="116"/>
      <c r="C1" s="116"/>
      <c r="D1" s="116"/>
      <c r="E1" s="116"/>
      <c r="F1" s="116"/>
      <c r="G1" s="116"/>
      <c r="H1" s="116"/>
    </row>
    <row r="2" spans="1:8" ht="31.95" customHeight="1">
      <c r="A2" s="210" t="s">
        <v>1463</v>
      </c>
      <c r="B2" s="119"/>
      <c r="C2" s="119"/>
      <c r="D2" s="119"/>
      <c r="E2" s="119"/>
      <c r="F2" s="119"/>
      <c r="G2" s="119"/>
      <c r="H2" s="119"/>
    </row>
    <row r="4" spans="1:8" ht="31.95" customHeight="1">
      <c r="A4" s="142" t="s">
        <v>1413</v>
      </c>
      <c r="B4" s="119"/>
      <c r="C4" s="119"/>
      <c r="D4" s="119"/>
      <c r="E4" s="119"/>
      <c r="F4" s="119"/>
      <c r="G4" s="119"/>
      <c r="H4" s="119"/>
    </row>
    <row r="5" spans="1:8" ht="43.95" customHeight="1">
      <c r="A5" s="211" t="s">
        <v>1464</v>
      </c>
      <c r="B5" s="119"/>
      <c r="C5" s="119"/>
      <c r="D5" s="119"/>
      <c r="E5" s="119"/>
      <c r="F5" s="119"/>
      <c r="G5" s="119"/>
      <c r="H5" s="119"/>
    </row>
    <row r="7" spans="1:8" ht="31.95" customHeight="1">
      <c r="A7" s="165" t="s">
        <v>1415</v>
      </c>
      <c r="B7" s="119"/>
      <c r="C7" s="119"/>
      <c r="D7" s="119"/>
      <c r="E7" s="119"/>
      <c r="F7" s="119"/>
      <c r="G7" s="119"/>
      <c r="H7" s="119"/>
    </row>
    <row r="8" spans="1:8" ht="30" customHeight="1">
      <c r="A8" s="21" t="s">
        <v>412</v>
      </c>
      <c r="B8" s="21" t="s">
        <v>132</v>
      </c>
      <c r="C8" s="21" t="s">
        <v>74</v>
      </c>
      <c r="D8" s="119"/>
      <c r="E8" s="119"/>
      <c r="F8" s="119"/>
      <c r="G8" s="119"/>
      <c r="H8" s="119"/>
    </row>
    <row r="9" spans="1:8" ht="28.05" customHeight="1">
      <c r="A9" s="93">
        <v>1</v>
      </c>
      <c r="B9" s="205" t="s">
        <v>1465</v>
      </c>
      <c r="C9" s="94" t="s">
        <v>1466</v>
      </c>
      <c r="D9" s="208" t="s">
        <v>29</v>
      </c>
      <c r="E9" s="110"/>
      <c r="F9" s="110"/>
      <c r="G9" s="110"/>
      <c r="H9" s="111"/>
    </row>
    <row r="10" spans="1:8" ht="28.05" customHeight="1">
      <c r="A10" s="96">
        <v>2</v>
      </c>
      <c r="B10" s="209" t="s">
        <v>1467</v>
      </c>
      <c r="C10" s="97" t="s">
        <v>1468</v>
      </c>
      <c r="D10" s="206" t="s">
        <v>35</v>
      </c>
      <c r="E10" s="110"/>
      <c r="F10" s="110"/>
      <c r="G10" s="110"/>
      <c r="H10" s="111"/>
    </row>
    <row r="11" spans="1:8" ht="28.05" customHeight="1">
      <c r="A11" s="93">
        <v>3</v>
      </c>
      <c r="B11" s="205" t="s">
        <v>1469</v>
      </c>
      <c r="C11" s="94" t="s">
        <v>1470</v>
      </c>
      <c r="D11" s="208" t="s">
        <v>29</v>
      </c>
      <c r="E11" s="110"/>
      <c r="F11" s="110"/>
      <c r="G11" s="110"/>
      <c r="H11" s="111"/>
    </row>
    <row r="12" spans="1:8" ht="28.05" customHeight="1">
      <c r="A12" s="96">
        <v>4</v>
      </c>
      <c r="B12" s="209" t="s">
        <v>1471</v>
      </c>
      <c r="C12" s="97" t="s">
        <v>1472</v>
      </c>
      <c r="D12" s="206" t="s">
        <v>35</v>
      </c>
      <c r="E12" s="110"/>
      <c r="F12" s="110"/>
      <c r="G12" s="110"/>
      <c r="H12" s="111"/>
    </row>
    <row r="13" spans="1:8" ht="28.05" customHeight="1">
      <c r="A13" s="93">
        <v>5</v>
      </c>
      <c r="B13" s="205" t="s">
        <v>1473</v>
      </c>
      <c r="C13" s="94" t="s">
        <v>1474</v>
      </c>
      <c r="D13" s="208" t="s">
        <v>29</v>
      </c>
      <c r="E13" s="110"/>
      <c r="F13" s="110"/>
      <c r="G13" s="110"/>
      <c r="H13" s="111"/>
    </row>
    <row r="14" spans="1:8" ht="28.05" customHeight="1">
      <c r="A14" s="96">
        <v>6</v>
      </c>
      <c r="B14" s="209" t="s">
        <v>1475</v>
      </c>
      <c r="C14" s="97" t="s">
        <v>1476</v>
      </c>
      <c r="D14" s="206" t="s">
        <v>1477</v>
      </c>
      <c r="E14" s="110"/>
      <c r="F14" s="110"/>
      <c r="G14" s="110"/>
      <c r="H14" s="111"/>
    </row>
    <row r="15" spans="1:8" ht="28.05" customHeight="1">
      <c r="A15" s="93">
        <v>7</v>
      </c>
      <c r="B15" s="205" t="s">
        <v>1478</v>
      </c>
      <c r="C15" s="94" t="s">
        <v>1479</v>
      </c>
      <c r="D15" s="208" t="s">
        <v>1480</v>
      </c>
      <c r="E15" s="110"/>
      <c r="F15" s="110"/>
      <c r="G15" s="110"/>
      <c r="H15" s="111"/>
    </row>
    <row r="17" spans="1:8" ht="31.95" customHeight="1">
      <c r="A17" s="171" t="s">
        <v>1439</v>
      </c>
      <c r="B17" s="119"/>
      <c r="C17" s="119"/>
      <c r="D17" s="119"/>
      <c r="E17" s="119"/>
      <c r="F17" s="119"/>
      <c r="G17" s="119"/>
      <c r="H17" s="119"/>
    </row>
    <row r="18" spans="1:8" ht="49.95" customHeight="1">
      <c r="A18" s="204" t="s">
        <v>1481</v>
      </c>
      <c r="B18" s="130"/>
      <c r="C18" s="130"/>
      <c r="D18" s="130"/>
      <c r="E18" s="130"/>
      <c r="F18" s="130"/>
      <c r="G18" s="130"/>
      <c r="H18" s="131"/>
    </row>
  </sheetData>
  <mergeCells count="22">
    <mergeCell ref="A18:H18"/>
    <mergeCell ref="B12"/>
    <mergeCell ref="A2:H2"/>
    <mergeCell ref="B11"/>
    <mergeCell ref="A5:H5"/>
    <mergeCell ref="B14"/>
    <mergeCell ref="D9:H9"/>
    <mergeCell ref="A17:H17"/>
    <mergeCell ref="A4:H4"/>
    <mergeCell ref="D12:H12"/>
    <mergeCell ref="D8:H8"/>
    <mergeCell ref="D15:H15"/>
    <mergeCell ref="B13"/>
    <mergeCell ref="B10"/>
    <mergeCell ref="D14:H14"/>
    <mergeCell ref="B9"/>
    <mergeCell ref="D10:H10"/>
    <mergeCell ref="B15"/>
    <mergeCell ref="A1:H1"/>
    <mergeCell ref="A7:H7"/>
    <mergeCell ref="D11:H11"/>
    <mergeCell ref="D13:H13"/>
  </mergeCells>
  <pageMargins left="0.75" right="0.75" top="1" bottom="1" header="0.5" footer="0.5"/>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dimension ref="A1:H17"/>
  <sheetViews>
    <sheetView rightToLeft="1" workbookViewId="0">
      <pane ySplit="1" topLeftCell="A2" activePane="bottomLeft" state="frozen"/>
      <selection pane="bottomLeft"/>
    </sheetView>
  </sheetViews>
  <sheetFormatPr defaultRowHeight="14.4"/>
  <cols>
    <col min="1" max="1" width="6" customWidth="1"/>
    <col min="2" max="2" width="28" customWidth="1"/>
    <col min="3" max="4" width="18" customWidth="1"/>
    <col min="5" max="8" width="14" customWidth="1"/>
  </cols>
  <sheetData>
    <row r="1" spans="1:8" ht="46.05" customHeight="1">
      <c r="A1" s="214" t="s">
        <v>1482</v>
      </c>
      <c r="B1" s="116"/>
      <c r="C1" s="116"/>
      <c r="D1" s="116"/>
      <c r="E1" s="116"/>
      <c r="F1" s="116"/>
      <c r="G1" s="116"/>
      <c r="H1" s="116"/>
    </row>
    <row r="2" spans="1:8" ht="31.95" customHeight="1">
      <c r="A2" s="210" t="s">
        <v>1483</v>
      </c>
      <c r="B2" s="119"/>
      <c r="C2" s="119"/>
      <c r="D2" s="119"/>
      <c r="E2" s="119"/>
      <c r="F2" s="119"/>
      <c r="G2" s="119"/>
      <c r="H2" s="119"/>
    </row>
    <row r="4" spans="1:8" ht="31.95" customHeight="1">
      <c r="A4" s="142" t="s">
        <v>1413</v>
      </c>
      <c r="B4" s="119"/>
      <c r="C4" s="119"/>
      <c r="D4" s="119"/>
      <c r="E4" s="119"/>
      <c r="F4" s="119"/>
      <c r="G4" s="119"/>
      <c r="H4" s="119"/>
    </row>
    <row r="5" spans="1:8" ht="43.95" customHeight="1">
      <c r="A5" s="211" t="s">
        <v>1484</v>
      </c>
      <c r="B5" s="119"/>
      <c r="C5" s="119"/>
      <c r="D5" s="119"/>
      <c r="E5" s="119"/>
      <c r="F5" s="119"/>
      <c r="G5" s="119"/>
      <c r="H5" s="119"/>
    </row>
    <row r="7" spans="1:8" ht="31.95" customHeight="1">
      <c r="A7" s="165" t="s">
        <v>1415</v>
      </c>
      <c r="B7" s="119"/>
      <c r="C7" s="119"/>
      <c r="D7" s="119"/>
      <c r="E7" s="119"/>
      <c r="F7" s="119"/>
      <c r="G7" s="119"/>
      <c r="H7" s="119"/>
    </row>
    <row r="8" spans="1:8" ht="30" customHeight="1">
      <c r="A8" s="21" t="s">
        <v>412</v>
      </c>
      <c r="B8" s="21" t="s">
        <v>132</v>
      </c>
      <c r="C8" s="21" t="s">
        <v>74</v>
      </c>
      <c r="D8" s="119"/>
      <c r="E8" s="119"/>
      <c r="F8" s="119"/>
      <c r="G8" s="119"/>
      <c r="H8" s="119"/>
    </row>
    <row r="9" spans="1:8" ht="28.05" customHeight="1">
      <c r="A9" s="93">
        <v>1</v>
      </c>
      <c r="B9" s="205" t="s">
        <v>1485</v>
      </c>
      <c r="C9" s="94" t="s">
        <v>1486</v>
      </c>
      <c r="D9" s="208" t="s">
        <v>35</v>
      </c>
      <c r="E9" s="110"/>
      <c r="F9" s="110"/>
      <c r="G9" s="110"/>
      <c r="H9" s="111"/>
    </row>
    <row r="10" spans="1:8" ht="28.05" customHeight="1">
      <c r="A10" s="96">
        <v>2</v>
      </c>
      <c r="B10" s="209" t="s">
        <v>1487</v>
      </c>
      <c r="C10" s="97" t="s">
        <v>1488</v>
      </c>
      <c r="D10" s="206" t="s">
        <v>1489</v>
      </c>
      <c r="E10" s="110"/>
      <c r="F10" s="110"/>
      <c r="G10" s="110"/>
      <c r="H10" s="111"/>
    </row>
    <row r="11" spans="1:8" ht="28.05" customHeight="1">
      <c r="A11" s="93">
        <v>3</v>
      </c>
      <c r="B11" s="205" t="s">
        <v>1490</v>
      </c>
      <c r="C11" s="94" t="s">
        <v>1491</v>
      </c>
      <c r="D11" s="208" t="s">
        <v>1492</v>
      </c>
      <c r="E11" s="110"/>
      <c r="F11" s="110"/>
      <c r="G11" s="110"/>
      <c r="H11" s="111"/>
    </row>
    <row r="12" spans="1:8" ht="28.05" customHeight="1">
      <c r="A12" s="96">
        <v>4</v>
      </c>
      <c r="B12" s="209" t="s">
        <v>1493</v>
      </c>
      <c r="C12" s="97" t="s">
        <v>1494</v>
      </c>
      <c r="D12" s="206" t="s">
        <v>1495</v>
      </c>
      <c r="E12" s="110"/>
      <c r="F12" s="110"/>
      <c r="G12" s="110"/>
      <c r="H12" s="111"/>
    </row>
    <row r="13" spans="1:8" ht="28.05" customHeight="1">
      <c r="A13" s="93">
        <v>5</v>
      </c>
      <c r="B13" s="205" t="s">
        <v>1496</v>
      </c>
      <c r="C13" s="94" t="s">
        <v>1497</v>
      </c>
      <c r="D13" s="208" t="s">
        <v>1498</v>
      </c>
      <c r="E13" s="110"/>
      <c r="F13" s="110"/>
      <c r="G13" s="110"/>
      <c r="H13" s="111"/>
    </row>
    <row r="14" spans="1:8" ht="28.05" customHeight="1">
      <c r="A14" s="96">
        <v>6</v>
      </c>
      <c r="B14" s="209" t="s">
        <v>1499</v>
      </c>
      <c r="C14" s="97" t="s">
        <v>1500</v>
      </c>
      <c r="D14" s="206" t="s">
        <v>1501</v>
      </c>
      <c r="E14" s="110"/>
      <c r="F14" s="110"/>
      <c r="G14" s="110"/>
      <c r="H14" s="111"/>
    </row>
    <row r="16" spans="1:8" ht="31.95" customHeight="1">
      <c r="A16" s="171" t="s">
        <v>1439</v>
      </c>
      <c r="B16" s="119"/>
      <c r="C16" s="119"/>
      <c r="D16" s="119"/>
      <c r="E16" s="119"/>
      <c r="F16" s="119"/>
      <c r="G16" s="119"/>
      <c r="H16" s="119"/>
    </row>
    <row r="17" spans="1:8" ht="49.95" customHeight="1">
      <c r="A17" s="204" t="s">
        <v>1502</v>
      </c>
      <c r="B17" s="130"/>
      <c r="C17" s="130"/>
      <c r="D17" s="130"/>
      <c r="E17" s="130"/>
      <c r="F17" s="130"/>
      <c r="G17" s="130"/>
      <c r="H17" s="131"/>
    </row>
  </sheetData>
  <mergeCells count="20">
    <mergeCell ref="A17:H17"/>
    <mergeCell ref="A4:H4"/>
    <mergeCell ref="D12:H12"/>
    <mergeCell ref="D8:H8"/>
    <mergeCell ref="B13"/>
    <mergeCell ref="B10"/>
    <mergeCell ref="D14:H14"/>
    <mergeCell ref="B9"/>
    <mergeCell ref="D10:H10"/>
    <mergeCell ref="A1:H1"/>
    <mergeCell ref="A7:H7"/>
    <mergeCell ref="A16:H16"/>
    <mergeCell ref="D11:H11"/>
    <mergeCell ref="D13:H13"/>
    <mergeCell ref="B12"/>
    <mergeCell ref="A2:H2"/>
    <mergeCell ref="B11"/>
    <mergeCell ref="A5:H5"/>
    <mergeCell ref="B14"/>
    <mergeCell ref="D9:H9"/>
  </mergeCells>
  <pageMargins left="0.75" right="0.75" top="1" bottom="1" header="0.5" footer="0.5"/>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dimension ref="A1:H18"/>
  <sheetViews>
    <sheetView rightToLeft="1" workbookViewId="0">
      <pane ySplit="1" topLeftCell="A2" activePane="bottomLeft" state="frozen"/>
      <selection pane="bottomLeft"/>
    </sheetView>
  </sheetViews>
  <sheetFormatPr defaultRowHeight="14.4"/>
  <cols>
    <col min="1" max="1" width="6" customWidth="1"/>
    <col min="2" max="2" width="28" customWidth="1"/>
    <col min="3" max="4" width="18" customWidth="1"/>
    <col min="5" max="8" width="14" customWidth="1"/>
  </cols>
  <sheetData>
    <row r="1" spans="1:8" ht="46.05" customHeight="1">
      <c r="A1" s="215" t="s">
        <v>1503</v>
      </c>
      <c r="B1" s="116"/>
      <c r="C1" s="116"/>
      <c r="D1" s="116"/>
      <c r="E1" s="116"/>
      <c r="F1" s="116"/>
      <c r="G1" s="116"/>
      <c r="H1" s="116"/>
    </row>
    <row r="2" spans="1:8" ht="31.95" customHeight="1">
      <c r="A2" s="210" t="s">
        <v>1504</v>
      </c>
      <c r="B2" s="119"/>
      <c r="C2" s="119"/>
      <c r="D2" s="119"/>
      <c r="E2" s="119"/>
      <c r="F2" s="119"/>
      <c r="G2" s="119"/>
      <c r="H2" s="119"/>
    </row>
    <row r="4" spans="1:8" ht="31.95" customHeight="1">
      <c r="A4" s="142" t="s">
        <v>1413</v>
      </c>
      <c r="B4" s="119"/>
      <c r="C4" s="119"/>
      <c r="D4" s="119"/>
      <c r="E4" s="119"/>
      <c r="F4" s="119"/>
      <c r="G4" s="119"/>
      <c r="H4" s="119"/>
    </row>
    <row r="5" spans="1:8" ht="43.95" customHeight="1">
      <c r="A5" s="211" t="s">
        <v>1505</v>
      </c>
      <c r="B5" s="119"/>
      <c r="C5" s="119"/>
      <c r="D5" s="119"/>
      <c r="E5" s="119"/>
      <c r="F5" s="119"/>
      <c r="G5" s="119"/>
      <c r="H5" s="119"/>
    </row>
    <row r="7" spans="1:8" ht="31.95" customHeight="1">
      <c r="A7" s="165" t="s">
        <v>1415</v>
      </c>
      <c r="B7" s="119"/>
      <c r="C7" s="119"/>
      <c r="D7" s="119"/>
      <c r="E7" s="119"/>
      <c r="F7" s="119"/>
      <c r="G7" s="119"/>
      <c r="H7" s="119"/>
    </row>
    <row r="8" spans="1:8" ht="30" customHeight="1">
      <c r="A8" s="21" t="s">
        <v>412</v>
      </c>
      <c r="B8" s="21" t="s">
        <v>132</v>
      </c>
      <c r="C8" s="21" t="s">
        <v>74</v>
      </c>
      <c r="D8" s="119"/>
      <c r="E8" s="119"/>
      <c r="F8" s="119"/>
      <c r="G8" s="119"/>
      <c r="H8" s="119"/>
    </row>
    <row r="9" spans="1:8" ht="28.05" customHeight="1">
      <c r="A9" s="93">
        <v>1</v>
      </c>
      <c r="B9" s="205" t="s">
        <v>260</v>
      </c>
      <c r="C9" s="94" t="s">
        <v>1506</v>
      </c>
      <c r="D9" s="208" t="s">
        <v>1507</v>
      </c>
      <c r="E9" s="110"/>
      <c r="F9" s="110"/>
      <c r="G9" s="110"/>
      <c r="H9" s="111"/>
    </row>
    <row r="10" spans="1:8" ht="28.05" customHeight="1">
      <c r="A10" s="96">
        <v>2</v>
      </c>
      <c r="B10" s="209" t="s">
        <v>1508</v>
      </c>
      <c r="C10" s="97" t="s">
        <v>1509</v>
      </c>
      <c r="D10" s="206" t="s">
        <v>35</v>
      </c>
      <c r="E10" s="110"/>
      <c r="F10" s="110"/>
      <c r="G10" s="110"/>
      <c r="H10" s="111"/>
    </row>
    <row r="11" spans="1:8" ht="28.05" customHeight="1">
      <c r="A11" s="93">
        <v>3</v>
      </c>
      <c r="B11" s="205" t="s">
        <v>468</v>
      </c>
      <c r="C11" s="94" t="s">
        <v>1510</v>
      </c>
      <c r="D11" s="208" t="s">
        <v>35</v>
      </c>
      <c r="E11" s="110"/>
      <c r="F11" s="110"/>
      <c r="G11" s="110"/>
      <c r="H11" s="111"/>
    </row>
    <row r="12" spans="1:8" ht="28.05" customHeight="1">
      <c r="A12" s="96">
        <v>4</v>
      </c>
      <c r="B12" s="209" t="s">
        <v>1511</v>
      </c>
      <c r="C12" s="97" t="s">
        <v>1512</v>
      </c>
      <c r="D12" s="206" t="s">
        <v>35</v>
      </c>
      <c r="E12" s="110"/>
      <c r="F12" s="110"/>
      <c r="G12" s="110"/>
      <c r="H12" s="111"/>
    </row>
    <row r="13" spans="1:8" ht="28.05" customHeight="1">
      <c r="A13" s="93">
        <v>5</v>
      </c>
      <c r="B13" s="205" t="s">
        <v>1513</v>
      </c>
      <c r="C13" s="94" t="s">
        <v>1509</v>
      </c>
      <c r="D13" s="208" t="s">
        <v>35</v>
      </c>
      <c r="E13" s="110"/>
      <c r="F13" s="110"/>
      <c r="G13" s="110"/>
      <c r="H13" s="111"/>
    </row>
    <row r="14" spans="1:8" ht="28.05" customHeight="1">
      <c r="A14" s="96">
        <v>6</v>
      </c>
      <c r="B14" s="209" t="s">
        <v>1514</v>
      </c>
      <c r="C14" s="97" t="s">
        <v>1515</v>
      </c>
      <c r="D14" s="206" t="s">
        <v>35</v>
      </c>
      <c r="E14" s="110"/>
      <c r="F14" s="110"/>
      <c r="G14" s="110"/>
      <c r="H14" s="111"/>
    </row>
    <row r="15" spans="1:8" ht="28.05" customHeight="1">
      <c r="A15" s="93">
        <v>7</v>
      </c>
      <c r="B15" s="205" t="s">
        <v>1516</v>
      </c>
      <c r="C15" s="94" t="s">
        <v>1517</v>
      </c>
      <c r="D15" s="208" t="s">
        <v>1518</v>
      </c>
      <c r="E15" s="110"/>
      <c r="F15" s="110"/>
      <c r="G15" s="110"/>
      <c r="H15" s="111"/>
    </row>
    <row r="17" spans="1:8" ht="31.95" customHeight="1">
      <c r="A17" s="171" t="s">
        <v>1439</v>
      </c>
      <c r="B17" s="119"/>
      <c r="C17" s="119"/>
      <c r="D17" s="119"/>
      <c r="E17" s="119"/>
      <c r="F17" s="119"/>
      <c r="G17" s="119"/>
      <c r="H17" s="119"/>
    </row>
    <row r="18" spans="1:8" ht="49.95" customHeight="1">
      <c r="A18" s="204" t="s">
        <v>1519</v>
      </c>
      <c r="B18" s="130"/>
      <c r="C18" s="130"/>
      <c r="D18" s="130"/>
      <c r="E18" s="130"/>
      <c r="F18" s="130"/>
      <c r="G18" s="130"/>
      <c r="H18" s="131"/>
    </row>
  </sheetData>
  <mergeCells count="22">
    <mergeCell ref="A18:H18"/>
    <mergeCell ref="B12"/>
    <mergeCell ref="A2:H2"/>
    <mergeCell ref="B11"/>
    <mergeCell ref="A5:H5"/>
    <mergeCell ref="B14"/>
    <mergeCell ref="D9:H9"/>
    <mergeCell ref="A17:H17"/>
    <mergeCell ref="A4:H4"/>
    <mergeCell ref="D12:H12"/>
    <mergeCell ref="D8:H8"/>
    <mergeCell ref="D15:H15"/>
    <mergeCell ref="B13"/>
    <mergeCell ref="B10"/>
    <mergeCell ref="D14:H14"/>
    <mergeCell ref="B9"/>
    <mergeCell ref="D10:H10"/>
    <mergeCell ref="B15"/>
    <mergeCell ref="A1:H1"/>
    <mergeCell ref="A7:H7"/>
    <mergeCell ref="D11:H11"/>
    <mergeCell ref="D13:H13"/>
  </mergeCells>
  <pageMargins left="0.75" right="0.75" top="1" bottom="1" header="0.5" footer="0.5"/>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dimension ref="A1:H18"/>
  <sheetViews>
    <sheetView rightToLeft="1" workbookViewId="0">
      <pane ySplit="1" topLeftCell="A2" activePane="bottomLeft" state="frozen"/>
      <selection pane="bottomLeft"/>
    </sheetView>
  </sheetViews>
  <sheetFormatPr defaultRowHeight="14.4"/>
  <cols>
    <col min="1" max="1" width="6" customWidth="1"/>
    <col min="2" max="2" width="28" customWidth="1"/>
    <col min="3" max="4" width="18" customWidth="1"/>
    <col min="5" max="8" width="14" customWidth="1"/>
  </cols>
  <sheetData>
    <row r="1" spans="1:8" ht="46.05" customHeight="1">
      <c r="A1" s="216" t="s">
        <v>1520</v>
      </c>
      <c r="B1" s="116"/>
      <c r="C1" s="116"/>
      <c r="D1" s="116"/>
      <c r="E1" s="116"/>
      <c r="F1" s="116"/>
      <c r="G1" s="116"/>
      <c r="H1" s="116"/>
    </row>
    <row r="2" spans="1:8" ht="31.95" customHeight="1">
      <c r="A2" s="210" t="s">
        <v>1521</v>
      </c>
      <c r="B2" s="119"/>
      <c r="C2" s="119"/>
      <c r="D2" s="119"/>
      <c r="E2" s="119"/>
      <c r="F2" s="119"/>
      <c r="G2" s="119"/>
      <c r="H2" s="119"/>
    </row>
    <row r="4" spans="1:8" ht="31.95" customHeight="1">
      <c r="A4" s="142" t="s">
        <v>1413</v>
      </c>
      <c r="B4" s="119"/>
      <c r="C4" s="119"/>
      <c r="D4" s="119"/>
      <c r="E4" s="119"/>
      <c r="F4" s="119"/>
      <c r="G4" s="119"/>
      <c r="H4" s="119"/>
    </row>
    <row r="5" spans="1:8" ht="43.95" customHeight="1">
      <c r="A5" s="211" t="s">
        <v>1522</v>
      </c>
      <c r="B5" s="119"/>
      <c r="C5" s="119"/>
      <c r="D5" s="119"/>
      <c r="E5" s="119"/>
      <c r="F5" s="119"/>
      <c r="G5" s="119"/>
      <c r="H5" s="119"/>
    </row>
    <row r="7" spans="1:8" ht="31.95" customHeight="1">
      <c r="A7" s="165" t="s">
        <v>1415</v>
      </c>
      <c r="B7" s="119"/>
      <c r="C7" s="119"/>
      <c r="D7" s="119"/>
      <c r="E7" s="119"/>
      <c r="F7" s="119"/>
      <c r="G7" s="119"/>
      <c r="H7" s="119"/>
    </row>
    <row r="8" spans="1:8" ht="30" customHeight="1">
      <c r="A8" s="21" t="s">
        <v>412</v>
      </c>
      <c r="B8" s="21" t="s">
        <v>132</v>
      </c>
      <c r="C8" s="21" t="s">
        <v>74</v>
      </c>
      <c r="D8" s="119"/>
      <c r="E8" s="119"/>
      <c r="F8" s="119"/>
      <c r="G8" s="119"/>
      <c r="H8" s="119"/>
    </row>
    <row r="9" spans="1:8" ht="28.05" customHeight="1">
      <c r="A9" s="93">
        <v>1</v>
      </c>
      <c r="B9" s="205" t="s">
        <v>1523</v>
      </c>
      <c r="C9" s="94" t="s">
        <v>1524</v>
      </c>
      <c r="D9" s="208" t="s">
        <v>35</v>
      </c>
      <c r="E9" s="110"/>
      <c r="F9" s="110"/>
      <c r="G9" s="110"/>
      <c r="H9" s="111"/>
    </row>
    <row r="10" spans="1:8" ht="28.05" customHeight="1">
      <c r="A10" s="96">
        <v>2</v>
      </c>
      <c r="B10" s="209" t="s">
        <v>1525</v>
      </c>
      <c r="C10" s="97" t="s">
        <v>1526</v>
      </c>
      <c r="D10" s="206" t="s">
        <v>35</v>
      </c>
      <c r="E10" s="110"/>
      <c r="F10" s="110"/>
      <c r="G10" s="110"/>
      <c r="H10" s="111"/>
    </row>
    <row r="11" spans="1:8" ht="28.05" customHeight="1">
      <c r="A11" s="93">
        <v>3</v>
      </c>
      <c r="B11" s="205" t="s">
        <v>1527</v>
      </c>
      <c r="C11" s="94" t="s">
        <v>1528</v>
      </c>
      <c r="D11" s="208" t="s">
        <v>1529</v>
      </c>
      <c r="E11" s="110"/>
      <c r="F11" s="110"/>
      <c r="G11" s="110"/>
      <c r="H11" s="111"/>
    </row>
    <row r="12" spans="1:8" ht="28.05" customHeight="1">
      <c r="A12" s="96">
        <v>4</v>
      </c>
      <c r="B12" s="209" t="s">
        <v>1530</v>
      </c>
      <c r="C12" s="97" t="s">
        <v>1531</v>
      </c>
      <c r="D12" s="206" t="s">
        <v>1447</v>
      </c>
      <c r="E12" s="110"/>
      <c r="F12" s="110"/>
      <c r="G12" s="110"/>
      <c r="H12" s="111"/>
    </row>
    <row r="13" spans="1:8" ht="28.05" customHeight="1">
      <c r="A13" s="93">
        <v>5</v>
      </c>
      <c r="B13" s="205" t="s">
        <v>1532</v>
      </c>
      <c r="C13" s="94" t="s">
        <v>1533</v>
      </c>
      <c r="D13" s="208" t="s">
        <v>1534</v>
      </c>
      <c r="E13" s="110"/>
      <c r="F13" s="110"/>
      <c r="G13" s="110"/>
      <c r="H13" s="111"/>
    </row>
    <row r="14" spans="1:8" ht="28.05" customHeight="1">
      <c r="A14" s="96">
        <v>6</v>
      </c>
      <c r="B14" s="209" t="s">
        <v>1535</v>
      </c>
      <c r="C14" s="97" t="s">
        <v>1536</v>
      </c>
      <c r="D14" s="206" t="s">
        <v>1537</v>
      </c>
      <c r="E14" s="110"/>
      <c r="F14" s="110"/>
      <c r="G14" s="110"/>
      <c r="H14" s="111"/>
    </row>
    <row r="15" spans="1:8" ht="28.05" customHeight="1">
      <c r="A15" s="93">
        <v>7</v>
      </c>
      <c r="B15" s="205" t="s">
        <v>1538</v>
      </c>
      <c r="C15" s="94" t="s">
        <v>1539</v>
      </c>
      <c r="D15" s="208" t="s">
        <v>1540</v>
      </c>
      <c r="E15" s="110"/>
      <c r="F15" s="110"/>
      <c r="G15" s="110"/>
      <c r="H15" s="111"/>
    </row>
    <row r="17" spans="1:8" ht="31.95" customHeight="1">
      <c r="A17" s="171" t="s">
        <v>1439</v>
      </c>
      <c r="B17" s="119"/>
      <c r="C17" s="119"/>
      <c r="D17" s="119"/>
      <c r="E17" s="119"/>
      <c r="F17" s="119"/>
      <c r="G17" s="119"/>
      <c r="H17" s="119"/>
    </row>
    <row r="18" spans="1:8" ht="49.95" customHeight="1">
      <c r="A18" s="204" t="s">
        <v>1541</v>
      </c>
      <c r="B18" s="130"/>
      <c r="C18" s="130"/>
      <c r="D18" s="130"/>
      <c r="E18" s="130"/>
      <c r="F18" s="130"/>
      <c r="G18" s="130"/>
      <c r="H18" s="131"/>
    </row>
  </sheetData>
  <mergeCells count="22">
    <mergeCell ref="A18:H18"/>
    <mergeCell ref="B12"/>
    <mergeCell ref="A2:H2"/>
    <mergeCell ref="B11"/>
    <mergeCell ref="A5:H5"/>
    <mergeCell ref="B14"/>
    <mergeCell ref="D9:H9"/>
    <mergeCell ref="A17:H17"/>
    <mergeCell ref="A4:H4"/>
    <mergeCell ref="D12:H12"/>
    <mergeCell ref="D8:H8"/>
    <mergeCell ref="D15:H15"/>
    <mergeCell ref="B13"/>
    <mergeCell ref="B10"/>
    <mergeCell ref="D14:H14"/>
    <mergeCell ref="B9"/>
    <mergeCell ref="D10:H10"/>
    <mergeCell ref="B15"/>
    <mergeCell ref="A1:H1"/>
    <mergeCell ref="A7:H7"/>
    <mergeCell ref="D11:H11"/>
    <mergeCell ref="D13:H13"/>
  </mergeCells>
  <pageMargins left="0.75" right="0.75" top="1" bottom="1" header="0.5" footer="0.5"/>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dimension ref="A1:H17"/>
  <sheetViews>
    <sheetView rightToLeft="1" workbookViewId="0">
      <pane ySplit="1" topLeftCell="A2" activePane="bottomLeft" state="frozen"/>
      <selection pane="bottomLeft"/>
    </sheetView>
  </sheetViews>
  <sheetFormatPr defaultRowHeight="14.4"/>
  <cols>
    <col min="1" max="1" width="6" customWidth="1"/>
    <col min="2" max="2" width="28" customWidth="1"/>
    <col min="3" max="4" width="18" customWidth="1"/>
    <col min="5" max="8" width="14" customWidth="1"/>
  </cols>
  <sheetData>
    <row r="1" spans="1:8" ht="46.05" customHeight="1">
      <c r="A1" s="217" t="s">
        <v>1542</v>
      </c>
      <c r="B1" s="116"/>
      <c r="C1" s="116"/>
      <c r="D1" s="116"/>
      <c r="E1" s="116"/>
      <c r="F1" s="116"/>
      <c r="G1" s="116"/>
      <c r="H1" s="116"/>
    </row>
    <row r="2" spans="1:8" ht="31.95" customHeight="1">
      <c r="A2" s="210" t="s">
        <v>1543</v>
      </c>
      <c r="B2" s="119"/>
      <c r="C2" s="119"/>
      <c r="D2" s="119"/>
      <c r="E2" s="119"/>
      <c r="F2" s="119"/>
      <c r="G2" s="119"/>
      <c r="H2" s="119"/>
    </row>
    <row r="4" spans="1:8" ht="31.95" customHeight="1">
      <c r="A4" s="142" t="s">
        <v>1413</v>
      </c>
      <c r="B4" s="119"/>
      <c r="C4" s="119"/>
      <c r="D4" s="119"/>
      <c r="E4" s="119"/>
      <c r="F4" s="119"/>
      <c r="G4" s="119"/>
      <c r="H4" s="119"/>
    </row>
    <row r="5" spans="1:8" ht="43.95" customHeight="1">
      <c r="A5" s="211" t="s">
        <v>1544</v>
      </c>
      <c r="B5" s="119"/>
      <c r="C5" s="119"/>
      <c r="D5" s="119"/>
      <c r="E5" s="119"/>
      <c r="F5" s="119"/>
      <c r="G5" s="119"/>
      <c r="H5" s="119"/>
    </row>
    <row r="7" spans="1:8" ht="31.95" customHeight="1">
      <c r="A7" s="165" t="s">
        <v>1415</v>
      </c>
      <c r="B7" s="119"/>
      <c r="C7" s="119"/>
      <c r="D7" s="119"/>
      <c r="E7" s="119"/>
      <c r="F7" s="119"/>
      <c r="G7" s="119"/>
      <c r="H7" s="119"/>
    </row>
    <row r="8" spans="1:8" ht="30" customHeight="1">
      <c r="A8" s="21" t="s">
        <v>412</v>
      </c>
      <c r="B8" s="21" t="s">
        <v>132</v>
      </c>
      <c r="C8" s="21" t="s">
        <v>74</v>
      </c>
      <c r="D8" s="119"/>
      <c r="E8" s="119"/>
      <c r="F8" s="119"/>
      <c r="G8" s="119"/>
      <c r="H8" s="119"/>
    </row>
    <row r="9" spans="1:8" ht="28.05" customHeight="1">
      <c r="A9" s="93">
        <v>1</v>
      </c>
      <c r="B9" s="205" t="s">
        <v>603</v>
      </c>
      <c r="C9" s="94" t="s">
        <v>1545</v>
      </c>
      <c r="D9" s="208" t="s">
        <v>29</v>
      </c>
      <c r="E9" s="110"/>
      <c r="F9" s="110"/>
      <c r="G9" s="110"/>
      <c r="H9" s="111"/>
    </row>
    <row r="10" spans="1:8" ht="28.05" customHeight="1">
      <c r="A10" s="96">
        <v>2</v>
      </c>
      <c r="B10" s="209" t="s">
        <v>1546</v>
      </c>
      <c r="C10" s="97" t="s">
        <v>1547</v>
      </c>
      <c r="D10" s="206" t="s">
        <v>35</v>
      </c>
      <c r="E10" s="110"/>
      <c r="F10" s="110"/>
      <c r="G10" s="110"/>
      <c r="H10" s="111"/>
    </row>
    <row r="11" spans="1:8" ht="28.05" customHeight="1">
      <c r="A11" s="93">
        <v>3</v>
      </c>
      <c r="B11" s="205" t="s">
        <v>1548</v>
      </c>
      <c r="C11" s="94" t="s">
        <v>1549</v>
      </c>
      <c r="D11" s="208" t="s">
        <v>1550</v>
      </c>
      <c r="E11" s="110"/>
      <c r="F11" s="110"/>
      <c r="G11" s="110"/>
      <c r="H11" s="111"/>
    </row>
    <row r="12" spans="1:8" ht="28.05" customHeight="1">
      <c r="A12" s="96">
        <v>4</v>
      </c>
      <c r="B12" s="209" t="s">
        <v>1551</v>
      </c>
      <c r="C12" s="97" t="s">
        <v>1552</v>
      </c>
      <c r="D12" s="206" t="s">
        <v>35</v>
      </c>
      <c r="E12" s="110"/>
      <c r="F12" s="110"/>
      <c r="G12" s="110"/>
      <c r="H12" s="111"/>
    </row>
    <row r="13" spans="1:8" ht="28.05" customHeight="1">
      <c r="A13" s="93">
        <v>5</v>
      </c>
      <c r="B13" s="205" t="s">
        <v>1523</v>
      </c>
      <c r="C13" s="94" t="s">
        <v>1553</v>
      </c>
      <c r="D13" s="208" t="s">
        <v>1554</v>
      </c>
      <c r="E13" s="110"/>
      <c r="F13" s="110"/>
      <c r="G13" s="110"/>
      <c r="H13" s="111"/>
    </row>
    <row r="14" spans="1:8" ht="28.05" customHeight="1">
      <c r="A14" s="96">
        <v>6</v>
      </c>
      <c r="B14" s="209" t="s">
        <v>1538</v>
      </c>
      <c r="C14" s="97" t="s">
        <v>1555</v>
      </c>
      <c r="D14" s="206" t="s">
        <v>35</v>
      </c>
      <c r="E14" s="110"/>
      <c r="F14" s="110"/>
      <c r="G14" s="110"/>
      <c r="H14" s="111"/>
    </row>
    <row r="16" spans="1:8" ht="31.95" customHeight="1">
      <c r="A16" s="171" t="s">
        <v>1439</v>
      </c>
      <c r="B16" s="119"/>
      <c r="C16" s="119"/>
      <c r="D16" s="119"/>
      <c r="E16" s="119"/>
      <c r="F16" s="119"/>
      <c r="G16" s="119"/>
      <c r="H16" s="119"/>
    </row>
    <row r="17" spans="1:8" ht="49.95" customHeight="1">
      <c r="A17" s="204" t="s">
        <v>1556</v>
      </c>
      <c r="B17" s="130"/>
      <c r="C17" s="130"/>
      <c r="D17" s="130"/>
      <c r="E17" s="130"/>
      <c r="F17" s="130"/>
      <c r="G17" s="130"/>
      <c r="H17" s="131"/>
    </row>
  </sheetData>
  <mergeCells count="20">
    <mergeCell ref="A17:H17"/>
    <mergeCell ref="A4:H4"/>
    <mergeCell ref="D12:H12"/>
    <mergeCell ref="D8:H8"/>
    <mergeCell ref="B13"/>
    <mergeCell ref="B10"/>
    <mergeCell ref="D14:H14"/>
    <mergeCell ref="B9"/>
    <mergeCell ref="D10:H10"/>
    <mergeCell ref="A1:H1"/>
    <mergeCell ref="A7:H7"/>
    <mergeCell ref="A16:H16"/>
    <mergeCell ref="D11:H11"/>
    <mergeCell ref="D13:H13"/>
    <mergeCell ref="B12"/>
    <mergeCell ref="A2:H2"/>
    <mergeCell ref="B11"/>
    <mergeCell ref="A5:H5"/>
    <mergeCell ref="B14"/>
    <mergeCell ref="D9:H9"/>
  </mergeCells>
  <pageMargins left="0.75" right="0.75" top="1" bottom="1" header="0.5" footer="0.5"/>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dimension ref="A1:H18"/>
  <sheetViews>
    <sheetView rightToLeft="1" workbookViewId="0">
      <pane ySplit="1" topLeftCell="A9" activePane="bottomLeft" state="frozen"/>
      <selection pane="bottomLeft" sqref="A1:H1"/>
    </sheetView>
  </sheetViews>
  <sheetFormatPr defaultRowHeight="14.4"/>
  <cols>
    <col min="1" max="1" width="6" customWidth="1"/>
    <col min="2" max="2" width="28" customWidth="1"/>
    <col min="3" max="4" width="18" customWidth="1"/>
    <col min="5" max="8" width="14" customWidth="1"/>
  </cols>
  <sheetData>
    <row r="1" spans="1:8" ht="46.05" customHeight="1">
      <c r="A1" s="218" t="s">
        <v>1557</v>
      </c>
      <c r="B1" s="116"/>
      <c r="C1" s="116"/>
      <c r="D1" s="116"/>
      <c r="E1" s="116"/>
      <c r="F1" s="116"/>
      <c r="G1" s="116"/>
      <c r="H1" s="116"/>
    </row>
    <row r="2" spans="1:8" ht="31.95" customHeight="1">
      <c r="A2" s="210" t="s">
        <v>1558</v>
      </c>
      <c r="B2" s="119"/>
      <c r="C2" s="119"/>
      <c r="D2" s="119"/>
      <c r="E2" s="119"/>
      <c r="F2" s="119"/>
      <c r="G2" s="119"/>
      <c r="H2" s="119"/>
    </row>
    <row r="4" spans="1:8" ht="31.95" customHeight="1">
      <c r="A4" s="142" t="s">
        <v>1413</v>
      </c>
      <c r="B4" s="119"/>
      <c r="C4" s="119"/>
      <c r="D4" s="119"/>
      <c r="E4" s="119"/>
      <c r="F4" s="119"/>
      <c r="G4" s="119"/>
      <c r="H4" s="119"/>
    </row>
    <row r="5" spans="1:8" ht="43.95" customHeight="1">
      <c r="A5" s="211" t="s">
        <v>1559</v>
      </c>
      <c r="B5" s="119"/>
      <c r="C5" s="119"/>
      <c r="D5" s="119"/>
      <c r="E5" s="119"/>
      <c r="F5" s="119"/>
      <c r="G5" s="119"/>
      <c r="H5" s="119"/>
    </row>
    <row r="7" spans="1:8" ht="31.95" customHeight="1">
      <c r="A7" s="165" t="s">
        <v>1415</v>
      </c>
      <c r="B7" s="119"/>
      <c r="C7" s="119"/>
      <c r="D7" s="119"/>
      <c r="E7" s="119"/>
      <c r="F7" s="119"/>
      <c r="G7" s="119"/>
      <c r="H7" s="119"/>
    </row>
    <row r="8" spans="1:8" ht="30" customHeight="1">
      <c r="A8" s="21" t="s">
        <v>412</v>
      </c>
      <c r="B8" s="21" t="s">
        <v>132</v>
      </c>
      <c r="C8" s="21" t="s">
        <v>74</v>
      </c>
      <c r="D8" s="119"/>
      <c r="E8" s="119"/>
      <c r="F8" s="119"/>
      <c r="G8" s="119"/>
      <c r="H8" s="119"/>
    </row>
    <row r="9" spans="1:8" ht="28.05" customHeight="1">
      <c r="A9" s="93">
        <v>1</v>
      </c>
      <c r="B9" s="205" t="s">
        <v>1560</v>
      </c>
      <c r="C9" s="94" t="s">
        <v>1561</v>
      </c>
      <c r="D9" s="208" t="s">
        <v>1562</v>
      </c>
      <c r="E9" s="110"/>
      <c r="F9" s="110"/>
      <c r="G9" s="110"/>
      <c r="H9" s="111"/>
    </row>
    <row r="10" spans="1:8" ht="28.05" customHeight="1">
      <c r="A10" s="96">
        <v>2</v>
      </c>
      <c r="B10" s="209" t="s">
        <v>1563</v>
      </c>
      <c r="C10" s="97" t="s">
        <v>1564</v>
      </c>
      <c r="D10" s="206" t="s">
        <v>35</v>
      </c>
      <c r="E10" s="110"/>
      <c r="F10" s="110"/>
      <c r="G10" s="110"/>
      <c r="H10" s="111"/>
    </row>
    <row r="11" spans="1:8" ht="28.05" customHeight="1">
      <c r="A11" s="93">
        <v>3</v>
      </c>
      <c r="B11" s="205" t="s">
        <v>1565</v>
      </c>
      <c r="C11" s="94" t="s">
        <v>1566</v>
      </c>
      <c r="D11" s="208" t="s">
        <v>1562</v>
      </c>
      <c r="E11" s="110"/>
      <c r="F11" s="110"/>
      <c r="G11" s="110"/>
      <c r="H11" s="111"/>
    </row>
    <row r="12" spans="1:8" ht="28.05" customHeight="1">
      <c r="A12" s="96">
        <v>4</v>
      </c>
      <c r="B12" s="209" t="s">
        <v>1567</v>
      </c>
      <c r="C12" s="97" t="s">
        <v>1568</v>
      </c>
      <c r="D12" s="206" t="s">
        <v>35</v>
      </c>
      <c r="E12" s="110"/>
      <c r="F12" s="110"/>
      <c r="G12" s="110"/>
      <c r="H12" s="111"/>
    </row>
    <row r="13" spans="1:8" ht="28.05" customHeight="1">
      <c r="A13" s="93">
        <v>5</v>
      </c>
      <c r="B13" s="205" t="s">
        <v>1569</v>
      </c>
      <c r="C13" s="94" t="s">
        <v>1570</v>
      </c>
      <c r="D13" s="208" t="s">
        <v>1562</v>
      </c>
      <c r="E13" s="110"/>
      <c r="F13" s="110"/>
      <c r="G13" s="110"/>
      <c r="H13" s="111"/>
    </row>
    <row r="14" spans="1:8" ht="28.05" customHeight="1">
      <c r="A14" s="96">
        <v>6</v>
      </c>
      <c r="B14" s="209" t="s">
        <v>1571</v>
      </c>
      <c r="C14" s="97" t="s">
        <v>1572</v>
      </c>
      <c r="D14" s="206" t="s">
        <v>35</v>
      </c>
      <c r="E14" s="110"/>
      <c r="F14" s="110"/>
      <c r="G14" s="110"/>
      <c r="H14" s="111"/>
    </row>
    <row r="15" spans="1:8" ht="28.05" customHeight="1">
      <c r="A15" s="93">
        <v>7</v>
      </c>
      <c r="B15" s="205" t="s">
        <v>1573</v>
      </c>
      <c r="C15" s="94" t="s">
        <v>1574</v>
      </c>
      <c r="D15" s="208" t="s">
        <v>1575</v>
      </c>
      <c r="E15" s="110"/>
      <c r="F15" s="110"/>
      <c r="G15" s="110"/>
      <c r="H15" s="111"/>
    </row>
    <row r="17" spans="1:8" ht="31.95" customHeight="1">
      <c r="A17" s="171" t="s">
        <v>1439</v>
      </c>
      <c r="B17" s="119"/>
      <c r="C17" s="119"/>
      <c r="D17" s="119"/>
      <c r="E17" s="119"/>
      <c r="F17" s="119"/>
      <c r="G17" s="119"/>
      <c r="H17" s="119"/>
    </row>
    <row r="18" spans="1:8" ht="49.95" customHeight="1">
      <c r="A18" s="204" t="s">
        <v>1576</v>
      </c>
      <c r="B18" s="130"/>
      <c r="C18" s="130"/>
      <c r="D18" s="130"/>
      <c r="E18" s="130"/>
      <c r="F18" s="130"/>
      <c r="G18" s="130"/>
      <c r="H18" s="131"/>
    </row>
  </sheetData>
  <mergeCells count="22">
    <mergeCell ref="A18:H18"/>
    <mergeCell ref="B12"/>
    <mergeCell ref="A2:H2"/>
    <mergeCell ref="B11"/>
    <mergeCell ref="A5:H5"/>
    <mergeCell ref="B14"/>
    <mergeCell ref="D9:H9"/>
    <mergeCell ref="A17:H17"/>
    <mergeCell ref="A4:H4"/>
    <mergeCell ref="D12:H12"/>
    <mergeCell ref="D8:H8"/>
    <mergeCell ref="D15:H15"/>
    <mergeCell ref="B13"/>
    <mergeCell ref="B10"/>
    <mergeCell ref="D14:H14"/>
    <mergeCell ref="B9"/>
    <mergeCell ref="D10:H10"/>
    <mergeCell ref="B15"/>
    <mergeCell ref="A1:H1"/>
    <mergeCell ref="A7:H7"/>
    <mergeCell ref="D11:H11"/>
    <mergeCell ref="D13:H13"/>
  </mergeCells>
  <pageMargins left="0.75" right="0.75" top="1" bottom="1" header="0.5" footer="0.5"/>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dimension ref="A1:H34"/>
  <sheetViews>
    <sheetView rightToLeft="1" workbookViewId="0">
      <pane ySplit="1" topLeftCell="A22" activePane="bottomLeft" state="frozen"/>
      <selection pane="bottomLeft" sqref="A1:H1"/>
    </sheetView>
  </sheetViews>
  <sheetFormatPr defaultRowHeight="14.4"/>
  <cols>
    <col min="1" max="1" width="32" customWidth="1"/>
    <col min="2" max="2" width="18" customWidth="1"/>
    <col min="3" max="8" width="12" customWidth="1"/>
  </cols>
  <sheetData>
    <row r="1" spans="1:8" ht="46.05" customHeight="1">
      <c r="A1" s="152" t="s">
        <v>1577</v>
      </c>
      <c r="B1" s="116"/>
      <c r="C1" s="116"/>
      <c r="D1" s="116"/>
      <c r="E1" s="116"/>
      <c r="F1" s="116"/>
      <c r="G1" s="116"/>
      <c r="H1" s="116"/>
    </row>
    <row r="2" spans="1:8" ht="28.05" customHeight="1">
      <c r="A2" s="210" t="s">
        <v>1578</v>
      </c>
      <c r="B2" s="119"/>
      <c r="C2" s="119"/>
      <c r="D2" s="119"/>
      <c r="E2" s="119"/>
      <c r="F2" s="119"/>
      <c r="G2" s="119"/>
      <c r="H2" s="119"/>
    </row>
    <row r="4" spans="1:8" ht="31.95" customHeight="1">
      <c r="A4" s="142" t="s">
        <v>1579</v>
      </c>
      <c r="B4" s="119"/>
      <c r="C4" s="119"/>
      <c r="D4" s="119"/>
      <c r="E4" s="119"/>
      <c r="F4" s="119"/>
      <c r="G4" s="119"/>
      <c r="H4" s="119"/>
    </row>
    <row r="5" spans="1:8" ht="25.95" customHeight="1">
      <c r="A5" s="43" t="s">
        <v>1580</v>
      </c>
      <c r="B5" s="98">
        <v>4989300</v>
      </c>
      <c r="C5" s="219"/>
      <c r="D5" s="110"/>
      <c r="E5" s="110"/>
      <c r="F5" s="110"/>
      <c r="G5" s="110"/>
      <c r="H5" s="111"/>
    </row>
    <row r="6" spans="1:8" ht="25.95" customHeight="1">
      <c r="A6" s="43" t="s">
        <v>1581</v>
      </c>
      <c r="B6" s="100">
        <v>0.3</v>
      </c>
      <c r="C6" s="219" t="s">
        <v>1582</v>
      </c>
      <c r="D6" s="110"/>
      <c r="E6" s="110"/>
      <c r="F6" s="110"/>
      <c r="G6" s="110"/>
      <c r="H6" s="111"/>
    </row>
    <row r="7" spans="1:8" ht="25.95" customHeight="1">
      <c r="A7" s="43" t="s">
        <v>1583</v>
      </c>
      <c r="B7" s="101" t="s">
        <v>1584</v>
      </c>
      <c r="C7" s="219" t="s">
        <v>1585</v>
      </c>
      <c r="D7" s="110"/>
      <c r="E7" s="110"/>
      <c r="F7" s="110"/>
      <c r="G7" s="110"/>
      <c r="H7" s="111"/>
    </row>
    <row r="8" spans="1:8" ht="25.95" customHeight="1">
      <c r="A8" s="43" t="s">
        <v>1586</v>
      </c>
      <c r="B8" s="101" t="s">
        <v>1587</v>
      </c>
      <c r="C8" s="219" t="s">
        <v>1588</v>
      </c>
      <c r="D8" s="110"/>
      <c r="E8" s="110"/>
      <c r="F8" s="110"/>
      <c r="G8" s="110"/>
      <c r="H8" s="111"/>
    </row>
    <row r="9" spans="1:8" ht="25.95" customHeight="1">
      <c r="A9" s="43" t="s">
        <v>1589</v>
      </c>
      <c r="B9" s="100">
        <v>0.18</v>
      </c>
      <c r="C9" s="219" t="s">
        <v>179</v>
      </c>
      <c r="D9" s="110"/>
      <c r="E9" s="110"/>
      <c r="F9" s="110"/>
      <c r="G9" s="110"/>
      <c r="H9" s="111"/>
    </row>
    <row r="10" spans="1:8" ht="25.95" customHeight="1">
      <c r="A10" s="43" t="s">
        <v>1590</v>
      </c>
      <c r="B10" s="101">
        <v>20</v>
      </c>
      <c r="C10" s="219"/>
      <c r="D10" s="110"/>
      <c r="E10" s="110"/>
      <c r="F10" s="110"/>
      <c r="G10" s="110"/>
      <c r="H10" s="111"/>
    </row>
    <row r="11" spans="1:8" ht="25.95" customHeight="1">
      <c r="A11" s="43" t="s">
        <v>1591</v>
      </c>
      <c r="B11" s="100">
        <v>0.12</v>
      </c>
      <c r="C11" s="219" t="s">
        <v>1592</v>
      </c>
      <c r="D11" s="110"/>
      <c r="E11" s="110"/>
      <c r="F11" s="110"/>
      <c r="G11" s="110"/>
      <c r="H11" s="111"/>
    </row>
    <row r="12" spans="1:8" ht="25.95" customHeight="1">
      <c r="A12" s="43" t="s">
        <v>1593</v>
      </c>
      <c r="B12" s="100">
        <v>0.1</v>
      </c>
      <c r="C12" s="219" t="s">
        <v>1594</v>
      </c>
      <c r="D12" s="110"/>
      <c r="E12" s="110"/>
      <c r="F12" s="110"/>
      <c r="G12" s="110"/>
      <c r="H12" s="111"/>
    </row>
    <row r="14" spans="1:8" ht="31.95" customHeight="1">
      <c r="A14" s="165" t="s">
        <v>1595</v>
      </c>
      <c r="B14" s="119"/>
      <c r="C14" s="119"/>
      <c r="D14" s="119"/>
      <c r="E14" s="119"/>
      <c r="F14" s="119"/>
      <c r="G14" s="119"/>
      <c r="H14" s="119"/>
    </row>
    <row r="16" spans="1:8" ht="25.95" customHeight="1">
      <c r="A16" s="95" t="s">
        <v>1596</v>
      </c>
      <c r="B16" s="102" t="e">
        <f>PMT(B9/12,B10*12,-B8)</f>
        <v>#VALUE!</v>
      </c>
      <c r="C16" s="219" t="s">
        <v>1597</v>
      </c>
      <c r="D16" s="110"/>
      <c r="E16" s="110"/>
      <c r="F16" s="110"/>
      <c r="G16" s="110"/>
      <c r="H16" s="111"/>
    </row>
    <row r="17" spans="1:8" ht="25.95" customHeight="1">
      <c r="A17" s="95" t="s">
        <v>1598</v>
      </c>
      <c r="B17" s="102" t="s">
        <v>1599</v>
      </c>
      <c r="C17" s="219" t="s">
        <v>1600</v>
      </c>
      <c r="D17" s="110"/>
      <c r="E17" s="110"/>
      <c r="F17" s="110"/>
      <c r="G17" s="110"/>
      <c r="H17" s="111"/>
    </row>
    <row r="18" spans="1:8" ht="25.95" customHeight="1">
      <c r="A18" s="95" t="s">
        <v>1601</v>
      </c>
      <c r="B18" s="102" t="s">
        <v>1602</v>
      </c>
      <c r="C18" s="219" t="s">
        <v>1603</v>
      </c>
      <c r="D18" s="110"/>
      <c r="E18" s="110"/>
      <c r="F18" s="110"/>
      <c r="G18" s="110"/>
      <c r="H18" s="111"/>
    </row>
    <row r="19" spans="1:8" ht="25.95" customHeight="1">
      <c r="A19" s="95" t="s">
        <v>1604</v>
      </c>
      <c r="B19" s="102" t="s">
        <v>1605</v>
      </c>
      <c r="C19" s="219" t="s">
        <v>1606</v>
      </c>
      <c r="D19" s="110"/>
      <c r="E19" s="110"/>
      <c r="F19" s="110"/>
      <c r="G19" s="110"/>
      <c r="H19" s="111"/>
    </row>
    <row r="21" spans="1:8" ht="25.95" customHeight="1">
      <c r="A21" s="43" t="s">
        <v>1607</v>
      </c>
      <c r="B21" s="102"/>
      <c r="C21" s="219" t="s">
        <v>1608</v>
      </c>
      <c r="D21" s="110"/>
      <c r="E21" s="110"/>
      <c r="F21" s="110"/>
      <c r="G21" s="110"/>
      <c r="H21" s="111"/>
    </row>
    <row r="22" spans="1:8" ht="25.95" customHeight="1">
      <c r="A22" s="95" t="s">
        <v>1609</v>
      </c>
      <c r="B22" s="102" t="s">
        <v>1610</v>
      </c>
      <c r="C22" s="219" t="s">
        <v>1611</v>
      </c>
      <c r="D22" s="110"/>
      <c r="E22" s="110"/>
      <c r="F22" s="110"/>
      <c r="G22" s="110"/>
      <c r="H22" s="111"/>
    </row>
    <row r="23" spans="1:8" ht="25.95" customHeight="1">
      <c r="A23" s="95" t="s">
        <v>1612</v>
      </c>
      <c r="B23" s="102">
        <f>-FV(B11,B10,0,-B5)</f>
        <v>-48128250.130276695</v>
      </c>
      <c r="C23" s="219" t="s">
        <v>1613</v>
      </c>
      <c r="D23" s="110"/>
      <c r="E23" s="110"/>
      <c r="F23" s="110"/>
      <c r="G23" s="110"/>
      <c r="H23" s="111"/>
    </row>
    <row r="24" spans="1:8" ht="25.95" customHeight="1">
      <c r="A24" s="95" t="s">
        <v>1614</v>
      </c>
      <c r="B24" s="103" t="s">
        <v>1615</v>
      </c>
      <c r="C24" s="219" t="s">
        <v>1616</v>
      </c>
      <c r="D24" s="110"/>
      <c r="E24" s="110"/>
      <c r="F24" s="110"/>
      <c r="G24" s="110"/>
      <c r="H24" s="111"/>
    </row>
    <row r="26" spans="1:8" ht="25.95" customHeight="1">
      <c r="A26" s="43" t="s">
        <v>1617</v>
      </c>
      <c r="B26" s="102"/>
      <c r="C26" s="219" t="s">
        <v>1608</v>
      </c>
      <c r="D26" s="110"/>
      <c r="E26" s="110"/>
      <c r="F26" s="110"/>
      <c r="G26" s="110"/>
      <c r="H26" s="111"/>
    </row>
    <row r="27" spans="1:8" ht="25.95" customHeight="1">
      <c r="A27" s="95" t="s">
        <v>1618</v>
      </c>
      <c r="B27" s="102" t="s">
        <v>1619</v>
      </c>
      <c r="C27" s="219" t="s">
        <v>1620</v>
      </c>
      <c r="D27" s="110"/>
      <c r="E27" s="110"/>
      <c r="F27" s="110"/>
      <c r="G27" s="110"/>
      <c r="H27" s="111"/>
    </row>
    <row r="28" spans="1:8" ht="25.95" customHeight="1">
      <c r="A28" s="95" t="s">
        <v>1621</v>
      </c>
      <c r="B28" s="102" t="e">
        <f>-FV(B11,B10,0,-(B5-B7))</f>
        <v>#VALUE!</v>
      </c>
      <c r="C28" s="219" t="s">
        <v>1622</v>
      </c>
      <c r="D28" s="110"/>
      <c r="E28" s="110"/>
      <c r="F28" s="110"/>
      <c r="G28" s="110"/>
      <c r="H28" s="111"/>
    </row>
    <row r="29" spans="1:8" ht="25.95" customHeight="1">
      <c r="A29" s="95" t="s">
        <v>1614</v>
      </c>
      <c r="B29" s="103" t="s">
        <v>1623</v>
      </c>
      <c r="C29" s="219" t="s">
        <v>1624</v>
      </c>
      <c r="D29" s="110"/>
      <c r="E29" s="110"/>
      <c r="F29" s="110"/>
      <c r="G29" s="110"/>
      <c r="H29" s="111"/>
    </row>
    <row r="31" spans="1:8" ht="25.95" customHeight="1">
      <c r="A31" s="43" t="s">
        <v>1625</v>
      </c>
      <c r="B31" s="103" t="s">
        <v>1626</v>
      </c>
      <c r="C31" s="219" t="s">
        <v>1627</v>
      </c>
      <c r="D31" s="110"/>
      <c r="E31" s="110"/>
      <c r="F31" s="110"/>
      <c r="G31" s="110"/>
      <c r="H31" s="111"/>
    </row>
    <row r="33" spans="1:8" ht="31.95" customHeight="1">
      <c r="A33" s="171" t="s">
        <v>1628</v>
      </c>
      <c r="B33" s="119"/>
      <c r="C33" s="119"/>
      <c r="D33" s="119"/>
      <c r="E33" s="119"/>
      <c r="F33" s="119"/>
      <c r="G33" s="119"/>
      <c r="H33" s="119"/>
    </row>
    <row r="34" spans="1:8" ht="49.95" customHeight="1">
      <c r="A34" s="220" t="str">
        <f>IF(B30&gt;0,"⚠️ القرض أوفر — راجع المعادلات","✅ الكاش أوفر — راجع المعادلات")</f>
        <v>✅ الكاش أوفر — راجع المعادلات</v>
      </c>
      <c r="B34" s="130"/>
      <c r="C34" s="130"/>
      <c r="D34" s="130"/>
      <c r="E34" s="130"/>
      <c r="F34" s="130"/>
      <c r="G34" s="130"/>
      <c r="H34" s="131"/>
    </row>
  </sheetData>
  <mergeCells count="27">
    <mergeCell ref="A34:H34"/>
    <mergeCell ref="A33:H33"/>
    <mergeCell ref="A14:H14"/>
    <mergeCell ref="C18:H18"/>
    <mergeCell ref="A4:H4"/>
    <mergeCell ref="C6:H6"/>
    <mergeCell ref="C24:H24"/>
    <mergeCell ref="C5:H5"/>
    <mergeCell ref="C26:H26"/>
    <mergeCell ref="C29:H29"/>
    <mergeCell ref="A1:H1"/>
    <mergeCell ref="C12:H12"/>
    <mergeCell ref="C21:H21"/>
    <mergeCell ref="C11:H11"/>
    <mergeCell ref="C27:H27"/>
    <mergeCell ref="C23:H23"/>
    <mergeCell ref="C8:H8"/>
    <mergeCell ref="C17:H17"/>
    <mergeCell ref="C7:H7"/>
    <mergeCell ref="C19:H19"/>
    <mergeCell ref="A2:H2"/>
    <mergeCell ref="C10:H10"/>
    <mergeCell ref="C16:H16"/>
    <mergeCell ref="C22:H22"/>
    <mergeCell ref="C9:H9"/>
    <mergeCell ref="C31:H31"/>
    <mergeCell ref="C28:H28"/>
  </mergeCells>
  <pageMargins left="0.75" right="0.75" top="1" bottom="1" header="0.5" footer="0.5"/>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dimension ref="A1:L1"/>
  <sheetViews>
    <sheetView showGridLines="0" rightToLeft="1" workbookViewId="0">
      <selection sqref="A1:L1"/>
    </sheetView>
  </sheetViews>
  <sheetFormatPr defaultRowHeight="14.4"/>
  <cols>
    <col min="1" max="12" width="14" customWidth="1"/>
  </cols>
  <sheetData>
    <row r="1" spans="1:12" ht="46.05" customHeight="1">
      <c r="A1" s="152" t="s">
        <v>1629</v>
      </c>
      <c r="B1" s="116"/>
      <c r="C1" s="116"/>
      <c r="D1" s="116"/>
      <c r="E1" s="116"/>
      <c r="F1" s="116"/>
      <c r="G1" s="116"/>
      <c r="H1" s="116"/>
      <c r="I1" s="116"/>
      <c r="J1" s="116"/>
      <c r="K1" s="116"/>
      <c r="L1" s="116"/>
    </row>
  </sheetData>
  <mergeCells count="1">
    <mergeCell ref="A1:L1"/>
  </mergeCells>
  <pageMargins left="0.75" right="0.75" top="1" bottom="1" header="0.5" footer="0.5"/>
  <drawing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dimension ref="A1:L1"/>
  <sheetViews>
    <sheetView showGridLines="0" rightToLeft="1" workbookViewId="0">
      <selection sqref="A1:L1"/>
    </sheetView>
  </sheetViews>
  <sheetFormatPr defaultRowHeight="14.4"/>
  <cols>
    <col min="1" max="12" width="14" customWidth="1"/>
  </cols>
  <sheetData>
    <row r="1" spans="1:12" ht="46.05" customHeight="1">
      <c r="A1" s="152" t="s">
        <v>1630</v>
      </c>
      <c r="B1" s="116"/>
      <c r="C1" s="116"/>
      <c r="D1" s="116"/>
      <c r="E1" s="116"/>
      <c r="F1" s="116"/>
      <c r="G1" s="116"/>
      <c r="H1" s="116"/>
      <c r="I1" s="116"/>
      <c r="J1" s="116"/>
      <c r="K1" s="116"/>
      <c r="L1" s="116"/>
    </row>
  </sheetData>
  <mergeCells count="1">
    <mergeCell ref="A1:L1"/>
  </mergeCells>
  <pageMargins left="0.75" right="0.75" top="1" bottom="1" header="0.5" footer="0.5"/>
  <drawing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dimension ref="A1:L1"/>
  <sheetViews>
    <sheetView showGridLines="0" rightToLeft="1" workbookViewId="0">
      <selection sqref="A1:L1"/>
    </sheetView>
  </sheetViews>
  <sheetFormatPr defaultRowHeight="14.4"/>
  <cols>
    <col min="1" max="12" width="14" customWidth="1"/>
  </cols>
  <sheetData>
    <row r="1" spans="1:12" ht="46.05" customHeight="1">
      <c r="A1" s="152" t="s">
        <v>1631</v>
      </c>
      <c r="B1" s="116"/>
      <c r="C1" s="116"/>
      <c r="D1" s="116"/>
      <c r="E1" s="116"/>
      <c r="F1" s="116"/>
      <c r="G1" s="116"/>
      <c r="H1" s="116"/>
      <c r="I1" s="116"/>
      <c r="J1" s="116"/>
      <c r="K1" s="116"/>
      <c r="L1" s="116"/>
    </row>
  </sheetData>
  <mergeCells count="1">
    <mergeCell ref="A1:L1"/>
  </mergeCells>
  <pageMargins left="0.75" right="0.75" top="1" bottom="1" header="0.5" footer="0.5"/>
  <drawing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dimension ref="A1:L1"/>
  <sheetViews>
    <sheetView showGridLines="0" rightToLeft="1" workbookViewId="0">
      <selection sqref="A1:L1"/>
    </sheetView>
  </sheetViews>
  <sheetFormatPr defaultRowHeight="14.4"/>
  <cols>
    <col min="1" max="12" width="14" customWidth="1"/>
  </cols>
  <sheetData>
    <row r="1" spans="1:12" ht="46.05" customHeight="1">
      <c r="A1" s="152" t="s">
        <v>1632</v>
      </c>
      <c r="B1" s="116"/>
      <c r="C1" s="116"/>
      <c r="D1" s="116"/>
      <c r="E1" s="116"/>
      <c r="F1" s="116"/>
      <c r="G1" s="116"/>
      <c r="H1" s="116"/>
      <c r="I1" s="116"/>
      <c r="J1" s="116"/>
      <c r="K1" s="116"/>
      <c r="L1" s="116"/>
    </row>
  </sheetData>
  <mergeCells count="1">
    <mergeCell ref="A1:L1"/>
  </mergeCells>
  <pageMargins left="0.75" right="0.75" top="1" bottom="1" header="0.5" footer="0.5"/>
  <drawing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dimension ref="A1:L1"/>
  <sheetViews>
    <sheetView showGridLines="0" rightToLeft="1" tabSelected="1" workbookViewId="0">
      <selection sqref="A1:L1"/>
    </sheetView>
  </sheetViews>
  <sheetFormatPr defaultRowHeight="14.4"/>
  <cols>
    <col min="1" max="12" width="14" customWidth="1"/>
  </cols>
  <sheetData>
    <row r="1" spans="1:12" ht="46.05" customHeight="1">
      <c r="A1" s="152" t="s">
        <v>1633</v>
      </c>
      <c r="B1" s="116"/>
      <c r="C1" s="116"/>
      <c r="D1" s="116"/>
      <c r="E1" s="116"/>
      <c r="F1" s="116"/>
      <c r="G1" s="116"/>
      <c r="H1" s="116"/>
      <c r="I1" s="116"/>
      <c r="J1" s="116"/>
      <c r="K1" s="116"/>
      <c r="L1" s="116"/>
    </row>
  </sheetData>
  <mergeCells count="1">
    <mergeCell ref="A1:L1"/>
  </mergeCells>
  <pageMargins left="0.75" right="0.75" top="1" bottom="1" header="0.5" footer="0.5"/>
  <drawing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dimension ref="A1:L1"/>
  <sheetViews>
    <sheetView showGridLines="0" rightToLeft="1" workbookViewId="0"/>
  </sheetViews>
  <sheetFormatPr defaultRowHeight="14.4"/>
  <cols>
    <col min="1" max="12" width="14" customWidth="1"/>
  </cols>
  <sheetData>
    <row r="1" spans="1:12" ht="46.05" customHeight="1">
      <c r="A1" s="152" t="s">
        <v>1634</v>
      </c>
      <c r="B1" s="116"/>
      <c r="C1" s="116"/>
      <c r="D1" s="116"/>
      <c r="E1" s="116"/>
      <c r="F1" s="116"/>
      <c r="G1" s="116"/>
      <c r="H1" s="116"/>
      <c r="I1" s="116"/>
      <c r="J1" s="116"/>
      <c r="K1" s="116"/>
      <c r="L1" s="116"/>
    </row>
  </sheetData>
  <mergeCells count="1">
    <mergeCell ref="A1:L1"/>
  </mergeCells>
  <pageMargins left="0.75" right="0.75" top="1" bottom="1" header="0.5" footer="0.5"/>
  <drawing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dimension ref="A1:L1"/>
  <sheetViews>
    <sheetView showGridLines="0" rightToLeft="1" workbookViewId="0"/>
  </sheetViews>
  <sheetFormatPr defaultRowHeight="14.4"/>
  <cols>
    <col min="1" max="12" width="14" customWidth="1"/>
  </cols>
  <sheetData>
    <row r="1" spans="1:12" ht="46.05" customHeight="1">
      <c r="A1" s="152" t="s">
        <v>1635</v>
      </c>
      <c r="B1" s="116"/>
      <c r="C1" s="116"/>
      <c r="D1" s="116"/>
      <c r="E1" s="116"/>
      <c r="F1" s="116"/>
      <c r="G1" s="116"/>
      <c r="H1" s="116"/>
      <c r="I1" s="116"/>
      <c r="J1" s="116"/>
      <c r="K1" s="116"/>
      <c r="L1" s="116"/>
    </row>
  </sheetData>
  <mergeCells count="1">
    <mergeCell ref="A1:L1"/>
  </mergeCells>
  <pageMargins left="0.75" right="0.75" top="1" bottom="1" header="0.5" footer="0.5"/>
  <drawing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dimension ref="A1:L1"/>
  <sheetViews>
    <sheetView showGridLines="0" rightToLeft="1" workbookViewId="0"/>
  </sheetViews>
  <sheetFormatPr defaultRowHeight="14.4"/>
  <cols>
    <col min="1" max="12" width="14" customWidth="1"/>
  </cols>
  <sheetData>
    <row r="1" spans="1:12" ht="46.05" customHeight="1">
      <c r="A1" s="152" t="s">
        <v>1636</v>
      </c>
      <c r="B1" s="116"/>
      <c r="C1" s="116"/>
      <c r="D1" s="116"/>
      <c r="E1" s="116"/>
      <c r="F1" s="116"/>
      <c r="G1" s="116"/>
      <c r="H1" s="116"/>
      <c r="I1" s="116"/>
      <c r="J1" s="116"/>
      <c r="K1" s="116"/>
      <c r="L1" s="116"/>
    </row>
  </sheetData>
  <mergeCells count="1">
    <mergeCell ref="A1:L1"/>
  </mergeCells>
  <pageMargins left="0.75" right="0.75" top="1" bottom="1" header="0.5" footer="0.5"/>
  <drawing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dimension ref="A1:L1"/>
  <sheetViews>
    <sheetView showGridLines="0" rightToLeft="1" workbookViewId="0"/>
  </sheetViews>
  <sheetFormatPr defaultRowHeight="14.4"/>
  <cols>
    <col min="1" max="12" width="14" customWidth="1"/>
  </cols>
  <sheetData>
    <row r="1" spans="1:12" ht="46.05" customHeight="1">
      <c r="A1" s="152" t="s">
        <v>1637</v>
      </c>
      <c r="B1" s="116"/>
      <c r="C1" s="116"/>
      <c r="D1" s="116"/>
      <c r="E1" s="116"/>
      <c r="F1" s="116"/>
      <c r="G1" s="116"/>
      <c r="H1" s="116"/>
      <c r="I1" s="116"/>
      <c r="J1" s="116"/>
      <c r="K1" s="116"/>
      <c r="L1" s="116"/>
    </row>
  </sheetData>
  <mergeCells count="1">
    <mergeCell ref="A1:L1"/>
  </mergeCells>
  <pageMargins left="0.75" right="0.75" top="1" bottom="1" header="0.5" footer="0.5"/>
  <drawing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dimension ref="A1:L1"/>
  <sheetViews>
    <sheetView showGridLines="0" rightToLeft="1" workbookViewId="0"/>
  </sheetViews>
  <sheetFormatPr defaultRowHeight="14.4"/>
  <cols>
    <col min="1" max="12" width="14" customWidth="1"/>
  </cols>
  <sheetData>
    <row r="1" spans="1:12" ht="46.05" customHeight="1">
      <c r="A1" s="152" t="s">
        <v>1638</v>
      </c>
      <c r="B1" s="116"/>
      <c r="C1" s="116"/>
      <c r="D1" s="116"/>
      <c r="E1" s="116"/>
      <c r="F1" s="116"/>
      <c r="G1" s="116"/>
      <c r="H1" s="116"/>
      <c r="I1" s="116"/>
      <c r="J1" s="116"/>
      <c r="K1" s="116"/>
      <c r="L1" s="116"/>
    </row>
  </sheetData>
  <mergeCells count="1">
    <mergeCell ref="A1:L1"/>
  </mergeCells>
  <pageMargins left="0.75" right="0.75" top="1" bottom="1" header="0.5" footer="0.5"/>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44</vt:i4>
      </vt:variant>
    </vt:vector>
  </HeadingPairs>
  <TitlesOfParts>
    <vt:vector size="44" baseType="lpstr">
      <vt:lpstr>ملخص تنفيذى</vt:lpstr>
      <vt:lpstr>🧠 الخريطة الذهنية للمنهجية</vt:lpstr>
      <vt:lpstr>🌟 الخريطة الذهنية للنتائج</vt:lpstr>
      <vt:lpstr>الافتراضات والمدخلات</vt:lpstr>
      <vt:lpstr>التقرير</vt:lpstr>
      <vt:lpstr>مقارنات البيوع</vt:lpstr>
      <vt:lpstr>المقارنات الإيجارية</vt:lpstr>
      <vt:lpstr>طريقة التكلفة</vt:lpstr>
      <vt:lpstr>رأسمالة الدخل</vt:lpstr>
      <vt:lpstr>التحليل المكاني</vt:lpstr>
      <vt:lpstr>الانحدار المتعدد</vt:lpstr>
      <vt:lpstr>الخيارات الحقيقية</vt:lpstr>
      <vt:lpstr>توفيق النتائج</vt:lpstr>
      <vt:lpstr>محددات التقييم</vt:lpstr>
      <vt:lpstr>شهادة</vt:lpstr>
      <vt:lpstr>لوحة القيادة التنفيذية</vt:lpstr>
      <vt:lpstr>مصادر البيانات والمنهجية</vt:lpstr>
      <vt:lpstr>DCF — التدفقات النقدية</vt:lpstr>
      <vt:lpstr>ANN — الشبكات العصبية</vt:lpstr>
      <vt:lpstr>ARIMA — السلاسل الزمنية</vt:lpstr>
      <vt:lpstr>الإيجار مقابل الشراء</vt:lpstr>
      <vt:lpstr>أفضل وأعلى استخدام — HABU</vt:lpstr>
      <vt:lpstr>استخبارات السوق — MI</vt:lpstr>
      <vt:lpstr>📊 تحليل الحساسية</vt:lpstr>
      <vt:lpstr>🎯 مصفوفة SWOT</vt:lpstr>
      <vt:lpstr>📊 Hedonic Pricing</vt:lpstr>
      <vt:lpstr>📈 Gordon Growth</vt:lpstr>
      <vt:lpstr>🔁 Repeat Sales</vt:lpstr>
      <vt:lpstr>💰 DCF + Options</vt:lpstr>
      <vt:lpstr>🎲 Monte Carlo</vt:lpstr>
      <vt:lpstr>🏗️ RCNLD</vt:lpstr>
      <vt:lpstr>🏛️ Reproduction Cost</vt:lpstr>
      <vt:lpstr>🎯 Expected Utility</vt:lpstr>
      <vt:lpstr>💰 الاقتراض والكاش</vt:lpstr>
      <vt:lpstr>📈 CHOROPLETH</vt:lpstr>
      <vt:lpstr>📈 VORONOI</vt:lpstr>
      <vt:lpstr>📈 3D_SURFACE</vt:lpstr>
      <vt:lpstr>📈 SANKEY</vt:lpstr>
      <vt:lpstr>📈 GANTT</vt:lpstr>
      <vt:lpstr>📈 RISK_HEATMAP</vt:lpstr>
      <vt:lpstr>📈 COHORT</vt:lpstr>
      <vt:lpstr>📈 DECISION_TREE</vt:lpstr>
      <vt:lpstr>📈 TORNADO</vt:lpstr>
      <vt:lpstr>📈 RADAR_COMPARE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Lenovo</dc:creator>
  <cp:lastModifiedBy>Mo Elmahdy</cp:lastModifiedBy>
  <dcterms:created xsi:type="dcterms:W3CDTF">2026-04-12T09:53:04Z</dcterms:created>
  <dcterms:modified xsi:type="dcterms:W3CDTF">2026-05-10T20:42:57Z</dcterms:modified>
</cp:coreProperties>
</file>