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4820" activeTab="1"/>
  </bookViews>
  <sheets>
    <sheet name="APP拉新-留存" sheetId="1" r:id="rId1"/>
    <sheet name="APP转化" sheetId="2" r:id="rId2"/>
    <sheet name="WEB来源数据" sheetId="3" r:id="rId3"/>
    <sheet name="WEB转化" sheetId="4" r:id="rId4"/>
    <sheet name="APP天数据-GP|AS" sheetId="5" r:id="rId5"/>
  </sheets>
  <definedNames>
    <definedName name="_xlnm._FilterDatabase" localSheetId="0" hidden="1">'APP拉新-留存'!$A$3:$AJ$174</definedName>
    <definedName name="_xlnm._FilterDatabase" localSheetId="1" hidden="1">APP转化!$A$4:$BO$175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<sst xmlns="http://schemas.openxmlformats.org/spreadsheetml/2006/main" count="1988" uniqueCount="228">
  <si>
    <t>BI</t>
  </si>
  <si>
    <t>gp后台</t>
  </si>
  <si>
    <t>aso工具</t>
  </si>
  <si>
    <t>AS后台</t>
  </si>
  <si>
    <t>AF</t>
  </si>
  <si>
    <t>手机端安卓IOS访问网页用户数</t>
  </si>
  <si>
    <t>BI手动</t>
  </si>
  <si>
    <t>APP自然北极星</t>
  </si>
  <si>
    <t>APP留存</t>
  </si>
  <si>
    <t>Google play</t>
  </si>
  <si>
    <t>AppleStore</t>
  </si>
  <si>
    <t>FX官网</t>
  </si>
  <si>
    <t>周数</t>
  </si>
  <si>
    <t>地区</t>
  </si>
  <si>
    <t>自然北极星</t>
  </si>
  <si>
    <t>自然下载</t>
  </si>
  <si>
    <t>老用户日活</t>
  </si>
  <si>
    <t>下载/日活</t>
  </si>
  <si>
    <t>自然次留</t>
  </si>
  <si>
    <t>自然次留率</t>
  </si>
  <si>
    <t>自然日活</t>
  </si>
  <si>
    <t>北极星/日活</t>
  </si>
  <si>
    <t>google下载页面访问量</t>
  </si>
  <si>
    <t>Google安装量</t>
  </si>
  <si>
    <t>关键词TOP3量</t>
  </si>
  <si>
    <t>关键词覆盖量</t>
  </si>
  <si>
    <t>apple下载页面访问量</t>
  </si>
  <si>
    <t>Apple安装量</t>
  </si>
  <si>
    <t>AF官网自然下载</t>
  </si>
  <si>
    <t>官网手机端自然uv</t>
  </si>
  <si>
    <t>下载资源位点击人数</t>
  </si>
  <si>
    <t>下载资源位点击率</t>
  </si>
  <si>
    <t>2025-6/30~7/4</t>
  </si>
  <si>
    <t>印度/巴基斯坦</t>
  </si>
  <si>
    <t>\N</t>
  </si>
  <si>
    <t>印尼</t>
  </si>
  <si>
    <t>总计</t>
  </si>
  <si>
    <t>2025-7/7~7/11</t>
  </si>
  <si>
    <t>2025-7/14~7/18</t>
  </si>
  <si>
    <t>2025-7/21~7/25</t>
  </si>
  <si>
    <t>2025-7/28~8/1</t>
  </si>
  <si>
    <t>2025-8/4~8/8</t>
  </si>
  <si>
    <t>2025-8/11~8/15</t>
  </si>
  <si>
    <t>2025-8/18~8/22</t>
  </si>
  <si>
    <t>2025-8/25~8/29</t>
  </si>
  <si>
    <t>2025-9/1~9/5</t>
  </si>
  <si>
    <t>2025-9/8~9/12</t>
  </si>
  <si>
    <t>2025-9/15~9/19</t>
  </si>
  <si>
    <t>2025-9/22~9/26</t>
  </si>
  <si>
    <t>2025-9/29~10/3</t>
  </si>
  <si>
    <t>2025-10/6~10/10</t>
  </si>
  <si>
    <t>2025-10/13~10/17</t>
  </si>
  <si>
    <t>高下载低次留</t>
  </si>
  <si>
    <t>apple安装量急速下降</t>
  </si>
  <si>
    <t>2025-10/20~10/24</t>
  </si>
  <si>
    <t>2025-10/27~10/31</t>
  </si>
  <si>
    <t>2025-11/3~11/7</t>
  </si>
  <si>
    <t>2025-11/10~11/14</t>
  </si>
  <si>
    <t>2025-11/17~11/21</t>
  </si>
  <si>
    <t>2025-11/24~11/28</t>
  </si>
  <si>
    <t>2025-12/1~12/5</t>
  </si>
  <si>
    <t>2025-12/8~12/12</t>
  </si>
  <si>
    <t>2025-12/15~12/19</t>
  </si>
  <si>
    <t>2025-12/22~12/26</t>
  </si>
  <si>
    <t>2025-12/29~2026-1/2</t>
  </si>
  <si>
    <t>2026-1/5~1/9</t>
  </si>
  <si>
    <t>2026-1/12~1/16</t>
  </si>
  <si>
    <t>2026-1/19~1/23</t>
  </si>
  <si>
    <t>2026-1/26~1/30</t>
  </si>
  <si>
    <t>2026-2/2~2/6</t>
  </si>
  <si>
    <t>北极星与老用户的占比波动</t>
  </si>
  <si>
    <t>apple的访问下载页面也急速下降</t>
  </si>
  <si>
    <t>2026-2/9~2/13</t>
  </si>
  <si>
    <t>2026-2/16~2/20</t>
  </si>
  <si>
    <t>2026-2/23~2/27</t>
  </si>
  <si>
    <t>2026-3/2~3/6</t>
  </si>
  <si>
    <t>2026-3/9~3/13</t>
  </si>
  <si>
    <t>2026-3/16~3/20</t>
  </si>
  <si>
    <t>2026-3/23~3/27</t>
  </si>
  <si>
    <t>2026-3/30~4/3</t>
  </si>
  <si>
    <t>2026-4/6~4/10</t>
  </si>
  <si>
    <t>2026-4/13~4/17</t>
  </si>
  <si>
    <t>2026-4/20~4/24</t>
  </si>
  <si>
    <t>2026-4/27~5/1</t>
  </si>
  <si>
    <t>2026-5/4~5/8</t>
  </si>
  <si>
    <t>2026-5/11~5/15</t>
  </si>
  <si>
    <t>2026-5/18~5/22</t>
  </si>
  <si>
    <t>2026-5/25~5/29</t>
  </si>
  <si>
    <t>2026-6/1~6/5</t>
  </si>
  <si>
    <t>2026-6/8~6/12</t>
  </si>
  <si>
    <t>2026-6/15~6/19</t>
  </si>
  <si>
    <t>2026-6/22~6/26</t>
  </si>
  <si>
    <t>2026-6/29~7/3</t>
  </si>
  <si>
    <t>2026-7/6~7/10</t>
  </si>
  <si>
    <t>2026-7/13~7/17</t>
  </si>
  <si>
    <t>2026-7/20~7/24</t>
  </si>
  <si>
    <t>2026-7/27~7/31</t>
  </si>
  <si>
    <t>BI(基础数据日活)</t>
  </si>
  <si>
    <t>BI手动(所有搜索框触发用户量)</t>
  </si>
  <si>
    <t>BI手动(icon)</t>
  </si>
  <si>
    <t>商业内容</t>
  </si>
  <si>
    <t>VPS活跃</t>
  </si>
  <si>
    <t>交易商搜索量</t>
  </si>
  <si>
    <t>交易商详情页</t>
  </si>
  <si>
    <t>交易商详情页外跳</t>
  </si>
  <si>
    <t>曝光内容</t>
  </si>
  <si>
    <t>新闻内容</t>
  </si>
  <si>
    <t>自然小BU</t>
  </si>
  <si>
    <t>日活</t>
  </si>
  <si>
    <t>访问7点位去重复人数</t>
  </si>
  <si>
    <t>7点位去重复人数/日活</t>
  </si>
  <si>
    <t>事件总数/7点位去重复人数</t>
  </si>
  <si>
    <t>商业页面访问数</t>
  </si>
  <si>
    <t>商业频道首页访问数</t>
  </si>
  <si>
    <r>
      <rPr>
        <b/>
        <sz val="10"/>
        <color rgb="FF000000"/>
        <rFont val="宋体-简"/>
        <charset val="134"/>
      </rPr>
      <t>商业</t>
    </r>
    <r>
      <rPr>
        <b/>
        <sz val="10"/>
        <color rgb="FF000000"/>
        <rFont val="Calibri"/>
        <charset val="134"/>
      </rPr>
      <t>/</t>
    </r>
    <r>
      <rPr>
        <b/>
        <sz val="10"/>
        <color rgb="FF000000"/>
        <rFont val="宋体-简"/>
        <charset val="134"/>
      </rPr>
      <t>（日活</t>
    </r>
    <r>
      <rPr>
        <b/>
        <sz val="10"/>
        <color rgb="FF000000"/>
        <rFont val="Calibri"/>
        <charset val="134"/>
      </rPr>
      <t>+</t>
    </r>
    <r>
      <rPr>
        <b/>
        <sz val="10"/>
        <color rgb="FF000000"/>
        <rFont val="宋体-简"/>
        <charset val="134"/>
      </rPr>
      <t>频道首页）</t>
    </r>
  </si>
  <si>
    <t>VPS页面访问数</t>
  </si>
  <si>
    <t>VPS频道首页访问数</t>
  </si>
  <si>
    <t>VPS/（日活+频道首页）</t>
  </si>
  <si>
    <t>搜索页面访问数</t>
  </si>
  <si>
    <t>搜索框访问量</t>
  </si>
  <si>
    <t>搜索/（日活+频道首页）</t>
  </si>
  <si>
    <t>交易商页面访问数</t>
  </si>
  <si>
    <t>交访/日活率</t>
  </si>
  <si>
    <t>交易商外跳点击数</t>
  </si>
  <si>
    <t>外跳/交访率</t>
  </si>
  <si>
    <t>曝光页面访问数</t>
  </si>
  <si>
    <t>曝光频道首页访问数</t>
  </si>
  <si>
    <t>曝光/（日活+频道首页）</t>
  </si>
  <si>
    <t>新闻页面访问数</t>
  </si>
  <si>
    <t>新闻频道首页访问数</t>
  </si>
  <si>
    <t>新闻/（日活+频道首页）</t>
  </si>
  <si>
    <t>GSC</t>
  </si>
  <si>
    <t>Ahref</t>
  </si>
  <si>
    <t>自然uv</t>
  </si>
  <si>
    <t>google自然 UV</t>
  </si>
  <si>
    <t>AI UV</t>
  </si>
  <si>
    <t>SEO自然UV</t>
  </si>
  <si>
    <t>google top3</t>
  </si>
  <si>
    <t>google自然曝光</t>
  </si>
  <si>
    <t>google点击率</t>
  </si>
  <si>
    <t>排行榜</t>
  </si>
  <si>
    <t>评论</t>
  </si>
  <si>
    <t>9点位去重人数</t>
  </si>
  <si>
    <t>9点位去重人数/UV</t>
  </si>
  <si>
    <t>事件总数/9点位去重人数</t>
  </si>
  <si>
    <t>商业/（日活+频道首页）</t>
  </si>
  <si>
    <t>交易商搜索页面访问数</t>
  </si>
  <si>
    <t>所有搜索框访问数</t>
  </si>
  <si>
    <t>交易商详情页面访问数</t>
  </si>
  <si>
    <t>外跳点击数</t>
  </si>
  <si>
    <t>频道首页访问数</t>
  </si>
  <si>
    <t>排行榜页面访问数</t>
  </si>
  <si>
    <t>排行榜频道首页访问数</t>
  </si>
  <si>
    <t>排行榜/（日活+频道首页）</t>
  </si>
  <si>
    <t>评论页面访问数</t>
  </si>
  <si>
    <t>评论/（交易商访问）</t>
  </si>
  <si>
    <t>第一个拐点自然UV2025.10.6~10.10开始上升，第二个拐点新闻页面开始下降；2026.1.12~1.16</t>
  </si>
  <si>
    <t>自然UV和9个点位 2025.10.13~10.17开始下降，2026.1.12~1.16开始下降</t>
  </si>
  <si>
    <t>自然UV和交易商搜索页面 2025.10.13~10.17开始下降，2026.1.12~1.16开始下降</t>
  </si>
  <si>
    <t>9个点位人数2025.10.13~10.17开始下降，2026.1.12~1.16开始下降</t>
  </si>
  <si>
    <t>日数</t>
  </si>
  <si>
    <t>印度</t>
  </si>
  <si>
    <t>巴基斯坦</t>
  </si>
  <si>
    <t>2026.4.1</t>
  </si>
  <si>
    <t>南亚</t>
  </si>
  <si>
    <t>2026.4.2</t>
  </si>
  <si>
    <t>2026.4.3</t>
  </si>
  <si>
    <t>2026.4.4</t>
  </si>
  <si>
    <t>2026.4.5</t>
  </si>
  <si>
    <t>2026.4.6</t>
  </si>
  <si>
    <t>2026.4.7</t>
  </si>
  <si>
    <t>2026.4.8</t>
  </si>
  <si>
    <t>2026.4.9</t>
  </si>
  <si>
    <t>2026.4.10</t>
  </si>
  <si>
    <t>2026.4.11</t>
  </si>
  <si>
    <t>2026.4.12</t>
  </si>
  <si>
    <t>2026.4.13</t>
  </si>
  <si>
    <t>2026.4.14</t>
  </si>
  <si>
    <t>2026.4.15</t>
  </si>
  <si>
    <t>2026.4.16</t>
  </si>
  <si>
    <t>2026.4.17</t>
  </si>
  <si>
    <t>2026.4.18</t>
  </si>
  <si>
    <t>2026.4.19</t>
  </si>
  <si>
    <t>2026.4.20</t>
  </si>
  <si>
    <t>2026.4.21</t>
  </si>
  <si>
    <t>2026.4.22</t>
  </si>
  <si>
    <t>2026.4.23</t>
  </si>
  <si>
    <t>2026.4.24</t>
  </si>
  <si>
    <t>2026.4.25</t>
  </si>
  <si>
    <t>2026.4.26</t>
  </si>
  <si>
    <t>2026.4.27</t>
  </si>
  <si>
    <t>2026.4.28</t>
  </si>
  <si>
    <t>2026.4.29</t>
  </si>
  <si>
    <t>2026.4.30</t>
  </si>
  <si>
    <t>2026.5.1</t>
  </si>
  <si>
    <t>2026.5.2</t>
  </si>
  <si>
    <t>2026.5.3</t>
  </si>
  <si>
    <t>2026.5.4</t>
  </si>
  <si>
    <t>2026.5.5</t>
  </si>
  <si>
    <t>2026.5.6</t>
  </si>
  <si>
    <t>2026.5.7</t>
  </si>
  <si>
    <t>2026.5.8</t>
  </si>
  <si>
    <t>2026.5.9</t>
  </si>
  <si>
    <t>2026.5.10</t>
  </si>
  <si>
    <t>2026.5.11</t>
  </si>
  <si>
    <t>2026.5.12</t>
  </si>
  <si>
    <t>2026.5.13</t>
  </si>
  <si>
    <t>2026.5.14</t>
  </si>
  <si>
    <t>2026.5.15</t>
  </si>
  <si>
    <t>2026.5.16</t>
  </si>
  <si>
    <t>2026.5.17</t>
  </si>
  <si>
    <t>2026.5.18</t>
  </si>
  <si>
    <t>2026.5.19</t>
  </si>
  <si>
    <t>2026.5.20</t>
  </si>
  <si>
    <t>2026.5.21</t>
  </si>
  <si>
    <t>2026.5.22</t>
  </si>
  <si>
    <t>2026.5.23</t>
  </si>
  <si>
    <t>2026.5.24</t>
  </si>
  <si>
    <t>2026.5.25</t>
  </si>
  <si>
    <t>2026.5.26</t>
  </si>
  <si>
    <t>2026.5.27</t>
  </si>
  <si>
    <t>2026.5.28</t>
  </si>
  <si>
    <t>2026.5.29</t>
  </si>
  <si>
    <t>2026.5.30</t>
  </si>
  <si>
    <t>2026.5.31</t>
  </si>
  <si>
    <t>2026.6.1</t>
  </si>
  <si>
    <t>2026.6.2</t>
  </si>
  <si>
    <t>2026.6.3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</si>
</sst>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\(0\)"/>
    <numFmt numFmtId="177" formatCode="0.0%"/>
  </numFmts>
  <fonts count="30">
    <font>
      <sz val="12"/>
      <color theme="1"/>
      <name val="Calibri"/>
      <charset val="134"/>
    </font>
    <font>
      <sz val="10"/>
      <color rgb="FF000000"/>
      <name val="Calibri"/>
      <charset val="134"/>
    </font>
    <font>
      <b/>
      <sz val="11"/>
      <color rgb="FF000000"/>
      <name val="Calibri"/>
      <charset val="134"/>
    </font>
    <font>
      <b/>
      <sz val="12"/>
      <color rgb="FF000000"/>
      <name val="Calibri"/>
      <charset val="134"/>
    </font>
    <font>
      <b/>
      <sz val="10"/>
      <color rgb="FF000000"/>
      <name val="Calibri"/>
      <charset val="134"/>
    </font>
    <font>
      <sz val="11"/>
      <color rgb="FF000000"/>
      <name val="宋体"/>
      <charset val="134"/>
    </font>
    <font>
      <sz val="11"/>
      <color rgb="FF000000"/>
      <name val="等线"/>
      <charset val="134"/>
    </font>
    <font>
      <sz val="12"/>
      <color rgb="FF000000"/>
      <name val="Calibri"/>
      <charset val="134"/>
    </font>
    <font>
      <b/>
      <sz val="10"/>
      <color rgb="FF000000"/>
      <name val="宋体-简"/>
      <charset val="134"/>
    </font>
    <font>
      <b/>
      <sz val="12"/>
      <color rgb="FF000000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D9F3FD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FDDDEF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B3D600"/>
        <bgColor indexed="64"/>
      </patternFill>
    </fill>
    <fill>
      <patternFill patternType="solid">
        <fgColor rgb="FF34C724"/>
        <bgColor indexed="64"/>
      </patternFill>
    </fill>
    <fill>
      <patternFill patternType="solid">
        <fgColor rgb="FF14C0FF"/>
        <bgColor indexed="64"/>
      </patternFill>
    </fill>
    <fill>
      <patternFill patternType="solid">
        <fgColor rgb="FF4E83FD"/>
        <bgColor indexed="64"/>
      </patternFill>
    </fill>
    <fill>
      <patternFill patternType="solid">
        <fgColor rgb="FFFF8800"/>
        <bgColor indexed="64"/>
      </patternFill>
    </fill>
    <fill>
      <patternFill patternType="solid">
        <fgColor rgb="FFF54A45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5BD42"/>
        <bgColor indexed="64"/>
      </patternFill>
    </fill>
    <fill>
      <patternFill patternType="solid">
        <fgColor rgb="FF00D6B9"/>
        <bgColor indexed="64"/>
      </patternFill>
    </fill>
    <fill>
      <patternFill patternType="solid">
        <fgColor rgb="FFFFBA6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8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9" borderId="10" applyNumberFormat="0" applyAlignment="0" applyProtection="0">
      <alignment vertical="center"/>
    </xf>
    <xf numFmtId="0" fontId="20" fillId="13" borderId="11" applyNumberFormat="0" applyAlignment="0" applyProtection="0">
      <alignment vertical="center"/>
    </xf>
    <xf numFmtId="0" fontId="21" fillId="13" borderId="10" applyNumberFormat="0" applyAlignment="0" applyProtection="0">
      <alignment vertical="center"/>
    </xf>
    <xf numFmtId="0" fontId="22" fillId="20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/>
  </cellStyleXfs>
  <cellXfs count="76">
    <xf numFmtId="0" fontId="0" fillId="0" borderId="0" xfId="49" applyAlignment="1">
      <alignment vertical="center"/>
    </xf>
    <xf numFmtId="0" fontId="1" fillId="0" borderId="0" xfId="49" applyFont="1" applyAlignment="1">
      <alignment vertical="center" wrapText="1"/>
    </xf>
    <xf numFmtId="0" fontId="1" fillId="0" borderId="0" xfId="49" applyFont="1" applyAlignment="1">
      <alignment vertical="center"/>
    </xf>
    <xf numFmtId="0" fontId="2" fillId="0" borderId="1" xfId="49" applyFont="1" applyBorder="1" applyAlignment="1">
      <alignment horizontal="center" vertical="center" wrapText="1"/>
    </xf>
    <xf numFmtId="0" fontId="3" fillId="0" borderId="1" xfId="49" applyFont="1" applyBorder="1" applyAlignment="1">
      <alignment horizontal="center" vertical="center" wrapText="1"/>
    </xf>
    <xf numFmtId="0" fontId="3" fillId="0" borderId="2" xfId="49" applyFont="1" applyBorder="1" applyAlignment="1">
      <alignment horizontal="center" vertical="center"/>
    </xf>
    <xf numFmtId="0" fontId="4" fillId="0" borderId="1" xfId="49" applyFont="1" applyBorder="1" applyAlignment="1">
      <alignment horizontal="center" vertical="center"/>
    </xf>
    <xf numFmtId="0" fontId="5" fillId="0" borderId="0" xfId="49" applyFont="1" applyAlignment="1">
      <alignment vertical="center" wrapText="1"/>
    </xf>
    <xf numFmtId="176" fontId="6" fillId="0" borderId="0" xfId="49" applyNumberFormat="1" applyFont="1" applyAlignment="1">
      <alignment vertical="center"/>
    </xf>
    <xf numFmtId="176" fontId="1" fillId="0" borderId="0" xfId="49" applyNumberFormat="1" applyFont="1" applyAlignment="1">
      <alignment vertical="center"/>
    </xf>
    <xf numFmtId="0" fontId="3" fillId="2" borderId="1" xfId="49" applyFont="1" applyFill="1" applyBorder="1" applyAlignment="1">
      <alignment horizontal="center" vertical="center"/>
    </xf>
    <xf numFmtId="0" fontId="4" fillId="2" borderId="1" xfId="49" applyFont="1" applyFill="1" applyBorder="1" applyAlignment="1">
      <alignment horizontal="center" vertical="center"/>
    </xf>
    <xf numFmtId="176" fontId="1" fillId="3" borderId="0" xfId="49" applyNumberFormat="1" applyFont="1" applyFill="1" applyAlignment="1">
      <alignment vertical="center"/>
    </xf>
    <xf numFmtId="176" fontId="5" fillId="0" borderId="0" xfId="49" applyNumberFormat="1" applyFont="1" applyAlignment="1">
      <alignment vertical="center"/>
    </xf>
    <xf numFmtId="0" fontId="3" fillId="4" borderId="1" xfId="49" applyFont="1" applyFill="1" applyBorder="1" applyAlignment="1">
      <alignment horizontal="center" vertical="center"/>
    </xf>
    <xf numFmtId="0" fontId="4" fillId="4" borderId="1" xfId="49" applyFont="1" applyFill="1" applyBorder="1" applyAlignment="1">
      <alignment horizontal="center" vertical="center"/>
    </xf>
    <xf numFmtId="0" fontId="4" fillId="0" borderId="1" xfId="49" applyFont="1" applyBorder="1" applyAlignment="1">
      <alignment horizontal="center" vertical="center" wrapText="1"/>
    </xf>
    <xf numFmtId="176" fontId="7" fillId="0" borderId="0" xfId="49" applyNumberFormat="1" applyFont="1" applyAlignment="1"/>
    <xf numFmtId="10" fontId="1" fillId="0" borderId="0" xfId="49" applyNumberFormat="1" applyFont="1" applyAlignment="1">
      <alignment vertical="center"/>
    </xf>
    <xf numFmtId="0" fontId="3" fillId="5" borderId="1" xfId="49" applyFont="1" applyFill="1" applyBorder="1" applyAlignment="1">
      <alignment horizontal="center" vertical="center" wrapText="1"/>
    </xf>
    <xf numFmtId="0" fontId="3" fillId="6" borderId="1" xfId="49" applyFont="1" applyFill="1" applyBorder="1" applyAlignment="1">
      <alignment horizontal="center" vertical="center" wrapText="1"/>
    </xf>
    <xf numFmtId="0" fontId="4" fillId="5" borderId="1" xfId="49" applyFont="1" applyFill="1" applyBorder="1" applyAlignment="1">
      <alignment horizontal="center" vertical="center" wrapText="1"/>
    </xf>
    <xf numFmtId="0" fontId="4" fillId="6" borderId="1" xfId="49" applyFont="1" applyFill="1" applyBorder="1" applyAlignment="1">
      <alignment horizontal="center" vertical="center" wrapText="1"/>
    </xf>
    <xf numFmtId="0" fontId="3" fillId="7" borderId="1" xfId="49" applyFont="1" applyFill="1" applyBorder="1" applyAlignment="1">
      <alignment horizontal="center" vertical="center" wrapText="1"/>
    </xf>
    <xf numFmtId="0" fontId="4" fillId="7" borderId="1" xfId="49" applyFont="1" applyFill="1" applyBorder="1" applyAlignment="1">
      <alignment horizontal="center" vertical="center" wrapText="1"/>
    </xf>
    <xf numFmtId="0" fontId="3" fillId="8" borderId="1" xfId="49" applyFont="1" applyFill="1" applyBorder="1" applyAlignment="1">
      <alignment horizontal="center" vertical="center" wrapText="1"/>
    </xf>
    <xf numFmtId="0" fontId="3" fillId="9" borderId="3" xfId="49" applyFont="1" applyFill="1" applyBorder="1" applyAlignment="1">
      <alignment horizontal="center" vertical="center" wrapText="1"/>
    </xf>
    <xf numFmtId="0" fontId="4" fillId="8" borderId="1" xfId="49" applyFont="1" applyFill="1" applyBorder="1" applyAlignment="1">
      <alignment horizontal="center" vertical="center" wrapText="1"/>
    </xf>
    <xf numFmtId="0" fontId="4" fillId="9" borderId="3" xfId="49" applyFont="1" applyFill="1" applyBorder="1" applyAlignment="1">
      <alignment horizontal="center" vertical="center" wrapText="1"/>
    </xf>
    <xf numFmtId="0" fontId="3" fillId="10" borderId="1" xfId="49" applyFont="1" applyFill="1" applyBorder="1" applyAlignment="1">
      <alignment horizontal="center" vertical="center" wrapText="1"/>
    </xf>
    <xf numFmtId="0" fontId="4" fillId="9" borderId="1" xfId="49" applyFont="1" applyFill="1" applyBorder="1" applyAlignment="1">
      <alignment horizontal="center" vertical="center" wrapText="1"/>
    </xf>
    <xf numFmtId="0" fontId="4" fillId="10" borderId="1" xfId="49" applyFont="1" applyFill="1" applyBorder="1" applyAlignment="1">
      <alignment horizontal="center" vertical="center" wrapText="1"/>
    </xf>
    <xf numFmtId="0" fontId="4" fillId="10" borderId="4" xfId="49" applyFont="1" applyFill="1" applyBorder="1" applyAlignment="1">
      <alignment horizontal="center" vertical="center" wrapText="1"/>
    </xf>
    <xf numFmtId="0" fontId="3" fillId="11" borderId="1" xfId="49" applyFont="1" applyFill="1" applyBorder="1" applyAlignment="1">
      <alignment horizontal="center" vertical="center" wrapText="1"/>
    </xf>
    <xf numFmtId="0" fontId="7" fillId="4" borderId="5" xfId="49" applyFont="1" applyFill="1" applyBorder="1" applyAlignment="1">
      <alignment horizontal="center" vertical="center" wrapText="1"/>
    </xf>
    <xf numFmtId="0" fontId="4" fillId="11" borderId="1" xfId="49" applyFont="1" applyFill="1" applyBorder="1" applyAlignment="1">
      <alignment horizontal="center" vertical="center" wrapText="1"/>
    </xf>
    <xf numFmtId="0" fontId="4" fillId="11" borderId="4" xfId="49" applyFont="1" applyFill="1" applyBorder="1" applyAlignment="1">
      <alignment horizontal="center" vertical="center" wrapText="1"/>
    </xf>
    <xf numFmtId="0" fontId="4" fillId="4" borderId="1" xfId="49" applyFont="1" applyFill="1" applyBorder="1" applyAlignment="1">
      <alignment horizontal="center" vertical="center" wrapText="1"/>
    </xf>
    <xf numFmtId="0" fontId="7" fillId="12" borderId="5" xfId="49" applyFont="1" applyFill="1" applyBorder="1" applyAlignment="1">
      <alignment horizontal="center" vertical="center" wrapText="1"/>
    </xf>
    <xf numFmtId="0" fontId="4" fillId="4" borderId="4" xfId="49" applyFont="1" applyFill="1" applyBorder="1" applyAlignment="1">
      <alignment horizontal="center" vertical="center" wrapText="1"/>
    </xf>
    <xf numFmtId="0" fontId="4" fillId="12" borderId="1" xfId="49" applyFont="1" applyFill="1" applyBorder="1" applyAlignment="1">
      <alignment horizontal="center" vertical="center" wrapText="1"/>
    </xf>
    <xf numFmtId="0" fontId="4" fillId="12" borderId="4" xfId="49" applyFont="1" applyFill="1" applyBorder="1" applyAlignment="1">
      <alignment horizontal="center" vertical="center" wrapText="1"/>
    </xf>
    <xf numFmtId="0" fontId="7" fillId="0" borderId="0" xfId="49" applyFont="1" applyAlignment="1">
      <alignment horizontal="center" vertical="center"/>
    </xf>
    <xf numFmtId="0" fontId="4" fillId="0" borderId="0" xfId="49" applyFont="1" applyAlignment="1">
      <alignment horizontal="center" vertical="center"/>
    </xf>
    <xf numFmtId="0" fontId="5" fillId="0" borderId="0" xfId="49" applyFont="1" applyAlignment="1"/>
    <xf numFmtId="0" fontId="1" fillId="13" borderId="0" xfId="49" applyFont="1" applyFill="1" applyAlignment="1">
      <alignment horizontal="center" vertical="center" wrapText="1"/>
    </xf>
    <xf numFmtId="0" fontId="7" fillId="14" borderId="5" xfId="49" applyFont="1" applyFill="1" applyBorder="1" applyAlignment="1">
      <alignment horizontal="center" vertical="center" wrapText="1"/>
    </xf>
    <xf numFmtId="0" fontId="7" fillId="15" borderId="5" xfId="49" applyFont="1" applyFill="1" applyBorder="1" applyAlignment="1">
      <alignment horizontal="center" vertical="center" wrapText="1"/>
    </xf>
    <xf numFmtId="0" fontId="1" fillId="0" borderId="0" xfId="49" applyFont="1" applyAlignment="1">
      <alignment horizontal="center" vertical="center"/>
    </xf>
    <xf numFmtId="10" fontId="5" fillId="0" borderId="0" xfId="49" applyNumberFormat="1" applyFont="1" applyAlignment="1">
      <alignment vertical="center"/>
    </xf>
    <xf numFmtId="0" fontId="3" fillId="0" borderId="2" xfId="49" applyFont="1" applyBorder="1" applyAlignment="1">
      <alignment horizontal="center" vertical="center" wrapText="1"/>
    </xf>
    <xf numFmtId="2" fontId="3" fillId="0" borderId="1" xfId="49" applyNumberFormat="1" applyFont="1" applyBorder="1" applyAlignment="1">
      <alignment horizontal="center" vertical="center" wrapText="1"/>
    </xf>
    <xf numFmtId="0" fontId="4" fillId="0" borderId="3" xfId="49" applyFont="1" applyBorder="1" applyAlignment="1">
      <alignment horizontal="center" vertical="center" wrapText="1"/>
    </xf>
    <xf numFmtId="2" fontId="4" fillId="0" borderId="1" xfId="49" applyNumberFormat="1" applyFont="1" applyBorder="1" applyAlignment="1">
      <alignment horizontal="center" vertical="center" wrapText="1"/>
    </xf>
    <xf numFmtId="2" fontId="1" fillId="0" borderId="0" xfId="49" applyNumberFormat="1" applyFont="1" applyAlignment="1">
      <alignment vertical="center"/>
    </xf>
    <xf numFmtId="0" fontId="8" fillId="5" borderId="1" xfId="49" applyFont="1" applyFill="1" applyBorder="1" applyAlignment="1">
      <alignment horizontal="center" vertical="center" wrapText="1"/>
    </xf>
    <xf numFmtId="0" fontId="3" fillId="7" borderId="4" xfId="49" applyFont="1" applyFill="1" applyBorder="1" applyAlignment="1">
      <alignment horizontal="center" vertical="center" wrapText="1"/>
    </xf>
    <xf numFmtId="0" fontId="3" fillId="16" borderId="1" xfId="49" applyFont="1" applyFill="1" applyBorder="1" applyAlignment="1">
      <alignment horizontal="center" vertical="center" wrapText="1"/>
    </xf>
    <xf numFmtId="0" fontId="3" fillId="8" borderId="3" xfId="49" applyFont="1" applyFill="1" applyBorder="1" applyAlignment="1">
      <alignment horizontal="center" vertical="center" wrapText="1"/>
    </xf>
    <xf numFmtId="0" fontId="4" fillId="7" borderId="4" xfId="49" applyFont="1" applyFill="1" applyBorder="1" applyAlignment="1">
      <alignment horizontal="center" vertical="center" wrapText="1"/>
    </xf>
    <xf numFmtId="0" fontId="4" fillId="16" borderId="1" xfId="49" applyFont="1" applyFill="1" applyBorder="1" applyAlignment="1">
      <alignment horizontal="center" vertical="center" wrapText="1"/>
    </xf>
    <xf numFmtId="0" fontId="4" fillId="8" borderId="3" xfId="49" applyFont="1" applyFill="1" applyBorder="1" applyAlignment="1">
      <alignment horizontal="center" vertical="center" wrapText="1"/>
    </xf>
    <xf numFmtId="0" fontId="3" fillId="0" borderId="0" xfId="49" applyFont="1" applyAlignment="1">
      <alignment horizontal="center" vertical="center"/>
    </xf>
    <xf numFmtId="177" fontId="1" fillId="0" borderId="0" xfId="49" applyNumberFormat="1" applyFont="1" applyAlignment="1">
      <alignment vertical="center"/>
    </xf>
    <xf numFmtId="9" fontId="0" fillId="0" borderId="0" xfId="3" applyAlignment="1">
      <alignment vertical="center"/>
    </xf>
    <xf numFmtId="9" fontId="1" fillId="0" borderId="0" xfId="49" applyNumberFormat="1" applyFont="1" applyAlignment="1">
      <alignment vertical="center"/>
    </xf>
    <xf numFmtId="0" fontId="3" fillId="0" borderId="1" xfId="49" applyFont="1" applyBorder="1" applyAlignment="1">
      <alignment horizontal="center" vertical="center"/>
    </xf>
    <xf numFmtId="0" fontId="3" fillId="5" borderId="1" xfId="49" applyFont="1" applyFill="1" applyBorder="1" applyAlignment="1">
      <alignment horizontal="center" vertical="center"/>
    </xf>
    <xf numFmtId="0" fontId="4" fillId="5" borderId="1" xfId="49" applyFont="1" applyFill="1" applyBorder="1" applyAlignment="1">
      <alignment horizontal="center" vertical="center"/>
    </xf>
    <xf numFmtId="1" fontId="1" fillId="0" borderId="0" xfId="49" applyNumberFormat="1" applyFont="1" applyAlignment="1">
      <alignment vertical="center"/>
    </xf>
    <xf numFmtId="0" fontId="9" fillId="17" borderId="6" xfId="49" applyFont="1" applyFill="1" applyBorder="1" applyAlignment="1">
      <alignment horizontal="center" vertical="center" wrapText="1"/>
    </xf>
    <xf numFmtId="0" fontId="9" fillId="17" borderId="5" xfId="49" applyFont="1" applyFill="1" applyBorder="1" applyAlignment="1">
      <alignment horizontal="center" vertical="center" wrapText="1"/>
    </xf>
    <xf numFmtId="0" fontId="4" fillId="17" borderId="1" xfId="49" applyFont="1" applyFill="1" applyBorder="1" applyAlignment="1">
      <alignment horizontal="center" vertical="center" wrapText="1"/>
    </xf>
    <xf numFmtId="176" fontId="5" fillId="3" borderId="0" xfId="49" applyNumberFormat="1" applyFont="1" applyFill="1" applyAlignment="1">
      <alignment vertical="center"/>
    </xf>
    <xf numFmtId="0" fontId="5" fillId="0" borderId="0" xfId="49" applyFont="1" applyAlignment="1">
      <alignment vertical="center"/>
    </xf>
    <xf numFmtId="176" fontId="1" fillId="5" borderId="0" xfId="49" applyNumberFormat="1" applyFont="1" applyFill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'APP拉新-留存'!$C$3</c:f>
              <c:strCache>
                <c:ptCount val="1"/>
                <c:pt idx="0">
                  <c:v>自然北极星</c:v>
                </c:pt>
              </c:strCache>
            </c:strRef>
          </c:tx>
          <c:spPr>
            <a:ln w="19050" cap="rnd">
              <a:solidFill>
                <a:srgbClr val="5383F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'APP拉新-留存'!$C$4:$C$159</c:f>
              <c:numCache>
                <c:formatCode>0_);\(0\)</c:formatCode>
                <c:ptCount val="52"/>
                <c:pt idx="0">
                  <c:v>142.6</c:v>
                </c:pt>
                <c:pt idx="1">
                  <c:v>171.2</c:v>
                </c:pt>
                <c:pt idx="2">
                  <c:v>211.2</c:v>
                </c:pt>
                <c:pt idx="3">
                  <c:v>207.2</c:v>
                </c:pt>
                <c:pt idx="4">
                  <c:v>216.6</c:v>
                </c:pt>
                <c:pt idx="5">
                  <c:v>226</c:v>
                </c:pt>
                <c:pt idx="6">
                  <c:v>226.4</c:v>
                </c:pt>
                <c:pt idx="7">
                  <c:v>276.8</c:v>
                </c:pt>
                <c:pt idx="8">
                  <c:v>262.8</c:v>
                </c:pt>
                <c:pt idx="9">
                  <c:v>370.2</c:v>
                </c:pt>
                <c:pt idx="10">
                  <c:v>439</c:v>
                </c:pt>
                <c:pt idx="11">
                  <c:v>364.2</c:v>
                </c:pt>
                <c:pt idx="12">
                  <c:v>376.8</c:v>
                </c:pt>
                <c:pt idx="13">
                  <c:v>352.4</c:v>
                </c:pt>
                <c:pt idx="14">
                  <c:v>380.6</c:v>
                </c:pt>
                <c:pt idx="15">
                  <c:v>346.6</c:v>
                </c:pt>
                <c:pt idx="16">
                  <c:v>310.8</c:v>
                </c:pt>
                <c:pt idx="17">
                  <c:v>363</c:v>
                </c:pt>
                <c:pt idx="18">
                  <c:v>391</c:v>
                </c:pt>
                <c:pt idx="19">
                  <c:v>436.8</c:v>
                </c:pt>
                <c:pt idx="20">
                  <c:v>532.4</c:v>
                </c:pt>
                <c:pt idx="21">
                  <c:v>492</c:v>
                </c:pt>
                <c:pt idx="22">
                  <c:v>431.8</c:v>
                </c:pt>
                <c:pt idx="23">
                  <c:v>362.2</c:v>
                </c:pt>
                <c:pt idx="24">
                  <c:v>442.4</c:v>
                </c:pt>
                <c:pt idx="25">
                  <c:v>393</c:v>
                </c:pt>
                <c:pt idx="26">
                  <c:v>405.6</c:v>
                </c:pt>
                <c:pt idx="27">
                  <c:v>465.6</c:v>
                </c:pt>
                <c:pt idx="28">
                  <c:v>439.8</c:v>
                </c:pt>
                <c:pt idx="29">
                  <c:v>470.6</c:v>
                </c:pt>
                <c:pt idx="30">
                  <c:v>419.8</c:v>
                </c:pt>
                <c:pt idx="31">
                  <c:v>373</c:v>
                </c:pt>
                <c:pt idx="32">
                  <c:v>406</c:v>
                </c:pt>
                <c:pt idx="33">
                  <c:v>416</c:v>
                </c:pt>
                <c:pt idx="34">
                  <c:v>411.6</c:v>
                </c:pt>
                <c:pt idx="35">
                  <c:v>306.6</c:v>
                </c:pt>
                <c:pt idx="36">
                  <c:v>289.6</c:v>
                </c:pt>
                <c:pt idx="37">
                  <c:v>314.8</c:v>
                </c:pt>
                <c:pt idx="38">
                  <c:v>352</c:v>
                </c:pt>
                <c:pt idx="39">
                  <c:v>374</c:v>
                </c:pt>
                <c:pt idx="40">
                  <c:v>390.4</c:v>
                </c:pt>
                <c:pt idx="41">
                  <c:v>506</c:v>
                </c:pt>
                <c:pt idx="42">
                  <c:v>438</c:v>
                </c:pt>
                <c:pt idx="43">
                  <c:v>423.8</c:v>
                </c:pt>
                <c:pt idx="44">
                  <c:v>494.4</c:v>
                </c:pt>
                <c:pt idx="45">
                  <c:v>434.4</c:v>
                </c:pt>
                <c:pt idx="46">
                  <c:v>400.2</c:v>
                </c:pt>
                <c:pt idx="47">
                  <c:v>400</c:v>
                </c:pt>
                <c:pt idx="48">
                  <c:v>369</c:v>
                </c:pt>
                <c:pt idx="49">
                  <c:v>433</c:v>
                </c:pt>
                <c:pt idx="50">
                  <c:v>428.6</c:v>
                </c:pt>
                <c:pt idx="51">
                  <c:v>388.4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'APP拉新-留存'!$D$3</c:f>
              <c:strCache>
                <c:ptCount val="1"/>
                <c:pt idx="0">
                  <c:v>自然下载</c:v>
                </c:pt>
              </c:strCache>
            </c:strRef>
          </c:tx>
          <c:spPr>
            <a:ln w="19050" cap="rnd">
              <a:solidFill>
                <a:srgbClr val="55C6EF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'APP拉新-留存'!$D$4:$D$159</c:f>
              <c:numCache>
                <c:formatCode>0_);\(0\)</c:formatCode>
                <c:ptCount val="52"/>
                <c:pt idx="0">
                  <c:v>95.4</c:v>
                </c:pt>
                <c:pt idx="1">
                  <c:v>106.6</c:v>
                </c:pt>
                <c:pt idx="2">
                  <c:v>124</c:v>
                </c:pt>
                <c:pt idx="3">
                  <c:v>96</c:v>
                </c:pt>
                <c:pt idx="4">
                  <c:v>110.6</c:v>
                </c:pt>
                <c:pt idx="5">
                  <c:v>102.2</c:v>
                </c:pt>
                <c:pt idx="6">
                  <c:v>98.2</c:v>
                </c:pt>
                <c:pt idx="7">
                  <c:v>127</c:v>
                </c:pt>
                <c:pt idx="8">
                  <c:v>118.4</c:v>
                </c:pt>
                <c:pt idx="9">
                  <c:v>151.4</c:v>
                </c:pt>
                <c:pt idx="10">
                  <c:v>227.6</c:v>
                </c:pt>
                <c:pt idx="11">
                  <c:v>144.6</c:v>
                </c:pt>
                <c:pt idx="12">
                  <c:v>179.4</c:v>
                </c:pt>
                <c:pt idx="13">
                  <c:v>179.6</c:v>
                </c:pt>
                <c:pt idx="14">
                  <c:v>148.2</c:v>
                </c:pt>
                <c:pt idx="15">
                  <c:v>142.6</c:v>
                </c:pt>
                <c:pt idx="16">
                  <c:v>148.2</c:v>
                </c:pt>
                <c:pt idx="17">
                  <c:v>182.4</c:v>
                </c:pt>
                <c:pt idx="18">
                  <c:v>243.8</c:v>
                </c:pt>
                <c:pt idx="19">
                  <c:v>260.2</c:v>
                </c:pt>
                <c:pt idx="20">
                  <c:v>232.2</c:v>
                </c:pt>
                <c:pt idx="21">
                  <c:v>188.2</c:v>
                </c:pt>
                <c:pt idx="22">
                  <c:v>161.4</c:v>
                </c:pt>
                <c:pt idx="23">
                  <c:v>165</c:v>
                </c:pt>
                <c:pt idx="24">
                  <c:v>170</c:v>
                </c:pt>
                <c:pt idx="25">
                  <c:v>165.4</c:v>
                </c:pt>
                <c:pt idx="26">
                  <c:v>149.4</c:v>
                </c:pt>
                <c:pt idx="27">
                  <c:v>154</c:v>
                </c:pt>
                <c:pt idx="28">
                  <c:v>189</c:v>
                </c:pt>
                <c:pt idx="29">
                  <c:v>187</c:v>
                </c:pt>
                <c:pt idx="30">
                  <c:v>160.2</c:v>
                </c:pt>
                <c:pt idx="31">
                  <c:v>144.4</c:v>
                </c:pt>
                <c:pt idx="32">
                  <c:v>155.4</c:v>
                </c:pt>
                <c:pt idx="33">
                  <c:v>149.8</c:v>
                </c:pt>
                <c:pt idx="34">
                  <c:v>143.2</c:v>
                </c:pt>
                <c:pt idx="35">
                  <c:v>171</c:v>
                </c:pt>
                <c:pt idx="36">
                  <c:v>217.8</c:v>
                </c:pt>
                <c:pt idx="37">
                  <c:v>192</c:v>
                </c:pt>
                <c:pt idx="38">
                  <c:v>228.4</c:v>
                </c:pt>
                <c:pt idx="39">
                  <c:v>237.2</c:v>
                </c:pt>
                <c:pt idx="40">
                  <c:v>190.2</c:v>
                </c:pt>
                <c:pt idx="41">
                  <c:v>218.6</c:v>
                </c:pt>
                <c:pt idx="42">
                  <c:v>194.6</c:v>
                </c:pt>
                <c:pt idx="43">
                  <c:v>205</c:v>
                </c:pt>
                <c:pt idx="44">
                  <c:v>216.6</c:v>
                </c:pt>
                <c:pt idx="45">
                  <c:v>158.8</c:v>
                </c:pt>
                <c:pt idx="46">
                  <c:v>121.4</c:v>
                </c:pt>
                <c:pt idx="47">
                  <c:v>123.2</c:v>
                </c:pt>
                <c:pt idx="48">
                  <c:v>141.8</c:v>
                </c:pt>
                <c:pt idx="49">
                  <c:v>152.4</c:v>
                </c:pt>
                <c:pt idx="50">
                  <c:v>121.8</c:v>
                </c:pt>
                <c:pt idx="51">
                  <c:v>92.6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350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db0ad26-713d-40ae-94a9-85360d5a3f34}"/>
      </c:ext>
    </c:extLst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'APP拉新-留存'!$D$3</c:f>
              <c:strCache>
                <c:ptCount val="1"/>
                <c:pt idx="0">
                  <c:v>自然下载</c:v>
                </c:pt>
              </c:strCache>
            </c:strRef>
          </c:tx>
          <c:spPr>
            <a:ln w="19050" cap="rnd">
              <a:solidFill>
                <a:srgbClr val="5383F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'APP拉新-留存'!$D$4:$D$500</c:f>
              <c:numCache>
                <c:formatCode>0_);\(0\)</c:formatCode>
                <c:ptCount val="383"/>
                <c:pt idx="0">
                  <c:v>95.4</c:v>
                </c:pt>
                <c:pt idx="1">
                  <c:v>106.6</c:v>
                </c:pt>
                <c:pt idx="2">
                  <c:v>124</c:v>
                </c:pt>
                <c:pt idx="3">
                  <c:v>96</c:v>
                </c:pt>
                <c:pt idx="4">
                  <c:v>110.6</c:v>
                </c:pt>
                <c:pt idx="5">
                  <c:v>102.2</c:v>
                </c:pt>
                <c:pt idx="6">
                  <c:v>98.2</c:v>
                </c:pt>
                <c:pt idx="7">
                  <c:v>127</c:v>
                </c:pt>
                <c:pt idx="8">
                  <c:v>118.4</c:v>
                </c:pt>
                <c:pt idx="9">
                  <c:v>151.4</c:v>
                </c:pt>
                <c:pt idx="10">
                  <c:v>227.6</c:v>
                </c:pt>
                <c:pt idx="11">
                  <c:v>144.6</c:v>
                </c:pt>
                <c:pt idx="12">
                  <c:v>179.4</c:v>
                </c:pt>
                <c:pt idx="13">
                  <c:v>179.6</c:v>
                </c:pt>
                <c:pt idx="14">
                  <c:v>148.2</c:v>
                </c:pt>
                <c:pt idx="15">
                  <c:v>142.6</c:v>
                </c:pt>
                <c:pt idx="16">
                  <c:v>148.2</c:v>
                </c:pt>
                <c:pt idx="17">
                  <c:v>182.4</c:v>
                </c:pt>
                <c:pt idx="18">
                  <c:v>243.8</c:v>
                </c:pt>
                <c:pt idx="19">
                  <c:v>260.2</c:v>
                </c:pt>
                <c:pt idx="20">
                  <c:v>232.2</c:v>
                </c:pt>
                <c:pt idx="21">
                  <c:v>188.2</c:v>
                </c:pt>
                <c:pt idx="22">
                  <c:v>161.4</c:v>
                </c:pt>
                <c:pt idx="23">
                  <c:v>165</c:v>
                </c:pt>
                <c:pt idx="24">
                  <c:v>170</c:v>
                </c:pt>
                <c:pt idx="25">
                  <c:v>165.4</c:v>
                </c:pt>
                <c:pt idx="26">
                  <c:v>149.4</c:v>
                </c:pt>
                <c:pt idx="27">
                  <c:v>154</c:v>
                </c:pt>
                <c:pt idx="28">
                  <c:v>189</c:v>
                </c:pt>
                <c:pt idx="29">
                  <c:v>187</c:v>
                </c:pt>
                <c:pt idx="30">
                  <c:v>160.2</c:v>
                </c:pt>
                <c:pt idx="31">
                  <c:v>144.4</c:v>
                </c:pt>
                <c:pt idx="32">
                  <c:v>155.4</c:v>
                </c:pt>
                <c:pt idx="33">
                  <c:v>149.8</c:v>
                </c:pt>
                <c:pt idx="34">
                  <c:v>143.2</c:v>
                </c:pt>
                <c:pt idx="35">
                  <c:v>171</c:v>
                </c:pt>
                <c:pt idx="36">
                  <c:v>217.8</c:v>
                </c:pt>
                <c:pt idx="37">
                  <c:v>192</c:v>
                </c:pt>
                <c:pt idx="38">
                  <c:v>228.4</c:v>
                </c:pt>
                <c:pt idx="39">
                  <c:v>237.2</c:v>
                </c:pt>
                <c:pt idx="40">
                  <c:v>190.2</c:v>
                </c:pt>
                <c:pt idx="41">
                  <c:v>218.6</c:v>
                </c:pt>
                <c:pt idx="42">
                  <c:v>194.6</c:v>
                </c:pt>
                <c:pt idx="43">
                  <c:v>205</c:v>
                </c:pt>
                <c:pt idx="44">
                  <c:v>216.6</c:v>
                </c:pt>
                <c:pt idx="45">
                  <c:v>158.8</c:v>
                </c:pt>
                <c:pt idx="46">
                  <c:v>121.4</c:v>
                </c:pt>
                <c:pt idx="47">
                  <c:v>123.2</c:v>
                </c:pt>
                <c:pt idx="48">
                  <c:v>141.8</c:v>
                </c:pt>
                <c:pt idx="49">
                  <c:v>152.4</c:v>
                </c:pt>
                <c:pt idx="50">
                  <c:v>121.8</c:v>
                </c:pt>
                <c:pt idx="51">
                  <c:v>92.6</c:v>
                </c:pt>
                <c:pt idx="52">
                  <c:v>98</c:v>
                </c:pt>
                <c:pt idx="53">
                  <c:v>79.2</c:v>
                </c:pt>
                <c:pt idx="54">
                  <c:v>103.6</c:v>
                </c:pt>
                <c:pt idx="55">
                  <c:v>94.4</c:v>
                </c:pt>
                <c:pt idx="56">
                  <c:v>74.2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'APP拉新-留存'!$L$3</c:f>
              <c:strCache>
                <c:ptCount val="1"/>
                <c:pt idx="0">
                  <c:v>Google安装量</c:v>
                </c:pt>
              </c:strCache>
            </c:strRef>
          </c:tx>
          <c:spPr>
            <a:ln w="19050" cap="rnd">
              <a:solidFill>
                <a:srgbClr val="55C6EF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'APP拉新-留存'!$L$4:$L$500</c:f>
              <c:numCache>
                <c:formatCode>0_);\(0\)</c:formatCode>
                <c:ptCount val="383"/>
                <c:pt idx="37">
                  <c:v>45.4</c:v>
                </c:pt>
                <c:pt idx="38">
                  <c:v>43</c:v>
                </c:pt>
                <c:pt idx="39">
                  <c:v>39</c:v>
                </c:pt>
                <c:pt idx="40">
                  <c:v>36.6</c:v>
                </c:pt>
                <c:pt idx="41">
                  <c:v>48.6</c:v>
                </c:pt>
                <c:pt idx="42">
                  <c:v>41.8</c:v>
                </c:pt>
                <c:pt idx="43">
                  <c:v>43.2</c:v>
                </c:pt>
                <c:pt idx="44">
                  <c:v>40.5</c:v>
                </c:pt>
                <c:pt idx="45">
                  <c:v>43</c:v>
                </c:pt>
                <c:pt idx="46" c:formatCode="General">
                  <c:v>39</c:v>
                </c:pt>
                <c:pt idx="47" c:formatCode="General">
                  <c:v>32</c:v>
                </c:pt>
                <c:pt idx="48" c:formatCode="General">
                  <c:v>53</c:v>
                </c:pt>
                <c:pt idx="49" c:formatCode="General">
                  <c:v>39</c:v>
                </c:pt>
                <c:pt idx="50" c:formatCode="General">
                  <c:v>38</c:v>
                </c:pt>
                <c:pt idx="51" c:formatCode="General">
                  <c:v>40</c:v>
                </c:pt>
                <c:pt idx="52" c:formatCode="General">
                  <c:v>51</c:v>
                </c:pt>
                <c:pt idx="53" c:formatCode="General">
                  <c:v>47</c:v>
                </c:pt>
                <c:pt idx="54" c:formatCode="General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'APP拉新-留存'!$P$3</c:f>
              <c:strCache>
                <c:ptCount val="1"/>
                <c:pt idx="0">
                  <c:v>Apple安装量</c:v>
                </c:pt>
              </c:strCache>
            </c:strRef>
          </c:tx>
          <c:spPr>
            <a:ln w="19050" cap="rnd">
              <a:solidFill>
                <a:srgbClr val="915EEA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'APP拉新-留存'!$P$4:$P$500</c:f>
              <c:numCache>
                <c:formatCode>0_);\(0\)</c:formatCode>
                <c:ptCount val="383"/>
                <c:pt idx="37">
                  <c:v>20.2</c:v>
                </c:pt>
                <c:pt idx="38">
                  <c:v>18.4</c:v>
                </c:pt>
                <c:pt idx="39">
                  <c:v>30.4</c:v>
                </c:pt>
                <c:pt idx="40">
                  <c:v>20</c:v>
                </c:pt>
                <c:pt idx="41">
                  <c:v>35.4</c:v>
                </c:pt>
                <c:pt idx="42">
                  <c:v>38</c:v>
                </c:pt>
                <c:pt idx="43">
                  <c:v>25.6</c:v>
                </c:pt>
                <c:pt idx="44">
                  <c:v>14.6</c:v>
                </c:pt>
                <c:pt idx="45">
                  <c:v>9.2</c:v>
                </c:pt>
                <c:pt idx="46">
                  <c:v>11.4</c:v>
                </c:pt>
                <c:pt idx="47">
                  <c:v>9.8</c:v>
                </c:pt>
                <c:pt idx="48">
                  <c:v>11.6</c:v>
                </c:pt>
                <c:pt idx="49">
                  <c:v>12</c:v>
                </c:pt>
                <c:pt idx="50">
                  <c:v>14.2</c:v>
                </c:pt>
                <c:pt idx="51">
                  <c:v>10.6</c:v>
                </c:pt>
                <c:pt idx="52">
                  <c:v>20.8</c:v>
                </c:pt>
                <c:pt idx="53">
                  <c:v>15.6</c:v>
                </c:pt>
                <c:pt idx="54">
                  <c:v>27.8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350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9955df6-8863-413a-bb97-0228c98e1f78}"/>
      </c:ext>
    </c:extLst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4000" b="1" i="0" u="none"/>
              <a:t>老用户日活</a:t>
            </a:r>
            <a:endParaRPr sz="14000" b="1" i="0" u="none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'APP拉新-留存'!$E$3</c:f>
              <c:strCache>
                <c:ptCount val="1"/>
                <c:pt idx="0">
                  <c:v>老用户日活</c:v>
                </c:pt>
              </c:strCache>
            </c:strRef>
          </c:tx>
          <c:spPr>
            <a:ln w="19050" cap="rnd">
              <a:solidFill>
                <a:srgbClr val="5383F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'APP拉新-留存'!$E$4:$E$159</c:f>
              <c:numCache>
                <c:formatCode>0</c:formatCode>
                <c:ptCount val="52"/>
                <c:pt idx="0">
                  <c:v>128.6</c:v>
                </c:pt>
                <c:pt idx="1">
                  <c:v>128.6</c:v>
                </c:pt>
                <c:pt idx="2">
                  <c:v>149.8</c:v>
                </c:pt>
                <c:pt idx="3">
                  <c:v>153</c:v>
                </c:pt>
                <c:pt idx="4">
                  <c:v>147</c:v>
                </c:pt>
                <c:pt idx="5">
                  <c:v>152</c:v>
                </c:pt>
                <c:pt idx="6">
                  <c:v>152.2</c:v>
                </c:pt>
                <c:pt idx="7">
                  <c:v>178.2</c:v>
                </c:pt>
                <c:pt idx="8">
                  <c:v>179</c:v>
                </c:pt>
                <c:pt idx="9">
                  <c:v>237.6</c:v>
                </c:pt>
                <c:pt idx="10">
                  <c:v>240</c:v>
                </c:pt>
                <c:pt idx="11">
                  <c:v>272.6</c:v>
                </c:pt>
                <c:pt idx="12">
                  <c:v>263.6</c:v>
                </c:pt>
                <c:pt idx="13">
                  <c:v>258.4</c:v>
                </c:pt>
                <c:pt idx="14">
                  <c:v>274.6</c:v>
                </c:pt>
                <c:pt idx="15">
                  <c:v>274.6</c:v>
                </c:pt>
                <c:pt idx="16">
                  <c:v>248.6</c:v>
                </c:pt>
                <c:pt idx="17">
                  <c:v>278.4</c:v>
                </c:pt>
                <c:pt idx="18">
                  <c:v>260.2</c:v>
                </c:pt>
                <c:pt idx="19">
                  <c:v>310.2</c:v>
                </c:pt>
                <c:pt idx="20">
                  <c:v>349.8</c:v>
                </c:pt>
                <c:pt idx="21">
                  <c:v>357.6</c:v>
                </c:pt>
                <c:pt idx="22">
                  <c:v>353.2</c:v>
                </c:pt>
                <c:pt idx="23">
                  <c:v>352</c:v>
                </c:pt>
                <c:pt idx="24">
                  <c:v>336</c:v>
                </c:pt>
                <c:pt idx="25">
                  <c:v>299.4</c:v>
                </c:pt>
                <c:pt idx="26">
                  <c:v>299.6</c:v>
                </c:pt>
                <c:pt idx="27">
                  <c:v>349.8</c:v>
                </c:pt>
                <c:pt idx="28">
                  <c:v>341</c:v>
                </c:pt>
                <c:pt idx="29">
                  <c:v>338.4</c:v>
                </c:pt>
                <c:pt idx="30">
                  <c:v>368.8</c:v>
                </c:pt>
                <c:pt idx="31">
                  <c:v>348.2</c:v>
                </c:pt>
                <c:pt idx="32">
                  <c:v>320.4</c:v>
                </c:pt>
                <c:pt idx="33">
                  <c:v>329.6</c:v>
                </c:pt>
                <c:pt idx="34">
                  <c:v>324.4</c:v>
                </c:pt>
                <c:pt idx="35">
                  <c:v>221.2</c:v>
                </c:pt>
                <c:pt idx="36">
                  <c:v>227</c:v>
                </c:pt>
                <c:pt idx="37">
                  <c:v>219.4</c:v>
                </c:pt>
                <c:pt idx="38">
                  <c:v>221.2</c:v>
                </c:pt>
                <c:pt idx="39">
                  <c:v>248.6</c:v>
                </c:pt>
                <c:pt idx="40">
                  <c:v>270.2</c:v>
                </c:pt>
                <c:pt idx="41">
                  <c:v>331</c:v>
                </c:pt>
                <c:pt idx="42">
                  <c:v>301.6</c:v>
                </c:pt>
                <c:pt idx="43">
                  <c:v>317.4</c:v>
                </c:pt>
                <c:pt idx="44">
                  <c:v>340</c:v>
                </c:pt>
                <c:pt idx="45">
                  <c:v>337.6</c:v>
                </c:pt>
                <c:pt idx="46">
                  <c:v>311.8</c:v>
                </c:pt>
                <c:pt idx="47">
                  <c:v>292.2</c:v>
                </c:pt>
                <c:pt idx="48">
                  <c:v>306.6</c:v>
                </c:pt>
                <c:pt idx="49">
                  <c:v>310.6</c:v>
                </c:pt>
                <c:pt idx="50">
                  <c:v>323.8</c:v>
                </c:pt>
                <c:pt idx="51">
                  <c:v>307.6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350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ec4b237-9005-4678-b096-b686ef587955}"/>
      </c:ext>
    </c:extLst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'APP拉新-留存'!$D$3</c:f>
              <c:strCache>
                <c:ptCount val="1"/>
                <c:pt idx="0">
                  <c:v>自然下载</c:v>
                </c:pt>
              </c:strCache>
            </c:strRef>
          </c:tx>
          <c:spPr>
            <a:ln w="19050" cap="rnd">
              <a:solidFill>
                <a:srgbClr val="5383F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'APP拉新-留存'!$D$4:$D$159</c:f>
              <c:numCache>
                <c:formatCode>0_);\(0\)</c:formatCode>
                <c:ptCount val="52"/>
                <c:pt idx="0">
                  <c:v>95.4</c:v>
                </c:pt>
                <c:pt idx="1">
                  <c:v>106.6</c:v>
                </c:pt>
                <c:pt idx="2">
                  <c:v>124</c:v>
                </c:pt>
                <c:pt idx="3">
                  <c:v>96</c:v>
                </c:pt>
                <c:pt idx="4">
                  <c:v>110.6</c:v>
                </c:pt>
                <c:pt idx="5">
                  <c:v>102.2</c:v>
                </c:pt>
                <c:pt idx="6">
                  <c:v>98.2</c:v>
                </c:pt>
                <c:pt idx="7">
                  <c:v>127</c:v>
                </c:pt>
                <c:pt idx="8">
                  <c:v>118.4</c:v>
                </c:pt>
                <c:pt idx="9">
                  <c:v>151.4</c:v>
                </c:pt>
                <c:pt idx="10">
                  <c:v>227.6</c:v>
                </c:pt>
                <c:pt idx="11">
                  <c:v>144.6</c:v>
                </c:pt>
                <c:pt idx="12">
                  <c:v>179.4</c:v>
                </c:pt>
                <c:pt idx="13">
                  <c:v>179.6</c:v>
                </c:pt>
                <c:pt idx="14">
                  <c:v>148.2</c:v>
                </c:pt>
                <c:pt idx="15">
                  <c:v>142.6</c:v>
                </c:pt>
                <c:pt idx="16">
                  <c:v>148.2</c:v>
                </c:pt>
                <c:pt idx="17">
                  <c:v>182.4</c:v>
                </c:pt>
                <c:pt idx="18">
                  <c:v>243.8</c:v>
                </c:pt>
                <c:pt idx="19">
                  <c:v>260.2</c:v>
                </c:pt>
                <c:pt idx="20">
                  <c:v>232.2</c:v>
                </c:pt>
                <c:pt idx="21">
                  <c:v>188.2</c:v>
                </c:pt>
                <c:pt idx="22">
                  <c:v>161.4</c:v>
                </c:pt>
                <c:pt idx="23">
                  <c:v>165</c:v>
                </c:pt>
                <c:pt idx="24">
                  <c:v>170</c:v>
                </c:pt>
                <c:pt idx="25">
                  <c:v>165.4</c:v>
                </c:pt>
                <c:pt idx="26">
                  <c:v>149.4</c:v>
                </c:pt>
                <c:pt idx="27">
                  <c:v>154</c:v>
                </c:pt>
                <c:pt idx="28">
                  <c:v>189</c:v>
                </c:pt>
                <c:pt idx="29">
                  <c:v>187</c:v>
                </c:pt>
                <c:pt idx="30">
                  <c:v>160.2</c:v>
                </c:pt>
                <c:pt idx="31">
                  <c:v>144.4</c:v>
                </c:pt>
                <c:pt idx="32">
                  <c:v>155.4</c:v>
                </c:pt>
                <c:pt idx="33">
                  <c:v>149.8</c:v>
                </c:pt>
                <c:pt idx="34">
                  <c:v>143.2</c:v>
                </c:pt>
                <c:pt idx="35">
                  <c:v>171</c:v>
                </c:pt>
                <c:pt idx="36">
                  <c:v>217.8</c:v>
                </c:pt>
                <c:pt idx="37">
                  <c:v>192</c:v>
                </c:pt>
                <c:pt idx="38">
                  <c:v>228.4</c:v>
                </c:pt>
                <c:pt idx="39">
                  <c:v>237.2</c:v>
                </c:pt>
                <c:pt idx="40">
                  <c:v>190.2</c:v>
                </c:pt>
                <c:pt idx="41">
                  <c:v>218.6</c:v>
                </c:pt>
                <c:pt idx="42">
                  <c:v>194.6</c:v>
                </c:pt>
                <c:pt idx="43">
                  <c:v>205</c:v>
                </c:pt>
                <c:pt idx="44">
                  <c:v>216.6</c:v>
                </c:pt>
                <c:pt idx="45">
                  <c:v>158.8</c:v>
                </c:pt>
                <c:pt idx="46">
                  <c:v>121.4</c:v>
                </c:pt>
                <c:pt idx="47">
                  <c:v>123.2</c:v>
                </c:pt>
                <c:pt idx="48">
                  <c:v>141.8</c:v>
                </c:pt>
                <c:pt idx="49">
                  <c:v>152.4</c:v>
                </c:pt>
                <c:pt idx="50">
                  <c:v>121.8</c:v>
                </c:pt>
                <c:pt idx="51">
                  <c:v>92.6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'APP拉新-留存'!$G$3</c:f>
              <c:strCache>
                <c:ptCount val="1"/>
                <c:pt idx="0">
                  <c:v>自然次留</c:v>
                </c:pt>
              </c:strCache>
            </c:strRef>
          </c:tx>
          <c:spPr>
            <a:ln w="19050" cap="rnd">
              <a:solidFill>
                <a:srgbClr val="55C6EF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'APP拉新-留存'!$G$4:$G$159</c:f>
              <c:numCache>
                <c:formatCode>0_);\(0\)</c:formatCode>
                <c:ptCount val="52"/>
                <c:pt idx="0">
                  <c:v>12.8</c:v>
                </c:pt>
                <c:pt idx="1">
                  <c:v>17.4</c:v>
                </c:pt>
                <c:pt idx="2">
                  <c:v>14.4</c:v>
                </c:pt>
                <c:pt idx="3">
                  <c:v>13.8</c:v>
                </c:pt>
                <c:pt idx="4">
                  <c:v>13.8</c:v>
                </c:pt>
                <c:pt idx="5">
                  <c:v>16.2</c:v>
                </c:pt>
                <c:pt idx="6">
                  <c:v>21.2</c:v>
                </c:pt>
                <c:pt idx="7">
                  <c:v>25</c:v>
                </c:pt>
                <c:pt idx="8">
                  <c:v>19.6</c:v>
                </c:pt>
                <c:pt idx="9">
                  <c:v>31.2</c:v>
                </c:pt>
                <c:pt idx="10">
                  <c:v>63.8</c:v>
                </c:pt>
                <c:pt idx="11">
                  <c:v>24.6</c:v>
                </c:pt>
                <c:pt idx="12">
                  <c:v>30</c:v>
                </c:pt>
                <c:pt idx="13">
                  <c:v>29</c:v>
                </c:pt>
                <c:pt idx="14">
                  <c:v>22.4</c:v>
                </c:pt>
                <c:pt idx="15">
                  <c:v>20.8</c:v>
                </c:pt>
                <c:pt idx="16">
                  <c:v>22</c:v>
                </c:pt>
                <c:pt idx="17">
                  <c:v>24.4</c:v>
                </c:pt>
                <c:pt idx="18">
                  <c:v>28.2</c:v>
                </c:pt>
                <c:pt idx="19">
                  <c:v>28.4</c:v>
                </c:pt>
                <c:pt idx="20">
                  <c:v>38.2</c:v>
                </c:pt>
                <c:pt idx="21">
                  <c:v>30.8</c:v>
                </c:pt>
                <c:pt idx="22">
                  <c:v>32.4</c:v>
                </c:pt>
                <c:pt idx="23">
                  <c:v>22.4</c:v>
                </c:pt>
                <c:pt idx="24">
                  <c:v>29.6</c:v>
                </c:pt>
                <c:pt idx="25">
                  <c:v>25.6</c:v>
                </c:pt>
                <c:pt idx="26">
                  <c:v>25.2</c:v>
                </c:pt>
                <c:pt idx="27">
                  <c:v>20.8</c:v>
                </c:pt>
                <c:pt idx="28">
                  <c:v>24.2</c:v>
                </c:pt>
                <c:pt idx="29">
                  <c:v>21.2</c:v>
                </c:pt>
                <c:pt idx="30">
                  <c:v>21.2</c:v>
                </c:pt>
                <c:pt idx="31">
                  <c:v>18.8</c:v>
                </c:pt>
                <c:pt idx="32">
                  <c:v>22</c:v>
                </c:pt>
                <c:pt idx="33">
                  <c:v>18.6</c:v>
                </c:pt>
                <c:pt idx="34">
                  <c:v>21.8</c:v>
                </c:pt>
                <c:pt idx="35">
                  <c:v>20.4</c:v>
                </c:pt>
                <c:pt idx="36">
                  <c:v>20.4</c:v>
                </c:pt>
                <c:pt idx="37">
                  <c:v>22.4</c:v>
                </c:pt>
                <c:pt idx="38">
                  <c:v>24</c:v>
                </c:pt>
                <c:pt idx="39">
                  <c:v>25.4</c:v>
                </c:pt>
                <c:pt idx="40">
                  <c:v>24.6</c:v>
                </c:pt>
                <c:pt idx="41">
                  <c:v>35</c:v>
                </c:pt>
                <c:pt idx="42">
                  <c:v>29.8</c:v>
                </c:pt>
                <c:pt idx="43">
                  <c:v>26</c:v>
                </c:pt>
                <c:pt idx="44">
                  <c:v>23.4</c:v>
                </c:pt>
                <c:pt idx="45">
                  <c:v>21.8</c:v>
                </c:pt>
                <c:pt idx="46">
                  <c:v>19</c:v>
                </c:pt>
                <c:pt idx="47">
                  <c:v>19.6</c:v>
                </c:pt>
                <c:pt idx="48">
                  <c:v>21.6</c:v>
                </c:pt>
                <c:pt idx="49">
                  <c:v>21.2</c:v>
                </c:pt>
                <c:pt idx="50">
                  <c:v>15.4</c:v>
                </c:pt>
                <c:pt idx="51">
                  <c:v>16.6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350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c2a78ad-a5d1-41c9-874e-401231bfb827}"/>
      </c:ext>
    </c:extLst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4000" b="1" i="0" u="none"/>
              <a:t>交易商页面访问数，交访/日活率</a:t>
            </a:r>
            <a:endParaRPr sz="14000" b="1" i="0" u="none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APP转化!$R$4</c:f>
              <c:strCache>
                <c:ptCount val="1"/>
                <c:pt idx="0">
                  <c:v>交易商页面访问数</c:v>
                </c:pt>
              </c:strCache>
            </c:strRef>
          </c:tx>
          <c:spPr>
            <a:ln w="19050" cap="rnd">
              <a:solidFill>
                <a:srgbClr val="5383F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APP转化!$R$5:$R$160</c:f>
              <c:numCache>
                <c:formatCode>General</c:formatCode>
                <c:ptCount val="4"/>
                <c:pt idx="0">
                  <c:v>184.2</c:v>
                </c:pt>
                <c:pt idx="1">
                  <c:v>193.2</c:v>
                </c:pt>
                <c:pt idx="2">
                  <c:v>202.8</c:v>
                </c:pt>
                <c:pt idx="3">
                  <c:v>190.4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350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7412145-cd9c-43b4-b174-37725dd4b64f}"/>
      </c:ext>
    </c:extLst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4000" b="1" i="0" u="none"/>
              <a:t>日活，商业页面访问数，（日活+频道首页）/商业</a:t>
            </a:r>
            <a:endParaRPr sz="14000" b="1" i="0" u="none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APP转化!$E$4</c:f>
              <c:strCache>
                <c:ptCount val="1"/>
                <c:pt idx="0">
                  <c:v>日活</c:v>
                </c:pt>
              </c:strCache>
            </c:strRef>
          </c:tx>
          <c:spPr>
            <a:ln w="19050" cap="rnd">
              <a:solidFill>
                <a:srgbClr val="5383F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APP转化!$E$2:$E$145</c:f>
              <c:numCache>
                <c:formatCode>General</c:formatCode>
                <c:ptCount val="3"/>
                <c:pt idx="0">
                  <c:v>0</c:v>
                </c:pt>
                <c:pt idx="2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APP转化!$I$4</c:f>
              <c:strCache>
                <c:ptCount val="1"/>
                <c:pt idx="0">
                  <c:v>商业页面访问数</c:v>
                </c:pt>
              </c:strCache>
            </c:strRef>
          </c:tx>
          <c:spPr>
            <a:ln w="19050" cap="rnd">
              <a:solidFill>
                <a:srgbClr val="55C6EF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APP转化!$I$2:$I$145</c:f>
              <c:numCache>
                <c:formatCode>0_);\(0\)</c:formatCode>
                <c:ptCount val="3"/>
                <c:pt idx="0">
                  <c:v>0</c:v>
                </c:pt>
                <c:pt idx="1" c:formatCode="General">
                  <c:v>0</c:v>
                </c:pt>
                <c:pt idx="2" c:formatCode="General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350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ae5f756-c655-4a89-af47-2f071b319ad2}"/>
      </c:ext>
    </c:extLst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4000" b="1" i="0" u="none"/>
              <a:t>日活，曝光页面访问数，（日活+频道首页）/曝光</a:t>
            </a:r>
            <a:endParaRPr sz="14000" b="1" i="0" u="none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APP转化!$E$4</c:f>
              <c:strCache>
                <c:ptCount val="1"/>
                <c:pt idx="0">
                  <c:v>日活</c:v>
                </c:pt>
              </c:strCache>
            </c:strRef>
          </c:tx>
          <c:spPr>
            <a:ln w="19050" cap="rnd">
              <a:solidFill>
                <a:srgbClr val="5383F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APP转化!$E$2:$E$145</c:f>
              <c:numCache>
                <c:formatCode>General</c:formatCode>
                <c:ptCount val="3"/>
                <c:pt idx="0">
                  <c:v>0</c:v>
                </c:pt>
                <c:pt idx="2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APP转化!$V$4</c:f>
              <c:strCache>
                <c:ptCount val="1"/>
                <c:pt idx="0">
                  <c:v>曝光页面访问数</c:v>
                </c:pt>
              </c:strCache>
            </c:strRef>
          </c:tx>
          <c:spPr>
            <a:ln w="19050" cap="rnd">
              <a:solidFill>
                <a:srgbClr val="55C6EF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APP转化!$V$2:$V$145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350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28ab8ab-150e-41ab-899c-b2a1d7ec6054}"/>
      </c:ext>
    </c:extLst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4000" b="1" i="0" u="none"/>
              <a:t>日活，搜索页面访问数，（日活+频道首页）/搜索</a:t>
            </a:r>
            <a:endParaRPr sz="14000" b="1" i="0" u="none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APP转化!$E$4</c:f>
              <c:strCache>
                <c:ptCount val="1"/>
                <c:pt idx="0">
                  <c:v>日活</c:v>
                </c:pt>
              </c:strCache>
            </c:strRef>
          </c:tx>
          <c:spPr>
            <a:ln w="19050" cap="rnd">
              <a:solidFill>
                <a:srgbClr val="5383F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APP转化!$E$2:$E$145</c:f>
              <c:numCache>
                <c:formatCode>General</c:formatCode>
                <c:ptCount val="3"/>
                <c:pt idx="0">
                  <c:v>0</c:v>
                </c:pt>
                <c:pt idx="2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APP转化!$O$4</c:f>
              <c:strCache>
                <c:ptCount val="1"/>
                <c:pt idx="0">
                  <c:v>搜索页面访问数</c:v>
                </c:pt>
              </c:strCache>
            </c:strRef>
          </c:tx>
          <c:spPr>
            <a:ln w="19050" cap="rnd">
              <a:solidFill>
                <a:srgbClr val="55C6EF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APP转化!$O$2:$O$145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350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23b6285-a0ae-4774-91a3-0d8c93f2800e}"/>
      </c:ext>
    </c:extLst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4000" b="1" i="0" u="none"/>
              <a:t>7点位去重人数</a:t>
            </a:r>
            <a:endParaRPr sz="14000" b="1" i="0" u="none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APP转化!$E$4</c:f>
              <c:strCache>
                <c:ptCount val="1"/>
                <c:pt idx="0">
                  <c:v>日活</c:v>
                </c:pt>
              </c:strCache>
            </c:strRef>
          </c:tx>
          <c:spPr>
            <a:ln w="19050" cap="rnd">
              <a:solidFill>
                <a:srgbClr val="5383F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APP转化!$E$5:$E$160</c:f>
              <c:numCache>
                <c:formatCode>General</c:formatCode>
                <c:ptCount val="4"/>
                <c:pt idx="0">
                  <c:v>448.4</c:v>
                </c:pt>
                <c:pt idx="1">
                  <c:v>463</c:v>
                </c:pt>
                <c:pt idx="2">
                  <c:v>445.6</c:v>
                </c:pt>
                <c:pt idx="3">
                  <c:v>400.2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APP转化!$F$4</c:f>
              <c:strCache>
                <c:ptCount val="1"/>
                <c:pt idx="0">
                  <c:v>访问7点位去重复人数</c:v>
                </c:pt>
              </c:strCache>
            </c:strRef>
          </c:tx>
          <c:spPr>
            <a:ln w="19050" cap="rnd">
              <a:solidFill>
                <a:srgbClr val="55C6EF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APP转化!$F$5:$F$160</c:f>
              <c:numCache>
                <c:formatCode>General</c:formatCode>
                <c:ptCount val="4"/>
                <c:pt idx="0">
                  <c:v>274.2</c:v>
                </c:pt>
                <c:pt idx="1">
                  <c:v>267.4</c:v>
                </c:pt>
                <c:pt idx="2">
                  <c:v>277.6</c:v>
                </c:pt>
                <c:pt idx="3">
                  <c:v>257.4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350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e8c4dc0-fed4-4211-8134-520d5bfe07a4}"/>
      </c:ext>
    </c:extLst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4000" b="1" i="0" u="none"/>
              <a:t>日活，7点位去重复人数/日活，事件总数/7点位去重复人数</a:t>
            </a:r>
            <a:endParaRPr sz="14000" b="1" i="0" u="none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APP转化!$E$4</c:f>
              <c:strCache>
                <c:ptCount val="1"/>
                <c:pt idx="0">
                  <c:v>日活</c:v>
                </c:pt>
              </c:strCache>
            </c:strRef>
          </c:tx>
          <c:spPr>
            <a:ln w="19050" cap="rnd">
              <a:solidFill>
                <a:srgbClr val="5383F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APP转化!$E$2:$E$145</c:f>
              <c:numCache>
                <c:formatCode>General</c:formatCode>
                <c:ptCount val="3"/>
                <c:pt idx="0">
                  <c:v>0</c:v>
                </c:pt>
                <c:pt idx="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350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9d0cd4f-7068-47c3-9d1d-c0c1ec2facc1}"/>
      </c:ext>
    </c:extLst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4000" b="1" i="0" u="none"/>
              <a:t>新闻页面访问数，（日活+频道首页）/新闻</a:t>
            </a:r>
            <a:endParaRPr sz="14000" b="1" i="0" u="none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APP转化!$Y$4</c:f>
              <c:strCache>
                <c:ptCount val="1"/>
                <c:pt idx="0">
                  <c:v>新闻页面访问数</c:v>
                </c:pt>
              </c:strCache>
            </c:strRef>
          </c:tx>
          <c:spPr>
            <a:ln w="19050" cap="rnd">
              <a:solidFill>
                <a:srgbClr val="5383F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APP转化!$Y$2:$Y$145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350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1830745-ab2e-4dcc-99ac-96806eb90925}"/>
      </c:ext>
    </c:extLst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WEB来源数据!$C$2</c:f>
              <c:strCache>
                <c:ptCount val="1"/>
                <c:pt idx="0">
                  <c:v>自然北极星</c:v>
                </c:pt>
              </c:strCache>
            </c:strRef>
          </c:tx>
          <c:spPr>
            <a:ln w="19050" cap="rnd">
              <a:solidFill>
                <a:srgbClr val="5383F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WEB来源数据!$C$3:$C$158</c:f>
              <c:numCache>
                <c:formatCode>0_);\(0\)</c:formatCode>
                <c:ptCount val="75"/>
                <c:pt idx="0">
                  <c:v>329.9</c:v>
                </c:pt>
                <c:pt idx="1">
                  <c:v>398.9</c:v>
                </c:pt>
                <c:pt idx="2">
                  <c:v>728.8</c:v>
                </c:pt>
                <c:pt idx="3">
                  <c:v>367.3</c:v>
                </c:pt>
                <c:pt idx="4">
                  <c:v>762.7</c:v>
                </c:pt>
                <c:pt idx="5">
                  <c:v>1130</c:v>
                </c:pt>
                <c:pt idx="6">
                  <c:v>377.2</c:v>
                </c:pt>
                <c:pt idx="7">
                  <c:v>539.5</c:v>
                </c:pt>
                <c:pt idx="8">
                  <c:v>916.7</c:v>
                </c:pt>
                <c:pt idx="9">
                  <c:v>391.8</c:v>
                </c:pt>
                <c:pt idx="10">
                  <c:v>524.4</c:v>
                </c:pt>
                <c:pt idx="11">
                  <c:v>916.2</c:v>
                </c:pt>
                <c:pt idx="12">
                  <c:v>202.8</c:v>
                </c:pt>
                <c:pt idx="13">
                  <c:v>294</c:v>
                </c:pt>
                <c:pt idx="14">
                  <c:v>496.8</c:v>
                </c:pt>
                <c:pt idx="15">
                  <c:v>415.6</c:v>
                </c:pt>
                <c:pt idx="16">
                  <c:v>532.4</c:v>
                </c:pt>
                <c:pt idx="17">
                  <c:v>948</c:v>
                </c:pt>
                <c:pt idx="18">
                  <c:v>377.3</c:v>
                </c:pt>
                <c:pt idx="19">
                  <c:v>455.9</c:v>
                </c:pt>
                <c:pt idx="20">
                  <c:v>833.2</c:v>
                </c:pt>
                <c:pt idx="21">
                  <c:v>377.5</c:v>
                </c:pt>
                <c:pt idx="22">
                  <c:v>442.7</c:v>
                </c:pt>
                <c:pt idx="23">
                  <c:v>820.2</c:v>
                </c:pt>
                <c:pt idx="24">
                  <c:v>279.7</c:v>
                </c:pt>
                <c:pt idx="25">
                  <c:v>433</c:v>
                </c:pt>
                <c:pt idx="26">
                  <c:v>712.7</c:v>
                </c:pt>
                <c:pt idx="27">
                  <c:v>330.2</c:v>
                </c:pt>
                <c:pt idx="28">
                  <c:v>440.4</c:v>
                </c:pt>
                <c:pt idx="29">
                  <c:v>770.6</c:v>
                </c:pt>
                <c:pt idx="30">
                  <c:v>307.6</c:v>
                </c:pt>
                <c:pt idx="31">
                  <c:v>344.2</c:v>
                </c:pt>
                <c:pt idx="32">
                  <c:v>651.8</c:v>
                </c:pt>
                <c:pt idx="33">
                  <c:v>330.5</c:v>
                </c:pt>
                <c:pt idx="34">
                  <c:v>385.4</c:v>
                </c:pt>
                <c:pt idx="35">
                  <c:v>715.9</c:v>
                </c:pt>
                <c:pt idx="36">
                  <c:v>310.5</c:v>
                </c:pt>
                <c:pt idx="37">
                  <c:v>306.2</c:v>
                </c:pt>
                <c:pt idx="38">
                  <c:v>616.7</c:v>
                </c:pt>
                <c:pt idx="39">
                  <c:v>312.8</c:v>
                </c:pt>
                <c:pt idx="40">
                  <c:v>328.5</c:v>
                </c:pt>
                <c:pt idx="41">
                  <c:v>641.3</c:v>
                </c:pt>
                <c:pt idx="42">
                  <c:v>361</c:v>
                </c:pt>
                <c:pt idx="43">
                  <c:v>330.4</c:v>
                </c:pt>
                <c:pt idx="44">
                  <c:v>691.4</c:v>
                </c:pt>
                <c:pt idx="45">
                  <c:v>313.2</c:v>
                </c:pt>
                <c:pt idx="46">
                  <c:v>312.8</c:v>
                </c:pt>
                <c:pt idx="47">
                  <c:v>626</c:v>
                </c:pt>
                <c:pt idx="48">
                  <c:v>291.1</c:v>
                </c:pt>
                <c:pt idx="49">
                  <c:v>324.1</c:v>
                </c:pt>
                <c:pt idx="50">
                  <c:v>615.2</c:v>
                </c:pt>
                <c:pt idx="51">
                  <c:v>345.4</c:v>
                </c:pt>
                <c:pt idx="52">
                  <c:v>367</c:v>
                </c:pt>
                <c:pt idx="53">
                  <c:v>712.4</c:v>
                </c:pt>
                <c:pt idx="54">
                  <c:v>318.4</c:v>
                </c:pt>
                <c:pt idx="55">
                  <c:v>316.1</c:v>
                </c:pt>
                <c:pt idx="56">
                  <c:v>634.5</c:v>
                </c:pt>
                <c:pt idx="57">
                  <c:v>339.8</c:v>
                </c:pt>
                <c:pt idx="58">
                  <c:v>337.4</c:v>
                </c:pt>
                <c:pt idx="59">
                  <c:v>677.2</c:v>
                </c:pt>
                <c:pt idx="60">
                  <c:v>344.4</c:v>
                </c:pt>
                <c:pt idx="61">
                  <c:v>362.1</c:v>
                </c:pt>
                <c:pt idx="62">
                  <c:v>706.5</c:v>
                </c:pt>
                <c:pt idx="63" c:formatCode="General">
                  <c:v>346.8</c:v>
                </c:pt>
                <c:pt idx="64" c:formatCode="General">
                  <c:v>372.1</c:v>
                </c:pt>
                <c:pt idx="65">
                  <c:v>718.9</c:v>
                </c:pt>
                <c:pt idx="66" c:formatCode="General">
                  <c:v>372.3</c:v>
                </c:pt>
                <c:pt idx="67" c:formatCode="General">
                  <c:v>388.7</c:v>
                </c:pt>
                <c:pt idx="68">
                  <c:v>761</c:v>
                </c:pt>
                <c:pt idx="69" c:formatCode="General">
                  <c:v>462.9</c:v>
                </c:pt>
                <c:pt idx="70" c:formatCode="General">
                  <c:v>353.4</c:v>
                </c:pt>
                <c:pt idx="71">
                  <c:v>816.3</c:v>
                </c:pt>
                <c:pt idx="72" c:formatCode="General">
                  <c:v>526.9</c:v>
                </c:pt>
                <c:pt idx="73" c:formatCode="General">
                  <c:v>377</c:v>
                </c:pt>
                <c:pt idx="74">
                  <c:v>903.9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WEB来源数据!$E$2</c:f>
              <c:strCache>
                <c:ptCount val="1"/>
                <c:pt idx="0">
                  <c:v>google自然 UV</c:v>
                </c:pt>
              </c:strCache>
            </c:strRef>
          </c:tx>
          <c:spPr>
            <a:ln w="19050" cap="rnd">
              <a:solidFill>
                <a:srgbClr val="55C6EF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WEB来源数据!$E$3:$E$158</c:f>
              <c:numCache>
                <c:formatCode>0_);\(0\)</c:formatCode>
                <c:ptCount val="75"/>
                <c:pt idx="0">
                  <c:v>876.4</c:v>
                </c:pt>
                <c:pt idx="1">
                  <c:v>911</c:v>
                </c:pt>
                <c:pt idx="2">
                  <c:v>1787.4</c:v>
                </c:pt>
                <c:pt idx="3">
                  <c:v>867</c:v>
                </c:pt>
                <c:pt idx="4">
                  <c:v>1494.8</c:v>
                </c:pt>
                <c:pt idx="5">
                  <c:v>2361.8</c:v>
                </c:pt>
                <c:pt idx="6">
                  <c:v>920.8</c:v>
                </c:pt>
                <c:pt idx="7">
                  <c:v>1182</c:v>
                </c:pt>
                <c:pt idx="8">
                  <c:v>2102.8</c:v>
                </c:pt>
                <c:pt idx="9">
                  <c:v>970.2</c:v>
                </c:pt>
                <c:pt idx="10">
                  <c:v>1168.8</c:v>
                </c:pt>
                <c:pt idx="11">
                  <c:v>2139</c:v>
                </c:pt>
                <c:pt idx="12">
                  <c:v>764.8</c:v>
                </c:pt>
                <c:pt idx="13">
                  <c:v>1039.4</c:v>
                </c:pt>
                <c:pt idx="14">
                  <c:v>1804.2</c:v>
                </c:pt>
                <c:pt idx="15">
                  <c:v>1026.2</c:v>
                </c:pt>
                <c:pt idx="16">
                  <c:v>1196</c:v>
                </c:pt>
                <c:pt idx="17">
                  <c:v>2222.2</c:v>
                </c:pt>
                <c:pt idx="18">
                  <c:v>890.2</c:v>
                </c:pt>
                <c:pt idx="19">
                  <c:v>1094.2</c:v>
                </c:pt>
                <c:pt idx="20">
                  <c:v>1984.4</c:v>
                </c:pt>
                <c:pt idx="21">
                  <c:v>895.8</c:v>
                </c:pt>
                <c:pt idx="22">
                  <c:v>989.2</c:v>
                </c:pt>
                <c:pt idx="23">
                  <c:v>1885</c:v>
                </c:pt>
                <c:pt idx="24">
                  <c:v>724.8</c:v>
                </c:pt>
                <c:pt idx="25">
                  <c:v>986</c:v>
                </c:pt>
                <c:pt idx="26">
                  <c:v>1710.8</c:v>
                </c:pt>
                <c:pt idx="27">
                  <c:v>783</c:v>
                </c:pt>
                <c:pt idx="28">
                  <c:v>967</c:v>
                </c:pt>
                <c:pt idx="29">
                  <c:v>1750</c:v>
                </c:pt>
                <c:pt idx="30">
                  <c:v>812.2</c:v>
                </c:pt>
                <c:pt idx="31">
                  <c:v>816.2</c:v>
                </c:pt>
                <c:pt idx="32">
                  <c:v>1628.4</c:v>
                </c:pt>
                <c:pt idx="33">
                  <c:v>818.6</c:v>
                </c:pt>
                <c:pt idx="34">
                  <c:v>897.8</c:v>
                </c:pt>
                <c:pt idx="35">
                  <c:v>1716.4</c:v>
                </c:pt>
                <c:pt idx="36">
                  <c:v>882</c:v>
                </c:pt>
                <c:pt idx="37">
                  <c:v>789</c:v>
                </c:pt>
                <c:pt idx="38">
                  <c:v>1671</c:v>
                </c:pt>
                <c:pt idx="39">
                  <c:v>896.4</c:v>
                </c:pt>
                <c:pt idx="40">
                  <c:v>909.2</c:v>
                </c:pt>
                <c:pt idx="41">
                  <c:v>1805.6</c:v>
                </c:pt>
                <c:pt idx="42">
                  <c:v>902.4</c:v>
                </c:pt>
                <c:pt idx="43">
                  <c:v>849.4</c:v>
                </c:pt>
                <c:pt idx="44">
                  <c:v>1751.8</c:v>
                </c:pt>
                <c:pt idx="45">
                  <c:v>807</c:v>
                </c:pt>
                <c:pt idx="46">
                  <c:v>900.4</c:v>
                </c:pt>
                <c:pt idx="47">
                  <c:v>1707.4</c:v>
                </c:pt>
                <c:pt idx="48">
                  <c:v>808.8</c:v>
                </c:pt>
                <c:pt idx="49">
                  <c:v>878.8</c:v>
                </c:pt>
                <c:pt idx="50">
                  <c:v>1687.6</c:v>
                </c:pt>
                <c:pt idx="51">
                  <c:v>852.2</c:v>
                </c:pt>
                <c:pt idx="52">
                  <c:v>891.2</c:v>
                </c:pt>
                <c:pt idx="53">
                  <c:v>1743.4</c:v>
                </c:pt>
                <c:pt idx="54">
                  <c:v>828</c:v>
                </c:pt>
                <c:pt idx="55">
                  <c:v>811.8</c:v>
                </c:pt>
                <c:pt idx="56">
                  <c:v>1639.8</c:v>
                </c:pt>
                <c:pt idx="57">
                  <c:v>855.4</c:v>
                </c:pt>
                <c:pt idx="58">
                  <c:v>801.2</c:v>
                </c:pt>
                <c:pt idx="59">
                  <c:v>1656.6</c:v>
                </c:pt>
                <c:pt idx="60">
                  <c:v>879</c:v>
                </c:pt>
                <c:pt idx="61">
                  <c:v>982.6</c:v>
                </c:pt>
                <c:pt idx="62">
                  <c:v>1861.6</c:v>
                </c:pt>
                <c:pt idx="63" c:formatCode="General">
                  <c:v>1010.2</c:v>
                </c:pt>
                <c:pt idx="64" c:formatCode="General">
                  <c:v>1072.8</c:v>
                </c:pt>
                <c:pt idx="65">
                  <c:v>2083</c:v>
                </c:pt>
                <c:pt idx="66" c:formatCode="General">
                  <c:v>1002.8</c:v>
                </c:pt>
                <c:pt idx="67" c:formatCode="General">
                  <c:v>1143</c:v>
                </c:pt>
                <c:pt idx="68">
                  <c:v>2145.8</c:v>
                </c:pt>
                <c:pt idx="69" c:formatCode="General">
                  <c:v>1224.2</c:v>
                </c:pt>
                <c:pt idx="70" c:formatCode="General">
                  <c:v>973.6</c:v>
                </c:pt>
                <c:pt idx="71">
                  <c:v>2197.8</c:v>
                </c:pt>
                <c:pt idx="72" c:formatCode="General">
                  <c:v>1279.4</c:v>
                </c:pt>
                <c:pt idx="73" c:formatCode="General">
                  <c:v>1033.8</c:v>
                </c:pt>
                <c:pt idx="74">
                  <c:v>2313.2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WEB来源数据!$H$2</c:f>
              <c:strCache>
                <c:ptCount val="1"/>
                <c:pt idx="0">
                  <c:v>google top3</c:v>
                </c:pt>
              </c:strCache>
            </c:strRef>
          </c:tx>
          <c:spPr>
            <a:ln w="19050" cap="rnd">
              <a:solidFill>
                <a:srgbClr val="915EEA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WEB来源数据!$H$3:$H$158</c:f>
              <c:numCache>
                <c:formatCode>0_);\(0\)</c:formatCode>
                <c:ptCount val="75"/>
                <c:pt idx="0">
                  <c:v>334</c:v>
                </c:pt>
                <c:pt idx="1">
                  <c:v>178</c:v>
                </c:pt>
                <c:pt idx="2">
                  <c:v>512</c:v>
                </c:pt>
                <c:pt idx="3">
                  <c:v>348</c:v>
                </c:pt>
                <c:pt idx="4">
                  <c:v>186</c:v>
                </c:pt>
                <c:pt idx="5">
                  <c:v>534</c:v>
                </c:pt>
                <c:pt idx="6">
                  <c:v>352</c:v>
                </c:pt>
                <c:pt idx="7">
                  <c:v>189</c:v>
                </c:pt>
                <c:pt idx="8">
                  <c:v>541</c:v>
                </c:pt>
                <c:pt idx="9">
                  <c:v>361</c:v>
                </c:pt>
                <c:pt idx="10">
                  <c:v>197</c:v>
                </c:pt>
                <c:pt idx="11">
                  <c:v>558</c:v>
                </c:pt>
                <c:pt idx="12">
                  <c:v>374</c:v>
                </c:pt>
                <c:pt idx="13">
                  <c:v>210</c:v>
                </c:pt>
                <c:pt idx="14">
                  <c:v>584</c:v>
                </c:pt>
                <c:pt idx="15">
                  <c:v>395</c:v>
                </c:pt>
                <c:pt idx="16">
                  <c:v>202</c:v>
                </c:pt>
                <c:pt idx="17">
                  <c:v>597</c:v>
                </c:pt>
                <c:pt idx="18">
                  <c:v>411</c:v>
                </c:pt>
                <c:pt idx="19">
                  <c:v>192</c:v>
                </c:pt>
                <c:pt idx="20">
                  <c:v>603</c:v>
                </c:pt>
                <c:pt idx="21">
                  <c:v>403</c:v>
                </c:pt>
                <c:pt idx="22">
                  <c:v>183</c:v>
                </c:pt>
                <c:pt idx="23">
                  <c:v>586</c:v>
                </c:pt>
                <c:pt idx="24">
                  <c:v>394</c:v>
                </c:pt>
                <c:pt idx="25">
                  <c:v>191</c:v>
                </c:pt>
                <c:pt idx="26">
                  <c:v>585</c:v>
                </c:pt>
                <c:pt idx="27">
                  <c:v>390</c:v>
                </c:pt>
                <c:pt idx="28">
                  <c:v>202</c:v>
                </c:pt>
                <c:pt idx="29">
                  <c:v>592</c:v>
                </c:pt>
                <c:pt idx="30">
                  <c:v>417</c:v>
                </c:pt>
                <c:pt idx="31">
                  <c:v>209</c:v>
                </c:pt>
                <c:pt idx="32">
                  <c:v>626</c:v>
                </c:pt>
                <c:pt idx="33">
                  <c:v>449</c:v>
                </c:pt>
                <c:pt idx="34">
                  <c:v>218</c:v>
                </c:pt>
                <c:pt idx="35">
                  <c:v>667</c:v>
                </c:pt>
                <c:pt idx="36">
                  <c:v>452</c:v>
                </c:pt>
                <c:pt idx="37">
                  <c:v>221</c:v>
                </c:pt>
                <c:pt idx="38">
                  <c:v>673</c:v>
                </c:pt>
                <c:pt idx="39">
                  <c:v>476</c:v>
                </c:pt>
                <c:pt idx="40">
                  <c:v>242</c:v>
                </c:pt>
                <c:pt idx="41">
                  <c:v>718</c:v>
                </c:pt>
                <c:pt idx="42">
                  <c:v>508</c:v>
                </c:pt>
                <c:pt idx="43">
                  <c:v>262</c:v>
                </c:pt>
                <c:pt idx="44">
                  <c:v>770</c:v>
                </c:pt>
                <c:pt idx="45">
                  <c:v>519</c:v>
                </c:pt>
                <c:pt idx="46">
                  <c:v>282</c:v>
                </c:pt>
                <c:pt idx="47">
                  <c:v>801</c:v>
                </c:pt>
                <c:pt idx="48">
                  <c:v>531</c:v>
                </c:pt>
                <c:pt idx="49">
                  <c:v>295</c:v>
                </c:pt>
                <c:pt idx="50">
                  <c:v>826</c:v>
                </c:pt>
                <c:pt idx="51">
                  <c:v>557</c:v>
                </c:pt>
                <c:pt idx="52">
                  <c:v>310</c:v>
                </c:pt>
                <c:pt idx="53">
                  <c:v>867</c:v>
                </c:pt>
                <c:pt idx="54" c:formatCode="General">
                  <c:v>548</c:v>
                </c:pt>
                <c:pt idx="55" c:formatCode="General">
                  <c:v>291</c:v>
                </c:pt>
                <c:pt idx="56">
                  <c:v>839</c:v>
                </c:pt>
                <c:pt idx="57" c:formatCode="General">
                  <c:v>536</c:v>
                </c:pt>
                <c:pt idx="58" c:formatCode="General">
                  <c:v>276</c:v>
                </c:pt>
                <c:pt idx="59" c:formatCode="General">
                  <c:v>812</c:v>
                </c:pt>
                <c:pt idx="60">
                  <c:v>603</c:v>
                </c:pt>
                <c:pt idx="61">
                  <c:v>301</c:v>
                </c:pt>
                <c:pt idx="62">
                  <c:v>904</c:v>
                </c:pt>
                <c:pt idx="63">
                  <c:v>666</c:v>
                </c:pt>
                <c:pt idx="64">
                  <c:v>317</c:v>
                </c:pt>
                <c:pt idx="65">
                  <c:v>983</c:v>
                </c:pt>
                <c:pt idx="66">
                  <c:v>751</c:v>
                </c:pt>
                <c:pt idx="67">
                  <c:v>356</c:v>
                </c:pt>
                <c:pt idx="68">
                  <c:v>1107</c:v>
                </c:pt>
                <c:pt idx="69">
                  <c:v>818</c:v>
                </c:pt>
                <c:pt idx="70">
                  <c:v>377</c:v>
                </c:pt>
                <c:pt idx="71">
                  <c:v>1195</c:v>
                </c:pt>
                <c:pt idx="72">
                  <c:v>870</c:v>
                </c:pt>
                <c:pt idx="73">
                  <c:v>420</c:v>
                </c:pt>
                <c:pt idx="74">
                  <c:v>1290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350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9f04049-f539-483e-adad-0fb6563ce43a}"/>
      </c:ext>
    </c:extLst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WEB来源数据!$E$2</c:f>
              <c:strCache>
                <c:ptCount val="1"/>
                <c:pt idx="0">
                  <c:v>google自然 UV</c:v>
                </c:pt>
              </c:strCache>
            </c:strRef>
          </c:tx>
          <c:spPr>
            <a:ln w="19050" cap="rnd">
              <a:solidFill>
                <a:srgbClr val="5383F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WEB来源数据!$E$3:$E$158</c:f>
              <c:numCache>
                <c:formatCode>0_);\(0\)</c:formatCode>
                <c:ptCount val="75"/>
                <c:pt idx="0">
                  <c:v>876.4</c:v>
                </c:pt>
                <c:pt idx="1">
                  <c:v>911</c:v>
                </c:pt>
                <c:pt idx="2">
                  <c:v>1787.4</c:v>
                </c:pt>
                <c:pt idx="3">
                  <c:v>867</c:v>
                </c:pt>
                <c:pt idx="4">
                  <c:v>1494.8</c:v>
                </c:pt>
                <c:pt idx="5">
                  <c:v>2361.8</c:v>
                </c:pt>
                <c:pt idx="6">
                  <c:v>920.8</c:v>
                </c:pt>
                <c:pt idx="7">
                  <c:v>1182</c:v>
                </c:pt>
                <c:pt idx="8">
                  <c:v>2102.8</c:v>
                </c:pt>
                <c:pt idx="9">
                  <c:v>970.2</c:v>
                </c:pt>
                <c:pt idx="10">
                  <c:v>1168.8</c:v>
                </c:pt>
                <c:pt idx="11">
                  <c:v>2139</c:v>
                </c:pt>
                <c:pt idx="12">
                  <c:v>764.8</c:v>
                </c:pt>
                <c:pt idx="13">
                  <c:v>1039.4</c:v>
                </c:pt>
                <c:pt idx="14">
                  <c:v>1804.2</c:v>
                </c:pt>
                <c:pt idx="15">
                  <c:v>1026.2</c:v>
                </c:pt>
                <c:pt idx="16">
                  <c:v>1196</c:v>
                </c:pt>
                <c:pt idx="17">
                  <c:v>2222.2</c:v>
                </c:pt>
                <c:pt idx="18">
                  <c:v>890.2</c:v>
                </c:pt>
                <c:pt idx="19">
                  <c:v>1094.2</c:v>
                </c:pt>
                <c:pt idx="20">
                  <c:v>1984.4</c:v>
                </c:pt>
                <c:pt idx="21">
                  <c:v>895.8</c:v>
                </c:pt>
                <c:pt idx="22">
                  <c:v>989.2</c:v>
                </c:pt>
                <c:pt idx="23">
                  <c:v>1885</c:v>
                </c:pt>
                <c:pt idx="24">
                  <c:v>724.8</c:v>
                </c:pt>
                <c:pt idx="25">
                  <c:v>986</c:v>
                </c:pt>
                <c:pt idx="26">
                  <c:v>1710.8</c:v>
                </c:pt>
                <c:pt idx="27">
                  <c:v>783</c:v>
                </c:pt>
                <c:pt idx="28">
                  <c:v>967</c:v>
                </c:pt>
                <c:pt idx="29">
                  <c:v>1750</c:v>
                </c:pt>
                <c:pt idx="30">
                  <c:v>812.2</c:v>
                </c:pt>
                <c:pt idx="31">
                  <c:v>816.2</c:v>
                </c:pt>
                <c:pt idx="32">
                  <c:v>1628.4</c:v>
                </c:pt>
                <c:pt idx="33">
                  <c:v>818.6</c:v>
                </c:pt>
                <c:pt idx="34">
                  <c:v>897.8</c:v>
                </c:pt>
                <c:pt idx="35">
                  <c:v>1716.4</c:v>
                </c:pt>
                <c:pt idx="36">
                  <c:v>882</c:v>
                </c:pt>
                <c:pt idx="37">
                  <c:v>789</c:v>
                </c:pt>
                <c:pt idx="38">
                  <c:v>1671</c:v>
                </c:pt>
                <c:pt idx="39">
                  <c:v>896.4</c:v>
                </c:pt>
                <c:pt idx="40">
                  <c:v>909.2</c:v>
                </c:pt>
                <c:pt idx="41">
                  <c:v>1805.6</c:v>
                </c:pt>
                <c:pt idx="42">
                  <c:v>902.4</c:v>
                </c:pt>
                <c:pt idx="43">
                  <c:v>849.4</c:v>
                </c:pt>
                <c:pt idx="44">
                  <c:v>1751.8</c:v>
                </c:pt>
                <c:pt idx="45">
                  <c:v>807</c:v>
                </c:pt>
                <c:pt idx="46">
                  <c:v>900.4</c:v>
                </c:pt>
                <c:pt idx="47">
                  <c:v>1707.4</c:v>
                </c:pt>
                <c:pt idx="48">
                  <c:v>808.8</c:v>
                </c:pt>
                <c:pt idx="49">
                  <c:v>878.8</c:v>
                </c:pt>
                <c:pt idx="50">
                  <c:v>1687.6</c:v>
                </c:pt>
                <c:pt idx="51">
                  <c:v>852.2</c:v>
                </c:pt>
                <c:pt idx="52">
                  <c:v>891.2</c:v>
                </c:pt>
                <c:pt idx="53">
                  <c:v>1743.4</c:v>
                </c:pt>
                <c:pt idx="54">
                  <c:v>828</c:v>
                </c:pt>
                <c:pt idx="55">
                  <c:v>811.8</c:v>
                </c:pt>
                <c:pt idx="56">
                  <c:v>1639.8</c:v>
                </c:pt>
                <c:pt idx="57">
                  <c:v>855.4</c:v>
                </c:pt>
                <c:pt idx="58">
                  <c:v>801.2</c:v>
                </c:pt>
                <c:pt idx="59">
                  <c:v>1656.6</c:v>
                </c:pt>
                <c:pt idx="60">
                  <c:v>879</c:v>
                </c:pt>
                <c:pt idx="61">
                  <c:v>982.6</c:v>
                </c:pt>
                <c:pt idx="62">
                  <c:v>1861.6</c:v>
                </c:pt>
                <c:pt idx="63" c:formatCode="General">
                  <c:v>1010.2</c:v>
                </c:pt>
                <c:pt idx="64" c:formatCode="General">
                  <c:v>1072.8</c:v>
                </c:pt>
                <c:pt idx="65">
                  <c:v>2083</c:v>
                </c:pt>
                <c:pt idx="66" c:formatCode="General">
                  <c:v>1002.8</c:v>
                </c:pt>
                <c:pt idx="67" c:formatCode="General">
                  <c:v>1143</c:v>
                </c:pt>
                <c:pt idx="68">
                  <c:v>2145.8</c:v>
                </c:pt>
                <c:pt idx="69" c:formatCode="General">
                  <c:v>1224.2</c:v>
                </c:pt>
                <c:pt idx="70" c:formatCode="General">
                  <c:v>973.6</c:v>
                </c:pt>
                <c:pt idx="71">
                  <c:v>2197.8</c:v>
                </c:pt>
                <c:pt idx="72" c:formatCode="General">
                  <c:v>1279.4</c:v>
                </c:pt>
                <c:pt idx="73" c:formatCode="General">
                  <c:v>1033.8</c:v>
                </c:pt>
                <c:pt idx="74">
                  <c:v>2313.2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WEB来源数据!$H$2</c:f>
              <c:strCache>
                <c:ptCount val="1"/>
                <c:pt idx="0">
                  <c:v>google top3</c:v>
                </c:pt>
              </c:strCache>
            </c:strRef>
          </c:tx>
          <c:spPr>
            <a:ln w="19050" cap="rnd">
              <a:solidFill>
                <a:srgbClr val="55C6EF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WEB来源数据!$H$3:$H$158</c:f>
              <c:numCache>
                <c:formatCode>0_);\(0\)</c:formatCode>
                <c:ptCount val="75"/>
                <c:pt idx="0">
                  <c:v>334</c:v>
                </c:pt>
                <c:pt idx="1">
                  <c:v>178</c:v>
                </c:pt>
                <c:pt idx="2">
                  <c:v>512</c:v>
                </c:pt>
                <c:pt idx="3">
                  <c:v>348</c:v>
                </c:pt>
                <c:pt idx="4">
                  <c:v>186</c:v>
                </c:pt>
                <c:pt idx="5">
                  <c:v>534</c:v>
                </c:pt>
                <c:pt idx="6">
                  <c:v>352</c:v>
                </c:pt>
                <c:pt idx="7">
                  <c:v>189</c:v>
                </c:pt>
                <c:pt idx="8">
                  <c:v>541</c:v>
                </c:pt>
                <c:pt idx="9">
                  <c:v>361</c:v>
                </c:pt>
                <c:pt idx="10">
                  <c:v>197</c:v>
                </c:pt>
                <c:pt idx="11">
                  <c:v>558</c:v>
                </c:pt>
                <c:pt idx="12">
                  <c:v>374</c:v>
                </c:pt>
                <c:pt idx="13">
                  <c:v>210</c:v>
                </c:pt>
                <c:pt idx="14">
                  <c:v>584</c:v>
                </c:pt>
                <c:pt idx="15">
                  <c:v>395</c:v>
                </c:pt>
                <c:pt idx="16">
                  <c:v>202</c:v>
                </c:pt>
                <c:pt idx="17">
                  <c:v>597</c:v>
                </c:pt>
                <c:pt idx="18">
                  <c:v>411</c:v>
                </c:pt>
                <c:pt idx="19">
                  <c:v>192</c:v>
                </c:pt>
                <c:pt idx="20">
                  <c:v>603</c:v>
                </c:pt>
                <c:pt idx="21">
                  <c:v>403</c:v>
                </c:pt>
                <c:pt idx="22">
                  <c:v>183</c:v>
                </c:pt>
                <c:pt idx="23">
                  <c:v>586</c:v>
                </c:pt>
                <c:pt idx="24">
                  <c:v>394</c:v>
                </c:pt>
                <c:pt idx="25">
                  <c:v>191</c:v>
                </c:pt>
                <c:pt idx="26">
                  <c:v>585</c:v>
                </c:pt>
                <c:pt idx="27">
                  <c:v>390</c:v>
                </c:pt>
                <c:pt idx="28">
                  <c:v>202</c:v>
                </c:pt>
                <c:pt idx="29">
                  <c:v>592</c:v>
                </c:pt>
                <c:pt idx="30">
                  <c:v>417</c:v>
                </c:pt>
                <c:pt idx="31">
                  <c:v>209</c:v>
                </c:pt>
                <c:pt idx="32">
                  <c:v>626</c:v>
                </c:pt>
                <c:pt idx="33">
                  <c:v>449</c:v>
                </c:pt>
                <c:pt idx="34">
                  <c:v>218</c:v>
                </c:pt>
                <c:pt idx="35">
                  <c:v>667</c:v>
                </c:pt>
                <c:pt idx="36">
                  <c:v>452</c:v>
                </c:pt>
                <c:pt idx="37">
                  <c:v>221</c:v>
                </c:pt>
                <c:pt idx="38">
                  <c:v>673</c:v>
                </c:pt>
                <c:pt idx="39">
                  <c:v>476</c:v>
                </c:pt>
                <c:pt idx="40">
                  <c:v>242</c:v>
                </c:pt>
                <c:pt idx="41">
                  <c:v>718</c:v>
                </c:pt>
                <c:pt idx="42">
                  <c:v>508</c:v>
                </c:pt>
                <c:pt idx="43">
                  <c:v>262</c:v>
                </c:pt>
                <c:pt idx="44">
                  <c:v>770</c:v>
                </c:pt>
                <c:pt idx="45">
                  <c:v>519</c:v>
                </c:pt>
                <c:pt idx="46">
                  <c:v>282</c:v>
                </c:pt>
                <c:pt idx="47">
                  <c:v>801</c:v>
                </c:pt>
                <c:pt idx="48">
                  <c:v>531</c:v>
                </c:pt>
                <c:pt idx="49">
                  <c:v>295</c:v>
                </c:pt>
                <c:pt idx="50">
                  <c:v>826</c:v>
                </c:pt>
                <c:pt idx="51">
                  <c:v>557</c:v>
                </c:pt>
                <c:pt idx="52">
                  <c:v>310</c:v>
                </c:pt>
                <c:pt idx="53">
                  <c:v>867</c:v>
                </c:pt>
                <c:pt idx="54" c:formatCode="General">
                  <c:v>548</c:v>
                </c:pt>
                <c:pt idx="55" c:formatCode="General">
                  <c:v>291</c:v>
                </c:pt>
                <c:pt idx="56">
                  <c:v>839</c:v>
                </c:pt>
                <c:pt idx="57" c:formatCode="General">
                  <c:v>536</c:v>
                </c:pt>
                <c:pt idx="58" c:formatCode="General">
                  <c:v>276</c:v>
                </c:pt>
                <c:pt idx="59" c:formatCode="General">
                  <c:v>812</c:v>
                </c:pt>
                <c:pt idx="60">
                  <c:v>603</c:v>
                </c:pt>
                <c:pt idx="61">
                  <c:v>301</c:v>
                </c:pt>
                <c:pt idx="62">
                  <c:v>904</c:v>
                </c:pt>
                <c:pt idx="63">
                  <c:v>666</c:v>
                </c:pt>
                <c:pt idx="64">
                  <c:v>317</c:v>
                </c:pt>
                <c:pt idx="65">
                  <c:v>983</c:v>
                </c:pt>
                <c:pt idx="66">
                  <c:v>751</c:v>
                </c:pt>
                <c:pt idx="67">
                  <c:v>356</c:v>
                </c:pt>
                <c:pt idx="68">
                  <c:v>1107</c:v>
                </c:pt>
                <c:pt idx="69">
                  <c:v>818</c:v>
                </c:pt>
                <c:pt idx="70">
                  <c:v>377</c:v>
                </c:pt>
                <c:pt idx="71">
                  <c:v>1195</c:v>
                </c:pt>
                <c:pt idx="72">
                  <c:v>870</c:v>
                </c:pt>
                <c:pt idx="73">
                  <c:v>420</c:v>
                </c:pt>
                <c:pt idx="74">
                  <c:v>1290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350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760c565-9911-4d1f-a12d-e795c224d48d}"/>
      </c:ext>
    </c:extLst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WEB来源数据!$C$2</c:f>
              <c:strCache>
                <c:ptCount val="1"/>
                <c:pt idx="0">
                  <c:v>自然北极星</c:v>
                </c:pt>
              </c:strCache>
            </c:strRef>
          </c:tx>
          <c:spPr>
            <a:ln w="19050" cap="rnd">
              <a:solidFill>
                <a:srgbClr val="5383F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WEB来源数据!$C$3:$C$158</c:f>
              <c:numCache>
                <c:formatCode>0_);\(0\)</c:formatCode>
                <c:ptCount val="75"/>
                <c:pt idx="0">
                  <c:v>329.9</c:v>
                </c:pt>
                <c:pt idx="1">
                  <c:v>398.9</c:v>
                </c:pt>
                <c:pt idx="2">
                  <c:v>728.8</c:v>
                </c:pt>
                <c:pt idx="3">
                  <c:v>367.3</c:v>
                </c:pt>
                <c:pt idx="4">
                  <c:v>762.7</c:v>
                </c:pt>
                <c:pt idx="5">
                  <c:v>1130</c:v>
                </c:pt>
                <c:pt idx="6">
                  <c:v>377.2</c:v>
                </c:pt>
                <c:pt idx="7">
                  <c:v>539.5</c:v>
                </c:pt>
                <c:pt idx="8">
                  <c:v>916.7</c:v>
                </c:pt>
                <c:pt idx="9">
                  <c:v>391.8</c:v>
                </c:pt>
                <c:pt idx="10">
                  <c:v>524.4</c:v>
                </c:pt>
                <c:pt idx="11">
                  <c:v>916.2</c:v>
                </c:pt>
                <c:pt idx="12">
                  <c:v>202.8</c:v>
                </c:pt>
                <c:pt idx="13">
                  <c:v>294</c:v>
                </c:pt>
                <c:pt idx="14">
                  <c:v>496.8</c:v>
                </c:pt>
                <c:pt idx="15">
                  <c:v>415.6</c:v>
                </c:pt>
                <c:pt idx="16">
                  <c:v>532.4</c:v>
                </c:pt>
                <c:pt idx="17">
                  <c:v>948</c:v>
                </c:pt>
                <c:pt idx="18">
                  <c:v>377.3</c:v>
                </c:pt>
                <c:pt idx="19">
                  <c:v>455.9</c:v>
                </c:pt>
                <c:pt idx="20">
                  <c:v>833.2</c:v>
                </c:pt>
                <c:pt idx="21">
                  <c:v>377.5</c:v>
                </c:pt>
                <c:pt idx="22">
                  <c:v>442.7</c:v>
                </c:pt>
                <c:pt idx="23">
                  <c:v>820.2</c:v>
                </c:pt>
                <c:pt idx="24">
                  <c:v>279.7</c:v>
                </c:pt>
                <c:pt idx="25">
                  <c:v>433</c:v>
                </c:pt>
                <c:pt idx="26">
                  <c:v>712.7</c:v>
                </c:pt>
                <c:pt idx="27">
                  <c:v>330.2</c:v>
                </c:pt>
                <c:pt idx="28">
                  <c:v>440.4</c:v>
                </c:pt>
                <c:pt idx="29">
                  <c:v>770.6</c:v>
                </c:pt>
                <c:pt idx="30">
                  <c:v>307.6</c:v>
                </c:pt>
                <c:pt idx="31">
                  <c:v>344.2</c:v>
                </c:pt>
                <c:pt idx="32">
                  <c:v>651.8</c:v>
                </c:pt>
                <c:pt idx="33">
                  <c:v>330.5</c:v>
                </c:pt>
                <c:pt idx="34">
                  <c:v>385.4</c:v>
                </c:pt>
                <c:pt idx="35">
                  <c:v>715.9</c:v>
                </c:pt>
                <c:pt idx="36">
                  <c:v>310.5</c:v>
                </c:pt>
                <c:pt idx="37">
                  <c:v>306.2</c:v>
                </c:pt>
                <c:pt idx="38">
                  <c:v>616.7</c:v>
                </c:pt>
                <c:pt idx="39">
                  <c:v>312.8</c:v>
                </c:pt>
                <c:pt idx="40">
                  <c:v>328.5</c:v>
                </c:pt>
                <c:pt idx="41">
                  <c:v>641.3</c:v>
                </c:pt>
                <c:pt idx="42">
                  <c:v>361</c:v>
                </c:pt>
                <c:pt idx="43">
                  <c:v>330.4</c:v>
                </c:pt>
                <c:pt idx="44">
                  <c:v>691.4</c:v>
                </c:pt>
                <c:pt idx="45">
                  <c:v>313.2</c:v>
                </c:pt>
                <c:pt idx="46">
                  <c:v>312.8</c:v>
                </c:pt>
                <c:pt idx="47">
                  <c:v>626</c:v>
                </c:pt>
                <c:pt idx="48">
                  <c:v>291.1</c:v>
                </c:pt>
                <c:pt idx="49">
                  <c:v>324.1</c:v>
                </c:pt>
                <c:pt idx="50">
                  <c:v>615.2</c:v>
                </c:pt>
                <c:pt idx="51">
                  <c:v>345.4</c:v>
                </c:pt>
                <c:pt idx="52">
                  <c:v>367</c:v>
                </c:pt>
                <c:pt idx="53">
                  <c:v>712.4</c:v>
                </c:pt>
                <c:pt idx="54">
                  <c:v>318.4</c:v>
                </c:pt>
                <c:pt idx="55">
                  <c:v>316.1</c:v>
                </c:pt>
                <c:pt idx="56">
                  <c:v>634.5</c:v>
                </c:pt>
                <c:pt idx="57">
                  <c:v>339.8</c:v>
                </c:pt>
                <c:pt idx="58">
                  <c:v>337.4</c:v>
                </c:pt>
                <c:pt idx="59">
                  <c:v>677.2</c:v>
                </c:pt>
                <c:pt idx="60">
                  <c:v>344.4</c:v>
                </c:pt>
                <c:pt idx="61">
                  <c:v>362.1</c:v>
                </c:pt>
                <c:pt idx="62">
                  <c:v>706.5</c:v>
                </c:pt>
                <c:pt idx="63" c:formatCode="General">
                  <c:v>346.8</c:v>
                </c:pt>
                <c:pt idx="64" c:formatCode="General">
                  <c:v>372.1</c:v>
                </c:pt>
                <c:pt idx="65">
                  <c:v>718.9</c:v>
                </c:pt>
                <c:pt idx="66" c:formatCode="General">
                  <c:v>372.3</c:v>
                </c:pt>
                <c:pt idx="67" c:formatCode="General">
                  <c:v>388.7</c:v>
                </c:pt>
                <c:pt idx="68">
                  <c:v>761</c:v>
                </c:pt>
                <c:pt idx="69" c:formatCode="General">
                  <c:v>462.9</c:v>
                </c:pt>
                <c:pt idx="70" c:formatCode="General">
                  <c:v>353.4</c:v>
                </c:pt>
                <c:pt idx="71">
                  <c:v>816.3</c:v>
                </c:pt>
                <c:pt idx="72" c:formatCode="General">
                  <c:v>526.9</c:v>
                </c:pt>
                <c:pt idx="73" c:formatCode="General">
                  <c:v>377</c:v>
                </c:pt>
                <c:pt idx="74">
                  <c:v>903.9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WEB来源数据!$D$2</c:f>
              <c:strCache>
                <c:ptCount val="1"/>
                <c:pt idx="0">
                  <c:v>自然uv</c:v>
                </c:pt>
              </c:strCache>
            </c:strRef>
          </c:tx>
          <c:spPr>
            <a:ln w="19050" cap="rnd">
              <a:solidFill>
                <a:srgbClr val="55C6EF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WEB来源数据!$D$3:$D$158</c:f>
              <c:numCache>
                <c:formatCode>0_);\(0\)</c:formatCode>
                <c:ptCount val="75"/>
                <c:pt idx="0">
                  <c:v>1297.4</c:v>
                </c:pt>
                <c:pt idx="1">
                  <c:v>1283</c:v>
                </c:pt>
                <c:pt idx="2">
                  <c:v>2580.4</c:v>
                </c:pt>
                <c:pt idx="3">
                  <c:v>1204.2</c:v>
                </c:pt>
                <c:pt idx="4">
                  <c:v>1966</c:v>
                </c:pt>
                <c:pt idx="5">
                  <c:v>3170.2</c:v>
                </c:pt>
                <c:pt idx="6">
                  <c:v>1313.6</c:v>
                </c:pt>
                <c:pt idx="7">
                  <c:v>1611</c:v>
                </c:pt>
                <c:pt idx="8">
                  <c:v>2924.6</c:v>
                </c:pt>
                <c:pt idx="9">
                  <c:v>1363.2</c:v>
                </c:pt>
                <c:pt idx="10">
                  <c:v>1606.8</c:v>
                </c:pt>
                <c:pt idx="11">
                  <c:v>2970</c:v>
                </c:pt>
                <c:pt idx="12">
                  <c:v>1011.6</c:v>
                </c:pt>
                <c:pt idx="13">
                  <c:v>1345.8</c:v>
                </c:pt>
                <c:pt idx="14">
                  <c:v>2357.4</c:v>
                </c:pt>
                <c:pt idx="15">
                  <c:v>1373.2</c:v>
                </c:pt>
                <c:pt idx="16">
                  <c:v>1626.4</c:v>
                </c:pt>
                <c:pt idx="17">
                  <c:v>2999.6</c:v>
                </c:pt>
                <c:pt idx="18">
                  <c:v>1238</c:v>
                </c:pt>
                <c:pt idx="19">
                  <c:v>1505.4</c:v>
                </c:pt>
                <c:pt idx="20">
                  <c:v>2743.4</c:v>
                </c:pt>
                <c:pt idx="21">
                  <c:v>1316.4</c:v>
                </c:pt>
                <c:pt idx="22">
                  <c:v>1378.4</c:v>
                </c:pt>
                <c:pt idx="23">
                  <c:v>2694.8</c:v>
                </c:pt>
                <c:pt idx="24">
                  <c:v>1016.8</c:v>
                </c:pt>
                <c:pt idx="25">
                  <c:v>1359</c:v>
                </c:pt>
                <c:pt idx="26">
                  <c:v>2375.8</c:v>
                </c:pt>
                <c:pt idx="27">
                  <c:v>1075.4</c:v>
                </c:pt>
                <c:pt idx="28">
                  <c:v>1328.2</c:v>
                </c:pt>
                <c:pt idx="29">
                  <c:v>2403.6</c:v>
                </c:pt>
                <c:pt idx="30">
                  <c:v>1117</c:v>
                </c:pt>
                <c:pt idx="31">
                  <c:v>1147.4</c:v>
                </c:pt>
                <c:pt idx="32">
                  <c:v>2264.4</c:v>
                </c:pt>
                <c:pt idx="33">
                  <c:v>1158.2</c:v>
                </c:pt>
                <c:pt idx="34">
                  <c:v>1335.4</c:v>
                </c:pt>
                <c:pt idx="35">
                  <c:v>2493.6</c:v>
                </c:pt>
                <c:pt idx="36">
                  <c:v>1218.4</c:v>
                </c:pt>
                <c:pt idx="37">
                  <c:v>1123.2</c:v>
                </c:pt>
                <c:pt idx="38">
                  <c:v>2341.6</c:v>
                </c:pt>
                <c:pt idx="39">
                  <c:v>1235.2</c:v>
                </c:pt>
                <c:pt idx="40">
                  <c:v>1222.8</c:v>
                </c:pt>
                <c:pt idx="41">
                  <c:v>2458</c:v>
                </c:pt>
                <c:pt idx="42">
                  <c:v>1231.8</c:v>
                </c:pt>
                <c:pt idx="43">
                  <c:v>1159.8</c:v>
                </c:pt>
                <c:pt idx="44">
                  <c:v>2391.6</c:v>
                </c:pt>
                <c:pt idx="45">
                  <c:v>1123.2</c:v>
                </c:pt>
                <c:pt idx="46">
                  <c:v>1211.2</c:v>
                </c:pt>
                <c:pt idx="47">
                  <c:v>2334.4</c:v>
                </c:pt>
                <c:pt idx="48">
                  <c:v>1094.2</c:v>
                </c:pt>
                <c:pt idx="49">
                  <c:v>1191</c:v>
                </c:pt>
                <c:pt idx="50">
                  <c:v>2285.2</c:v>
                </c:pt>
                <c:pt idx="51">
                  <c:v>1145.6</c:v>
                </c:pt>
                <c:pt idx="52">
                  <c:v>1235.8</c:v>
                </c:pt>
                <c:pt idx="53">
                  <c:v>2381.4</c:v>
                </c:pt>
                <c:pt idx="54">
                  <c:v>1138.6</c:v>
                </c:pt>
                <c:pt idx="55">
                  <c:v>1164.6</c:v>
                </c:pt>
                <c:pt idx="56">
                  <c:v>2303.2</c:v>
                </c:pt>
                <c:pt idx="57">
                  <c:v>1162</c:v>
                </c:pt>
                <c:pt idx="58">
                  <c:v>1182.4</c:v>
                </c:pt>
                <c:pt idx="59">
                  <c:v>2344.4</c:v>
                </c:pt>
                <c:pt idx="60">
                  <c:v>1182.6</c:v>
                </c:pt>
                <c:pt idx="61">
                  <c:v>1275.8</c:v>
                </c:pt>
                <c:pt idx="62">
                  <c:v>2458.4</c:v>
                </c:pt>
                <c:pt idx="63" c:formatCode="General">
                  <c:v>1359.8</c:v>
                </c:pt>
                <c:pt idx="64" c:formatCode="General">
                  <c:v>1376.4</c:v>
                </c:pt>
                <c:pt idx="65">
                  <c:v>2736.2</c:v>
                </c:pt>
                <c:pt idx="66" c:formatCode="General">
                  <c:v>1348.8</c:v>
                </c:pt>
                <c:pt idx="67" c:formatCode="General">
                  <c:v>1466.4</c:v>
                </c:pt>
                <c:pt idx="68">
                  <c:v>2815.2</c:v>
                </c:pt>
                <c:pt idx="69" c:formatCode="General">
                  <c:v>1591.2</c:v>
                </c:pt>
                <c:pt idx="70" c:formatCode="General">
                  <c:v>1293</c:v>
                </c:pt>
                <c:pt idx="71">
                  <c:v>2884.2</c:v>
                </c:pt>
                <c:pt idx="72" c:formatCode="General">
                  <c:v>1730.8</c:v>
                </c:pt>
                <c:pt idx="73" c:formatCode="General">
                  <c:v>1344</c:v>
                </c:pt>
                <c:pt idx="74">
                  <c:v>3074.8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WEB来源数据!$E$2</c:f>
              <c:strCache>
                <c:ptCount val="1"/>
                <c:pt idx="0">
                  <c:v>google自然 UV</c:v>
                </c:pt>
              </c:strCache>
            </c:strRef>
          </c:tx>
          <c:spPr>
            <a:ln w="19050" cap="rnd">
              <a:solidFill>
                <a:srgbClr val="915EEA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WEB来源数据!$E$3:$E$158</c:f>
              <c:numCache>
                <c:formatCode>0_);\(0\)</c:formatCode>
                <c:ptCount val="75"/>
                <c:pt idx="0">
                  <c:v>876.4</c:v>
                </c:pt>
                <c:pt idx="1">
                  <c:v>911</c:v>
                </c:pt>
                <c:pt idx="2">
                  <c:v>1787.4</c:v>
                </c:pt>
                <c:pt idx="3">
                  <c:v>867</c:v>
                </c:pt>
                <c:pt idx="4">
                  <c:v>1494.8</c:v>
                </c:pt>
                <c:pt idx="5">
                  <c:v>2361.8</c:v>
                </c:pt>
                <c:pt idx="6">
                  <c:v>920.8</c:v>
                </c:pt>
                <c:pt idx="7">
                  <c:v>1182</c:v>
                </c:pt>
                <c:pt idx="8">
                  <c:v>2102.8</c:v>
                </c:pt>
                <c:pt idx="9">
                  <c:v>970.2</c:v>
                </c:pt>
                <c:pt idx="10">
                  <c:v>1168.8</c:v>
                </c:pt>
                <c:pt idx="11">
                  <c:v>2139</c:v>
                </c:pt>
                <c:pt idx="12">
                  <c:v>764.8</c:v>
                </c:pt>
                <c:pt idx="13">
                  <c:v>1039.4</c:v>
                </c:pt>
                <c:pt idx="14">
                  <c:v>1804.2</c:v>
                </c:pt>
                <c:pt idx="15">
                  <c:v>1026.2</c:v>
                </c:pt>
                <c:pt idx="16">
                  <c:v>1196</c:v>
                </c:pt>
                <c:pt idx="17">
                  <c:v>2222.2</c:v>
                </c:pt>
                <c:pt idx="18">
                  <c:v>890.2</c:v>
                </c:pt>
                <c:pt idx="19">
                  <c:v>1094.2</c:v>
                </c:pt>
                <c:pt idx="20">
                  <c:v>1984.4</c:v>
                </c:pt>
                <c:pt idx="21">
                  <c:v>895.8</c:v>
                </c:pt>
                <c:pt idx="22">
                  <c:v>989.2</c:v>
                </c:pt>
                <c:pt idx="23">
                  <c:v>1885</c:v>
                </c:pt>
                <c:pt idx="24">
                  <c:v>724.8</c:v>
                </c:pt>
                <c:pt idx="25">
                  <c:v>986</c:v>
                </c:pt>
                <c:pt idx="26">
                  <c:v>1710.8</c:v>
                </c:pt>
                <c:pt idx="27">
                  <c:v>783</c:v>
                </c:pt>
                <c:pt idx="28">
                  <c:v>967</c:v>
                </c:pt>
                <c:pt idx="29">
                  <c:v>1750</c:v>
                </c:pt>
                <c:pt idx="30">
                  <c:v>812.2</c:v>
                </c:pt>
                <c:pt idx="31">
                  <c:v>816.2</c:v>
                </c:pt>
                <c:pt idx="32">
                  <c:v>1628.4</c:v>
                </c:pt>
                <c:pt idx="33">
                  <c:v>818.6</c:v>
                </c:pt>
                <c:pt idx="34">
                  <c:v>897.8</c:v>
                </c:pt>
                <c:pt idx="35">
                  <c:v>1716.4</c:v>
                </c:pt>
                <c:pt idx="36">
                  <c:v>882</c:v>
                </c:pt>
                <c:pt idx="37">
                  <c:v>789</c:v>
                </c:pt>
                <c:pt idx="38">
                  <c:v>1671</c:v>
                </c:pt>
                <c:pt idx="39">
                  <c:v>896.4</c:v>
                </c:pt>
                <c:pt idx="40">
                  <c:v>909.2</c:v>
                </c:pt>
                <c:pt idx="41">
                  <c:v>1805.6</c:v>
                </c:pt>
                <c:pt idx="42">
                  <c:v>902.4</c:v>
                </c:pt>
                <c:pt idx="43">
                  <c:v>849.4</c:v>
                </c:pt>
                <c:pt idx="44">
                  <c:v>1751.8</c:v>
                </c:pt>
                <c:pt idx="45">
                  <c:v>807</c:v>
                </c:pt>
                <c:pt idx="46">
                  <c:v>900.4</c:v>
                </c:pt>
                <c:pt idx="47">
                  <c:v>1707.4</c:v>
                </c:pt>
                <c:pt idx="48">
                  <c:v>808.8</c:v>
                </c:pt>
                <c:pt idx="49">
                  <c:v>878.8</c:v>
                </c:pt>
                <c:pt idx="50">
                  <c:v>1687.6</c:v>
                </c:pt>
                <c:pt idx="51">
                  <c:v>852.2</c:v>
                </c:pt>
                <c:pt idx="52">
                  <c:v>891.2</c:v>
                </c:pt>
                <c:pt idx="53">
                  <c:v>1743.4</c:v>
                </c:pt>
                <c:pt idx="54">
                  <c:v>828</c:v>
                </c:pt>
                <c:pt idx="55">
                  <c:v>811.8</c:v>
                </c:pt>
                <c:pt idx="56">
                  <c:v>1639.8</c:v>
                </c:pt>
                <c:pt idx="57">
                  <c:v>855.4</c:v>
                </c:pt>
                <c:pt idx="58">
                  <c:v>801.2</c:v>
                </c:pt>
                <c:pt idx="59">
                  <c:v>1656.6</c:v>
                </c:pt>
                <c:pt idx="60">
                  <c:v>879</c:v>
                </c:pt>
                <c:pt idx="61">
                  <c:v>982.6</c:v>
                </c:pt>
                <c:pt idx="62">
                  <c:v>1861.6</c:v>
                </c:pt>
                <c:pt idx="63" c:formatCode="General">
                  <c:v>1010.2</c:v>
                </c:pt>
                <c:pt idx="64" c:formatCode="General">
                  <c:v>1072.8</c:v>
                </c:pt>
                <c:pt idx="65">
                  <c:v>2083</c:v>
                </c:pt>
                <c:pt idx="66" c:formatCode="General">
                  <c:v>1002.8</c:v>
                </c:pt>
                <c:pt idx="67" c:formatCode="General">
                  <c:v>1143</c:v>
                </c:pt>
                <c:pt idx="68">
                  <c:v>2145.8</c:v>
                </c:pt>
                <c:pt idx="69" c:formatCode="General">
                  <c:v>1224.2</c:v>
                </c:pt>
                <c:pt idx="70" c:formatCode="General">
                  <c:v>973.6</c:v>
                </c:pt>
                <c:pt idx="71">
                  <c:v>2197.8</c:v>
                </c:pt>
                <c:pt idx="72" c:formatCode="General">
                  <c:v>1279.4</c:v>
                </c:pt>
                <c:pt idx="73" c:formatCode="General">
                  <c:v>1033.8</c:v>
                </c:pt>
                <c:pt idx="74">
                  <c:v>2313.2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350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c591c24-cfb7-4567-afd8-eb806c7bb141}"/>
      </c:ext>
    </c:extLst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4000" b="1" i="0" u="none"/>
              <a:t>访问9点位的去重复人数，行为人数/日活，事件总数/行为人数</a:t>
            </a:r>
            <a:endParaRPr sz="14000" b="1" i="0" u="none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WEB转化!$F$3</c:f>
              <c:strCache>
                <c:ptCount val="1"/>
                <c:pt idx="0">
                  <c:v>9点位去重人数</c:v>
                </c:pt>
              </c:strCache>
            </c:strRef>
          </c:tx>
          <c:spPr>
            <a:ln w="19050" cap="rnd">
              <a:solidFill>
                <a:srgbClr val="5383F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WEB转化!$F$4:$F$159</c:f>
              <c:numCache>
                <c:formatCode>0_);\(0\)</c:formatCode>
                <c:ptCount val="75"/>
                <c:pt idx="0">
                  <c:v>1094.8</c:v>
                </c:pt>
                <c:pt idx="1">
                  <c:v>1090.2</c:v>
                </c:pt>
                <c:pt idx="2">
                  <c:v>2185</c:v>
                </c:pt>
                <c:pt idx="3">
                  <c:v>1014</c:v>
                </c:pt>
                <c:pt idx="4">
                  <c:v>1747.6</c:v>
                </c:pt>
                <c:pt idx="5">
                  <c:v>2761.6</c:v>
                </c:pt>
                <c:pt idx="6">
                  <c:v>1078</c:v>
                </c:pt>
                <c:pt idx="7">
                  <c:v>1385.8</c:v>
                </c:pt>
                <c:pt idx="8">
                  <c:v>2463.8</c:v>
                </c:pt>
                <c:pt idx="9">
                  <c:v>1103.2</c:v>
                </c:pt>
                <c:pt idx="10">
                  <c:v>1379</c:v>
                </c:pt>
                <c:pt idx="11">
                  <c:v>2482.2</c:v>
                </c:pt>
                <c:pt idx="12">
                  <c:v>837</c:v>
                </c:pt>
                <c:pt idx="13">
                  <c:v>1153.2</c:v>
                </c:pt>
                <c:pt idx="14">
                  <c:v>1990.2</c:v>
                </c:pt>
                <c:pt idx="15">
                  <c:v>1157.8</c:v>
                </c:pt>
                <c:pt idx="16">
                  <c:v>1403.2</c:v>
                </c:pt>
                <c:pt idx="17">
                  <c:v>2561</c:v>
                </c:pt>
                <c:pt idx="18">
                  <c:v>1030.8</c:v>
                </c:pt>
                <c:pt idx="19">
                  <c:v>1229</c:v>
                </c:pt>
                <c:pt idx="20">
                  <c:v>2259.8</c:v>
                </c:pt>
                <c:pt idx="21">
                  <c:v>1083</c:v>
                </c:pt>
                <c:pt idx="22">
                  <c:v>1172.4</c:v>
                </c:pt>
                <c:pt idx="23">
                  <c:v>2255.4</c:v>
                </c:pt>
                <c:pt idx="24">
                  <c:v>859.6</c:v>
                </c:pt>
                <c:pt idx="25">
                  <c:v>1168.6</c:v>
                </c:pt>
                <c:pt idx="26">
                  <c:v>2028.2</c:v>
                </c:pt>
                <c:pt idx="27">
                  <c:v>919</c:v>
                </c:pt>
                <c:pt idx="28">
                  <c:v>1138.6</c:v>
                </c:pt>
                <c:pt idx="29">
                  <c:v>2057.6</c:v>
                </c:pt>
                <c:pt idx="30">
                  <c:v>946.2</c:v>
                </c:pt>
                <c:pt idx="31">
                  <c:v>971.4</c:v>
                </c:pt>
                <c:pt idx="32">
                  <c:v>1917.6</c:v>
                </c:pt>
                <c:pt idx="33">
                  <c:v>970.2</c:v>
                </c:pt>
                <c:pt idx="34">
                  <c:v>1094</c:v>
                </c:pt>
                <c:pt idx="35">
                  <c:v>2064.2</c:v>
                </c:pt>
                <c:pt idx="36">
                  <c:v>1043.6</c:v>
                </c:pt>
                <c:pt idx="37">
                  <c:v>959</c:v>
                </c:pt>
                <c:pt idx="38">
                  <c:v>2002.6</c:v>
                </c:pt>
                <c:pt idx="39">
                  <c:v>1060.8</c:v>
                </c:pt>
                <c:pt idx="40">
                  <c:v>1037.2</c:v>
                </c:pt>
                <c:pt idx="41">
                  <c:v>2098</c:v>
                </c:pt>
                <c:pt idx="42">
                  <c:v>1033.8</c:v>
                </c:pt>
                <c:pt idx="43">
                  <c:v>981.6</c:v>
                </c:pt>
                <c:pt idx="44">
                  <c:v>2015.4</c:v>
                </c:pt>
                <c:pt idx="45">
                  <c:v>943.4</c:v>
                </c:pt>
                <c:pt idx="46">
                  <c:v>1007</c:v>
                </c:pt>
                <c:pt idx="47">
                  <c:v>1950.4</c:v>
                </c:pt>
                <c:pt idx="48">
                  <c:v>924.4</c:v>
                </c:pt>
                <c:pt idx="49">
                  <c:v>1003</c:v>
                </c:pt>
                <c:pt idx="50">
                  <c:v>1927.4</c:v>
                </c:pt>
                <c:pt idx="51">
                  <c:v>960.2</c:v>
                </c:pt>
                <c:pt idx="52">
                  <c:v>1032.4</c:v>
                </c:pt>
                <c:pt idx="53">
                  <c:v>1992.6</c:v>
                </c:pt>
                <c:pt idx="54">
                  <c:v>965.2</c:v>
                </c:pt>
                <c:pt idx="55">
                  <c:v>973.6</c:v>
                </c:pt>
                <c:pt idx="56">
                  <c:v>1938.8</c:v>
                </c:pt>
                <c:pt idx="57">
                  <c:v>993.2</c:v>
                </c:pt>
                <c:pt idx="58">
                  <c:v>965.6</c:v>
                </c:pt>
                <c:pt idx="59">
                  <c:v>1958.8</c:v>
                </c:pt>
                <c:pt idx="60">
                  <c:v>995.6</c:v>
                </c:pt>
                <c:pt idx="61">
                  <c:v>1065.4</c:v>
                </c:pt>
                <c:pt idx="62">
                  <c:v>2061</c:v>
                </c:pt>
                <c:pt idx="63" c:formatCode="General">
                  <c:v>1101.4</c:v>
                </c:pt>
                <c:pt idx="64" c:formatCode="General">
                  <c:v>1124</c:v>
                </c:pt>
                <c:pt idx="65" c:formatCode="General">
                  <c:v>2225.4</c:v>
                </c:pt>
                <c:pt idx="66" c:formatCode="General">
                  <c:v>1024.2</c:v>
                </c:pt>
                <c:pt idx="67" c:formatCode="General">
                  <c:v>1111.6</c:v>
                </c:pt>
                <c:pt idx="68" c:formatCode="General">
                  <c:v>2135.8</c:v>
                </c:pt>
                <c:pt idx="69" c:formatCode="General">
                  <c:v>1338.4</c:v>
                </c:pt>
                <c:pt idx="70" c:formatCode="General">
                  <c:v>1073.2</c:v>
                </c:pt>
                <c:pt idx="71" c:formatCode="General">
                  <c:v>2411.6</c:v>
                </c:pt>
                <c:pt idx="72" c:formatCode="General">
                  <c:v>1443</c:v>
                </c:pt>
                <c:pt idx="73" c:formatCode="General">
                  <c:v>1131.2</c:v>
                </c:pt>
                <c:pt idx="74" c:formatCode="General">
                  <c:v>2574.2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350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7e87ebe-bad9-4e96-b29e-5893807c5554}"/>
      </c:ext>
    </c:extLst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4000" b="1" i="0" u="none"/>
              <a:t>新闻/（日活+频道首页）</a:t>
            </a:r>
            <a:endParaRPr sz="14000" b="1" i="0" u="none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WEB转化!$Y$3</c:f>
              <c:strCache>
                <c:ptCount val="1"/>
                <c:pt idx="0">
                  <c:v>新闻页面访问数</c:v>
                </c:pt>
              </c:strCache>
            </c:strRef>
          </c:tx>
          <c:spPr>
            <a:ln w="19050" cap="rnd">
              <a:solidFill>
                <a:srgbClr val="55C6EF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WEB转化!$Y$4:$Y$144</c:f>
              <c:numCache>
                <c:formatCode>0_);\(0\)</c:formatCode>
                <c:ptCount val="60"/>
                <c:pt idx="0">
                  <c:v>61.2</c:v>
                </c:pt>
                <c:pt idx="1">
                  <c:v>127.2</c:v>
                </c:pt>
                <c:pt idx="2">
                  <c:v>188.4</c:v>
                </c:pt>
                <c:pt idx="3">
                  <c:v>65.8</c:v>
                </c:pt>
                <c:pt idx="4">
                  <c:v>199.4</c:v>
                </c:pt>
                <c:pt idx="5">
                  <c:v>265.2</c:v>
                </c:pt>
                <c:pt idx="6">
                  <c:v>67.8</c:v>
                </c:pt>
                <c:pt idx="7">
                  <c:v>160.4</c:v>
                </c:pt>
                <c:pt idx="8">
                  <c:v>228.2</c:v>
                </c:pt>
                <c:pt idx="9">
                  <c:v>83.6</c:v>
                </c:pt>
                <c:pt idx="10">
                  <c:v>174.4</c:v>
                </c:pt>
                <c:pt idx="11">
                  <c:v>258</c:v>
                </c:pt>
                <c:pt idx="12">
                  <c:v>63</c:v>
                </c:pt>
                <c:pt idx="13">
                  <c:v>142.8</c:v>
                </c:pt>
                <c:pt idx="14">
                  <c:v>205.8</c:v>
                </c:pt>
                <c:pt idx="15">
                  <c:v>80.8</c:v>
                </c:pt>
                <c:pt idx="16">
                  <c:v>167.2</c:v>
                </c:pt>
                <c:pt idx="17">
                  <c:v>248</c:v>
                </c:pt>
                <c:pt idx="18">
                  <c:v>84</c:v>
                </c:pt>
                <c:pt idx="19">
                  <c:v>141.6</c:v>
                </c:pt>
                <c:pt idx="20">
                  <c:v>225.6</c:v>
                </c:pt>
                <c:pt idx="21">
                  <c:v>72.8</c:v>
                </c:pt>
                <c:pt idx="22">
                  <c:v>146</c:v>
                </c:pt>
                <c:pt idx="23">
                  <c:v>218.8</c:v>
                </c:pt>
                <c:pt idx="24">
                  <c:v>66</c:v>
                </c:pt>
                <c:pt idx="25">
                  <c:v>128.4</c:v>
                </c:pt>
                <c:pt idx="26">
                  <c:v>194.4</c:v>
                </c:pt>
                <c:pt idx="27">
                  <c:v>73</c:v>
                </c:pt>
                <c:pt idx="28">
                  <c:v>125.4</c:v>
                </c:pt>
                <c:pt idx="29">
                  <c:v>198.4</c:v>
                </c:pt>
                <c:pt idx="30">
                  <c:v>69.8</c:v>
                </c:pt>
                <c:pt idx="31">
                  <c:v>111.2</c:v>
                </c:pt>
                <c:pt idx="32">
                  <c:v>181</c:v>
                </c:pt>
                <c:pt idx="33">
                  <c:v>77.6</c:v>
                </c:pt>
                <c:pt idx="34">
                  <c:v>146.6</c:v>
                </c:pt>
                <c:pt idx="35">
                  <c:v>224.2</c:v>
                </c:pt>
                <c:pt idx="36">
                  <c:v>86.6</c:v>
                </c:pt>
                <c:pt idx="37">
                  <c:v>123.8</c:v>
                </c:pt>
                <c:pt idx="38">
                  <c:v>210.4</c:v>
                </c:pt>
                <c:pt idx="39">
                  <c:v>93.6</c:v>
                </c:pt>
                <c:pt idx="40">
                  <c:v>160.6</c:v>
                </c:pt>
                <c:pt idx="41">
                  <c:v>254.2</c:v>
                </c:pt>
                <c:pt idx="42">
                  <c:v>88.4</c:v>
                </c:pt>
                <c:pt idx="43">
                  <c:v>135.6</c:v>
                </c:pt>
                <c:pt idx="44">
                  <c:v>224</c:v>
                </c:pt>
                <c:pt idx="45">
                  <c:v>76.2</c:v>
                </c:pt>
                <c:pt idx="46">
                  <c:v>144</c:v>
                </c:pt>
                <c:pt idx="47">
                  <c:v>220.2</c:v>
                </c:pt>
                <c:pt idx="48">
                  <c:v>72</c:v>
                </c:pt>
                <c:pt idx="49">
                  <c:v>120</c:v>
                </c:pt>
                <c:pt idx="50">
                  <c:v>192</c:v>
                </c:pt>
                <c:pt idx="51">
                  <c:v>68.8</c:v>
                </c:pt>
                <c:pt idx="52">
                  <c:v>120.2</c:v>
                </c:pt>
                <c:pt idx="53">
                  <c:v>189</c:v>
                </c:pt>
                <c:pt idx="54">
                  <c:v>71.8</c:v>
                </c:pt>
                <c:pt idx="55">
                  <c:v>129</c:v>
                </c:pt>
                <c:pt idx="56">
                  <c:v>200.8</c:v>
                </c:pt>
                <c:pt idx="57">
                  <c:v>75</c:v>
                </c:pt>
                <c:pt idx="58">
                  <c:v>109.4</c:v>
                </c:pt>
                <c:pt idx="59">
                  <c:v>184.4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WEB转化!$E$3</c:f>
              <c:strCache>
                <c:ptCount val="1"/>
                <c:pt idx="0">
                  <c:v>自然uv</c:v>
                </c:pt>
              </c:strCache>
            </c:strRef>
          </c:tx>
          <c:spPr>
            <a:ln w="19050" cap="rnd">
              <a:solidFill>
                <a:srgbClr val="915EEA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WEB转化!$E$4:$E$144</c:f>
              <c:numCache>
                <c:formatCode>0_);\(0\)</c:formatCode>
                <c:ptCount val="60"/>
                <c:pt idx="0">
                  <c:v>1297.4</c:v>
                </c:pt>
                <c:pt idx="1">
                  <c:v>1283</c:v>
                </c:pt>
                <c:pt idx="2">
                  <c:v>2580.4</c:v>
                </c:pt>
                <c:pt idx="3">
                  <c:v>1204.2</c:v>
                </c:pt>
                <c:pt idx="4">
                  <c:v>1966</c:v>
                </c:pt>
                <c:pt idx="5">
                  <c:v>3170.2</c:v>
                </c:pt>
                <c:pt idx="6">
                  <c:v>1313.6</c:v>
                </c:pt>
                <c:pt idx="7">
                  <c:v>1611</c:v>
                </c:pt>
                <c:pt idx="8">
                  <c:v>2924.6</c:v>
                </c:pt>
                <c:pt idx="9">
                  <c:v>1363.2</c:v>
                </c:pt>
                <c:pt idx="10">
                  <c:v>1606.8</c:v>
                </c:pt>
                <c:pt idx="11">
                  <c:v>2970</c:v>
                </c:pt>
                <c:pt idx="12">
                  <c:v>1011.6</c:v>
                </c:pt>
                <c:pt idx="13">
                  <c:v>1345.8</c:v>
                </c:pt>
                <c:pt idx="14">
                  <c:v>2357.4</c:v>
                </c:pt>
                <c:pt idx="15">
                  <c:v>1373.2</c:v>
                </c:pt>
                <c:pt idx="16">
                  <c:v>1626.4</c:v>
                </c:pt>
                <c:pt idx="17">
                  <c:v>2999.6</c:v>
                </c:pt>
                <c:pt idx="18">
                  <c:v>1238</c:v>
                </c:pt>
                <c:pt idx="19">
                  <c:v>1505.4</c:v>
                </c:pt>
                <c:pt idx="20">
                  <c:v>2743.4</c:v>
                </c:pt>
                <c:pt idx="21">
                  <c:v>1316.4</c:v>
                </c:pt>
                <c:pt idx="22">
                  <c:v>1378.4</c:v>
                </c:pt>
                <c:pt idx="23">
                  <c:v>2694.8</c:v>
                </c:pt>
                <c:pt idx="24">
                  <c:v>1016.8</c:v>
                </c:pt>
                <c:pt idx="25">
                  <c:v>1359</c:v>
                </c:pt>
                <c:pt idx="26">
                  <c:v>2375.8</c:v>
                </c:pt>
                <c:pt idx="27">
                  <c:v>1075.4</c:v>
                </c:pt>
                <c:pt idx="28">
                  <c:v>1328.2</c:v>
                </c:pt>
                <c:pt idx="29">
                  <c:v>2403.6</c:v>
                </c:pt>
                <c:pt idx="30">
                  <c:v>1117</c:v>
                </c:pt>
                <c:pt idx="31">
                  <c:v>1147.4</c:v>
                </c:pt>
                <c:pt idx="32">
                  <c:v>2264.4</c:v>
                </c:pt>
                <c:pt idx="33">
                  <c:v>1158.2</c:v>
                </c:pt>
                <c:pt idx="34">
                  <c:v>1335.4</c:v>
                </c:pt>
                <c:pt idx="35">
                  <c:v>2493.6</c:v>
                </c:pt>
                <c:pt idx="36">
                  <c:v>1218.4</c:v>
                </c:pt>
                <c:pt idx="37">
                  <c:v>1123.2</c:v>
                </c:pt>
                <c:pt idx="38">
                  <c:v>2341.6</c:v>
                </c:pt>
                <c:pt idx="39">
                  <c:v>1235.2</c:v>
                </c:pt>
                <c:pt idx="40">
                  <c:v>1222.8</c:v>
                </c:pt>
                <c:pt idx="41">
                  <c:v>2458</c:v>
                </c:pt>
                <c:pt idx="42">
                  <c:v>1231.8</c:v>
                </c:pt>
                <c:pt idx="43">
                  <c:v>1159.8</c:v>
                </c:pt>
                <c:pt idx="44">
                  <c:v>2391.6</c:v>
                </c:pt>
                <c:pt idx="45">
                  <c:v>1123.2</c:v>
                </c:pt>
                <c:pt idx="46">
                  <c:v>1211.2</c:v>
                </c:pt>
                <c:pt idx="47">
                  <c:v>2334.4</c:v>
                </c:pt>
                <c:pt idx="48">
                  <c:v>1094.2</c:v>
                </c:pt>
                <c:pt idx="49">
                  <c:v>1191</c:v>
                </c:pt>
                <c:pt idx="50">
                  <c:v>2285.2</c:v>
                </c:pt>
                <c:pt idx="51">
                  <c:v>1145.6</c:v>
                </c:pt>
                <c:pt idx="52">
                  <c:v>1235.8</c:v>
                </c:pt>
                <c:pt idx="53">
                  <c:v>2381.4</c:v>
                </c:pt>
                <c:pt idx="54">
                  <c:v>1138.6</c:v>
                </c:pt>
                <c:pt idx="55">
                  <c:v>1164.6</c:v>
                </c:pt>
                <c:pt idx="56">
                  <c:v>2303.2</c:v>
                </c:pt>
                <c:pt idx="57">
                  <c:v>1162</c:v>
                </c:pt>
                <c:pt idx="58">
                  <c:v>1182.4</c:v>
                </c:pt>
                <c:pt idx="59">
                  <c:v>2344.4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350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d742d1d-2d48-4547-8df8-932789b8c14d}"/>
      </c:ext>
    </c:extLst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4000" b="1" i="0" u="none"/>
              <a:t>WEB自然搜索</a:t>
            </a:r>
            <a:endParaRPr sz="14000" b="1" i="0" u="none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WEB转化!$E$3</c:f>
              <c:strCache>
                <c:ptCount val="1"/>
                <c:pt idx="0">
                  <c:v>自然uv</c:v>
                </c:pt>
              </c:strCache>
            </c:strRef>
          </c:tx>
          <c:spPr>
            <a:ln w="19050" cap="rnd">
              <a:solidFill>
                <a:srgbClr val="5383F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WEB转化!$E$4:$E$159</c:f>
              <c:numCache>
                <c:formatCode>0_);\(0\)</c:formatCode>
                <c:ptCount val="75"/>
                <c:pt idx="0">
                  <c:v>1297.4</c:v>
                </c:pt>
                <c:pt idx="1">
                  <c:v>1283</c:v>
                </c:pt>
                <c:pt idx="2">
                  <c:v>2580.4</c:v>
                </c:pt>
                <c:pt idx="3">
                  <c:v>1204.2</c:v>
                </c:pt>
                <c:pt idx="4">
                  <c:v>1966</c:v>
                </c:pt>
                <c:pt idx="5">
                  <c:v>3170.2</c:v>
                </c:pt>
                <c:pt idx="6">
                  <c:v>1313.6</c:v>
                </c:pt>
                <c:pt idx="7">
                  <c:v>1611</c:v>
                </c:pt>
                <c:pt idx="8">
                  <c:v>2924.6</c:v>
                </c:pt>
                <c:pt idx="9">
                  <c:v>1363.2</c:v>
                </c:pt>
                <c:pt idx="10">
                  <c:v>1606.8</c:v>
                </c:pt>
                <c:pt idx="11">
                  <c:v>2970</c:v>
                </c:pt>
                <c:pt idx="12">
                  <c:v>1011.6</c:v>
                </c:pt>
                <c:pt idx="13">
                  <c:v>1345.8</c:v>
                </c:pt>
                <c:pt idx="14">
                  <c:v>2357.4</c:v>
                </c:pt>
                <c:pt idx="15">
                  <c:v>1373.2</c:v>
                </c:pt>
                <c:pt idx="16">
                  <c:v>1626.4</c:v>
                </c:pt>
                <c:pt idx="17">
                  <c:v>2999.6</c:v>
                </c:pt>
                <c:pt idx="18">
                  <c:v>1238</c:v>
                </c:pt>
                <c:pt idx="19">
                  <c:v>1505.4</c:v>
                </c:pt>
                <c:pt idx="20">
                  <c:v>2743.4</c:v>
                </c:pt>
                <c:pt idx="21">
                  <c:v>1316.4</c:v>
                </c:pt>
                <c:pt idx="22">
                  <c:v>1378.4</c:v>
                </c:pt>
                <c:pt idx="23">
                  <c:v>2694.8</c:v>
                </c:pt>
                <c:pt idx="24">
                  <c:v>1016.8</c:v>
                </c:pt>
                <c:pt idx="25">
                  <c:v>1359</c:v>
                </c:pt>
                <c:pt idx="26">
                  <c:v>2375.8</c:v>
                </c:pt>
                <c:pt idx="27">
                  <c:v>1075.4</c:v>
                </c:pt>
                <c:pt idx="28">
                  <c:v>1328.2</c:v>
                </c:pt>
                <c:pt idx="29">
                  <c:v>2403.6</c:v>
                </c:pt>
                <c:pt idx="30">
                  <c:v>1117</c:v>
                </c:pt>
                <c:pt idx="31">
                  <c:v>1147.4</c:v>
                </c:pt>
                <c:pt idx="32">
                  <c:v>2264.4</c:v>
                </c:pt>
                <c:pt idx="33">
                  <c:v>1158.2</c:v>
                </c:pt>
                <c:pt idx="34">
                  <c:v>1335.4</c:v>
                </c:pt>
                <c:pt idx="35">
                  <c:v>2493.6</c:v>
                </c:pt>
                <c:pt idx="36">
                  <c:v>1218.4</c:v>
                </c:pt>
                <c:pt idx="37">
                  <c:v>1123.2</c:v>
                </c:pt>
                <c:pt idx="38">
                  <c:v>2341.6</c:v>
                </c:pt>
                <c:pt idx="39">
                  <c:v>1235.2</c:v>
                </c:pt>
                <c:pt idx="40">
                  <c:v>1222.8</c:v>
                </c:pt>
                <c:pt idx="41">
                  <c:v>2458</c:v>
                </c:pt>
                <c:pt idx="42">
                  <c:v>1231.8</c:v>
                </c:pt>
                <c:pt idx="43">
                  <c:v>1159.8</c:v>
                </c:pt>
                <c:pt idx="44">
                  <c:v>2391.6</c:v>
                </c:pt>
                <c:pt idx="45">
                  <c:v>1123.2</c:v>
                </c:pt>
                <c:pt idx="46">
                  <c:v>1211.2</c:v>
                </c:pt>
                <c:pt idx="47">
                  <c:v>2334.4</c:v>
                </c:pt>
                <c:pt idx="48">
                  <c:v>1094.2</c:v>
                </c:pt>
                <c:pt idx="49">
                  <c:v>1191</c:v>
                </c:pt>
                <c:pt idx="50">
                  <c:v>2285.2</c:v>
                </c:pt>
                <c:pt idx="51">
                  <c:v>1145.6</c:v>
                </c:pt>
                <c:pt idx="52">
                  <c:v>1235.8</c:v>
                </c:pt>
                <c:pt idx="53">
                  <c:v>2381.4</c:v>
                </c:pt>
                <c:pt idx="54">
                  <c:v>1138.6</c:v>
                </c:pt>
                <c:pt idx="55">
                  <c:v>1164.6</c:v>
                </c:pt>
                <c:pt idx="56">
                  <c:v>2303.2</c:v>
                </c:pt>
                <c:pt idx="57">
                  <c:v>1162</c:v>
                </c:pt>
                <c:pt idx="58">
                  <c:v>1182.4</c:v>
                </c:pt>
                <c:pt idx="59">
                  <c:v>2344.4</c:v>
                </c:pt>
                <c:pt idx="60">
                  <c:v>1182.6</c:v>
                </c:pt>
                <c:pt idx="61">
                  <c:v>1275.8</c:v>
                </c:pt>
                <c:pt idx="62">
                  <c:v>2458.4</c:v>
                </c:pt>
                <c:pt idx="63" c:formatCode="General">
                  <c:v>1359.8</c:v>
                </c:pt>
                <c:pt idx="64" c:formatCode="General">
                  <c:v>1376.4</c:v>
                </c:pt>
                <c:pt idx="65" c:formatCode="General">
                  <c:v>2736.2</c:v>
                </c:pt>
                <c:pt idx="66" c:formatCode="General">
                  <c:v>1348.8</c:v>
                </c:pt>
                <c:pt idx="67" c:formatCode="General">
                  <c:v>1466.4</c:v>
                </c:pt>
                <c:pt idx="68" c:formatCode="General">
                  <c:v>2815.2</c:v>
                </c:pt>
                <c:pt idx="69" c:formatCode="General">
                  <c:v>1591.2</c:v>
                </c:pt>
                <c:pt idx="70" c:formatCode="General">
                  <c:v>1293</c:v>
                </c:pt>
                <c:pt idx="71" c:formatCode="General">
                  <c:v>2884.2</c:v>
                </c:pt>
                <c:pt idx="72" c:formatCode="General">
                  <c:v>1730.8</c:v>
                </c:pt>
                <c:pt idx="73" c:formatCode="General">
                  <c:v>1344</c:v>
                </c:pt>
                <c:pt idx="74" c:formatCode="General">
                  <c:v>3074.8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WEB转化!$O$3</c:f>
              <c:strCache>
                <c:ptCount val="1"/>
                <c:pt idx="0">
                  <c:v>交易商搜索页面访问数</c:v>
                </c:pt>
              </c:strCache>
            </c:strRef>
          </c:tx>
          <c:spPr>
            <a:ln w="19050" cap="rnd">
              <a:solidFill>
                <a:srgbClr val="55C6EF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WEB转化!$O$4:$O$159</c:f>
              <c:numCache>
                <c:formatCode>0_);\(0\)</c:formatCode>
                <c:ptCount val="75"/>
                <c:pt idx="0">
                  <c:v>462.8</c:v>
                </c:pt>
                <c:pt idx="1">
                  <c:v>428.8</c:v>
                </c:pt>
                <c:pt idx="2">
                  <c:v>891.6</c:v>
                </c:pt>
                <c:pt idx="3">
                  <c:v>452.6</c:v>
                </c:pt>
                <c:pt idx="4">
                  <c:v>824.4</c:v>
                </c:pt>
                <c:pt idx="5">
                  <c:v>1277</c:v>
                </c:pt>
                <c:pt idx="6">
                  <c:v>476.6</c:v>
                </c:pt>
                <c:pt idx="7">
                  <c:v>584.2</c:v>
                </c:pt>
                <c:pt idx="8">
                  <c:v>1060.8</c:v>
                </c:pt>
                <c:pt idx="9">
                  <c:v>471</c:v>
                </c:pt>
                <c:pt idx="10">
                  <c:v>526.4</c:v>
                </c:pt>
                <c:pt idx="11">
                  <c:v>997.4</c:v>
                </c:pt>
                <c:pt idx="12">
                  <c:v>353.8</c:v>
                </c:pt>
                <c:pt idx="13">
                  <c:v>446.8</c:v>
                </c:pt>
                <c:pt idx="14">
                  <c:v>800.6</c:v>
                </c:pt>
                <c:pt idx="15">
                  <c:v>491</c:v>
                </c:pt>
                <c:pt idx="16">
                  <c:v>523.4</c:v>
                </c:pt>
                <c:pt idx="17">
                  <c:v>1014.4</c:v>
                </c:pt>
                <c:pt idx="18">
                  <c:v>469.2</c:v>
                </c:pt>
                <c:pt idx="19">
                  <c:v>439.8</c:v>
                </c:pt>
                <c:pt idx="20">
                  <c:v>909</c:v>
                </c:pt>
                <c:pt idx="21">
                  <c:v>446.4</c:v>
                </c:pt>
                <c:pt idx="22">
                  <c:v>436.6</c:v>
                </c:pt>
                <c:pt idx="23">
                  <c:v>883</c:v>
                </c:pt>
                <c:pt idx="24">
                  <c:v>367.8</c:v>
                </c:pt>
                <c:pt idx="25">
                  <c:v>422.4</c:v>
                </c:pt>
                <c:pt idx="26">
                  <c:v>790.2</c:v>
                </c:pt>
                <c:pt idx="27">
                  <c:v>403.2</c:v>
                </c:pt>
                <c:pt idx="28">
                  <c:v>425</c:v>
                </c:pt>
                <c:pt idx="29">
                  <c:v>828.2</c:v>
                </c:pt>
                <c:pt idx="30">
                  <c:v>442.2</c:v>
                </c:pt>
                <c:pt idx="31">
                  <c:v>355.2</c:v>
                </c:pt>
                <c:pt idx="32">
                  <c:v>797.4</c:v>
                </c:pt>
                <c:pt idx="33">
                  <c:v>428.6</c:v>
                </c:pt>
                <c:pt idx="34">
                  <c:v>364.6</c:v>
                </c:pt>
                <c:pt idx="35">
                  <c:v>793.2</c:v>
                </c:pt>
                <c:pt idx="36">
                  <c:v>438</c:v>
                </c:pt>
                <c:pt idx="37">
                  <c:v>330.2</c:v>
                </c:pt>
                <c:pt idx="38">
                  <c:v>768.2</c:v>
                </c:pt>
                <c:pt idx="39">
                  <c:v>442.4</c:v>
                </c:pt>
                <c:pt idx="40">
                  <c:v>336.4</c:v>
                </c:pt>
                <c:pt idx="41">
                  <c:v>778.8</c:v>
                </c:pt>
                <c:pt idx="42">
                  <c:v>445.8</c:v>
                </c:pt>
                <c:pt idx="43">
                  <c:v>314</c:v>
                </c:pt>
                <c:pt idx="44">
                  <c:v>759.8</c:v>
                </c:pt>
                <c:pt idx="45">
                  <c:v>419.6</c:v>
                </c:pt>
                <c:pt idx="46">
                  <c:v>303.4</c:v>
                </c:pt>
                <c:pt idx="47">
                  <c:v>723</c:v>
                </c:pt>
                <c:pt idx="48">
                  <c:v>391.8</c:v>
                </c:pt>
                <c:pt idx="49">
                  <c:v>333.6</c:v>
                </c:pt>
                <c:pt idx="50">
                  <c:v>725.4</c:v>
                </c:pt>
                <c:pt idx="51">
                  <c:v>422</c:v>
                </c:pt>
                <c:pt idx="52">
                  <c:v>333.6</c:v>
                </c:pt>
                <c:pt idx="53">
                  <c:v>755.6</c:v>
                </c:pt>
                <c:pt idx="54">
                  <c:v>434</c:v>
                </c:pt>
                <c:pt idx="55">
                  <c:v>328.8</c:v>
                </c:pt>
                <c:pt idx="56">
                  <c:v>762.8</c:v>
                </c:pt>
                <c:pt idx="57">
                  <c:v>418.6</c:v>
                </c:pt>
                <c:pt idx="58">
                  <c:v>338</c:v>
                </c:pt>
                <c:pt idx="59">
                  <c:v>756.6</c:v>
                </c:pt>
                <c:pt idx="60">
                  <c:v>412</c:v>
                </c:pt>
                <c:pt idx="61">
                  <c:v>343.8</c:v>
                </c:pt>
                <c:pt idx="62">
                  <c:v>755.8</c:v>
                </c:pt>
                <c:pt idx="63" c:formatCode="General">
                  <c:v>435.2</c:v>
                </c:pt>
                <c:pt idx="64" c:formatCode="General">
                  <c:v>356.4</c:v>
                </c:pt>
                <c:pt idx="65" c:formatCode="General">
                  <c:v>791.6</c:v>
                </c:pt>
                <c:pt idx="66" c:formatCode="General">
                  <c:v>439.6</c:v>
                </c:pt>
                <c:pt idx="67" c:formatCode="General">
                  <c:v>383.8</c:v>
                </c:pt>
                <c:pt idx="68" c:formatCode="General">
                  <c:v>823.4</c:v>
                </c:pt>
                <c:pt idx="69" c:formatCode="General">
                  <c:v>647.8</c:v>
                </c:pt>
                <c:pt idx="70" c:formatCode="General">
                  <c:v>359.2</c:v>
                </c:pt>
                <c:pt idx="71" c:formatCode="General">
                  <c:v>1007</c:v>
                </c:pt>
                <c:pt idx="72" c:formatCode="General">
                  <c:v>730.8</c:v>
                </c:pt>
                <c:pt idx="73" c:formatCode="General">
                  <c:v>397.6</c:v>
                </c:pt>
                <c:pt idx="74" c:formatCode="General">
                  <c:v>1128.4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350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fb2e5d4-6cab-4f47-a39b-07bbe11b2684}"/>
      </c:ext>
    </c:extLst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4000" b="1" i="0" u="none"/>
              <a:t>访问9点位的去重复人数，排行榜页面访问数，（日活+频道首页）/排行榜</a:t>
            </a:r>
            <a:endParaRPr sz="14000" b="1" i="0" u="none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WEB转化!$F$3</c:f>
              <c:strCache>
                <c:ptCount val="1"/>
                <c:pt idx="0">
                  <c:v>9点位去重人数</c:v>
                </c:pt>
              </c:strCache>
            </c:strRef>
          </c:tx>
          <c:spPr>
            <a:ln w="19050" cap="rnd">
              <a:solidFill>
                <a:srgbClr val="5383F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WEB转化!$F$4:$F$144</c:f>
              <c:numCache>
                <c:formatCode>0_);\(0\)</c:formatCode>
                <c:ptCount val="60"/>
                <c:pt idx="0">
                  <c:v>1094.8</c:v>
                </c:pt>
                <c:pt idx="1">
                  <c:v>1090.2</c:v>
                </c:pt>
                <c:pt idx="2">
                  <c:v>2185</c:v>
                </c:pt>
                <c:pt idx="3">
                  <c:v>1014</c:v>
                </c:pt>
                <c:pt idx="4">
                  <c:v>1747.6</c:v>
                </c:pt>
                <c:pt idx="5">
                  <c:v>2761.6</c:v>
                </c:pt>
                <c:pt idx="6">
                  <c:v>1078</c:v>
                </c:pt>
                <c:pt idx="7">
                  <c:v>1385.8</c:v>
                </c:pt>
                <c:pt idx="8">
                  <c:v>2463.8</c:v>
                </c:pt>
                <c:pt idx="9">
                  <c:v>1103.2</c:v>
                </c:pt>
                <c:pt idx="10">
                  <c:v>1379</c:v>
                </c:pt>
                <c:pt idx="11">
                  <c:v>2482.2</c:v>
                </c:pt>
                <c:pt idx="12">
                  <c:v>837</c:v>
                </c:pt>
                <c:pt idx="13">
                  <c:v>1153.2</c:v>
                </c:pt>
                <c:pt idx="14">
                  <c:v>1990.2</c:v>
                </c:pt>
                <c:pt idx="15">
                  <c:v>1157.8</c:v>
                </c:pt>
                <c:pt idx="16">
                  <c:v>1403.2</c:v>
                </c:pt>
                <c:pt idx="17">
                  <c:v>2561</c:v>
                </c:pt>
                <c:pt idx="18">
                  <c:v>1030.8</c:v>
                </c:pt>
                <c:pt idx="19">
                  <c:v>1229</c:v>
                </c:pt>
                <c:pt idx="20">
                  <c:v>2259.8</c:v>
                </c:pt>
                <c:pt idx="21">
                  <c:v>1083</c:v>
                </c:pt>
                <c:pt idx="22">
                  <c:v>1172.4</c:v>
                </c:pt>
                <c:pt idx="23">
                  <c:v>2255.4</c:v>
                </c:pt>
                <c:pt idx="24">
                  <c:v>859.6</c:v>
                </c:pt>
                <c:pt idx="25">
                  <c:v>1168.6</c:v>
                </c:pt>
                <c:pt idx="26">
                  <c:v>2028.2</c:v>
                </c:pt>
                <c:pt idx="27">
                  <c:v>919</c:v>
                </c:pt>
                <c:pt idx="28">
                  <c:v>1138.6</c:v>
                </c:pt>
                <c:pt idx="29">
                  <c:v>2057.6</c:v>
                </c:pt>
                <c:pt idx="30">
                  <c:v>946.2</c:v>
                </c:pt>
                <c:pt idx="31">
                  <c:v>971.4</c:v>
                </c:pt>
                <c:pt idx="32">
                  <c:v>1917.6</c:v>
                </c:pt>
                <c:pt idx="33">
                  <c:v>970.2</c:v>
                </c:pt>
                <c:pt idx="34">
                  <c:v>1094</c:v>
                </c:pt>
                <c:pt idx="35">
                  <c:v>2064.2</c:v>
                </c:pt>
                <c:pt idx="36">
                  <c:v>1043.6</c:v>
                </c:pt>
                <c:pt idx="37">
                  <c:v>959</c:v>
                </c:pt>
                <c:pt idx="38">
                  <c:v>2002.6</c:v>
                </c:pt>
                <c:pt idx="39">
                  <c:v>1060.8</c:v>
                </c:pt>
                <c:pt idx="40">
                  <c:v>1037.2</c:v>
                </c:pt>
                <c:pt idx="41">
                  <c:v>2098</c:v>
                </c:pt>
                <c:pt idx="42">
                  <c:v>1033.8</c:v>
                </c:pt>
                <c:pt idx="43">
                  <c:v>981.6</c:v>
                </c:pt>
                <c:pt idx="44">
                  <c:v>2015.4</c:v>
                </c:pt>
                <c:pt idx="45">
                  <c:v>943.4</c:v>
                </c:pt>
                <c:pt idx="46">
                  <c:v>1007</c:v>
                </c:pt>
                <c:pt idx="47">
                  <c:v>1950.4</c:v>
                </c:pt>
                <c:pt idx="48">
                  <c:v>924.4</c:v>
                </c:pt>
                <c:pt idx="49">
                  <c:v>1003</c:v>
                </c:pt>
                <c:pt idx="50">
                  <c:v>1927.4</c:v>
                </c:pt>
                <c:pt idx="51">
                  <c:v>960.2</c:v>
                </c:pt>
                <c:pt idx="52">
                  <c:v>1032.4</c:v>
                </c:pt>
                <c:pt idx="53">
                  <c:v>1992.6</c:v>
                </c:pt>
                <c:pt idx="54">
                  <c:v>965.2</c:v>
                </c:pt>
                <c:pt idx="55">
                  <c:v>973.6</c:v>
                </c:pt>
                <c:pt idx="56">
                  <c:v>1938.8</c:v>
                </c:pt>
                <c:pt idx="57">
                  <c:v>993.2</c:v>
                </c:pt>
                <c:pt idx="58">
                  <c:v>965.6</c:v>
                </c:pt>
                <c:pt idx="59">
                  <c:v>1958.8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WEB转化!$AB$3</c:f>
              <c:strCache>
                <c:ptCount val="1"/>
                <c:pt idx="0">
                  <c:v>排行榜页面访问数</c:v>
                </c:pt>
              </c:strCache>
            </c:strRef>
          </c:tx>
          <c:spPr>
            <a:ln w="19050" cap="rnd">
              <a:solidFill>
                <a:srgbClr val="55C6EF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WEB转化!$AB$4:$AB$144</c:f>
              <c:numCache>
                <c:formatCode>0_);\(0\)</c:formatCode>
                <c:ptCount val="60"/>
                <c:pt idx="0">
                  <c:v>143.8</c:v>
                </c:pt>
                <c:pt idx="1">
                  <c:v>141.6</c:v>
                </c:pt>
                <c:pt idx="2">
                  <c:v>285.4</c:v>
                </c:pt>
                <c:pt idx="3">
                  <c:v>128.6</c:v>
                </c:pt>
                <c:pt idx="4">
                  <c:v>276.4</c:v>
                </c:pt>
                <c:pt idx="5">
                  <c:v>405</c:v>
                </c:pt>
                <c:pt idx="6">
                  <c:v>126</c:v>
                </c:pt>
                <c:pt idx="7">
                  <c:v>198</c:v>
                </c:pt>
                <c:pt idx="8">
                  <c:v>324</c:v>
                </c:pt>
                <c:pt idx="9">
                  <c:v>128.8</c:v>
                </c:pt>
                <c:pt idx="10">
                  <c:v>195.4</c:v>
                </c:pt>
                <c:pt idx="11">
                  <c:v>324.2</c:v>
                </c:pt>
                <c:pt idx="12">
                  <c:v>102.6</c:v>
                </c:pt>
                <c:pt idx="13">
                  <c:v>163.6</c:v>
                </c:pt>
                <c:pt idx="14">
                  <c:v>266.2</c:v>
                </c:pt>
                <c:pt idx="15">
                  <c:v>149.6</c:v>
                </c:pt>
                <c:pt idx="16">
                  <c:v>241.4</c:v>
                </c:pt>
                <c:pt idx="17">
                  <c:v>391</c:v>
                </c:pt>
                <c:pt idx="18">
                  <c:v>128.4</c:v>
                </c:pt>
                <c:pt idx="19">
                  <c:v>177</c:v>
                </c:pt>
                <c:pt idx="20">
                  <c:v>305.4</c:v>
                </c:pt>
                <c:pt idx="21">
                  <c:v>139.4</c:v>
                </c:pt>
                <c:pt idx="22">
                  <c:v>165.6</c:v>
                </c:pt>
                <c:pt idx="23">
                  <c:v>305</c:v>
                </c:pt>
                <c:pt idx="24">
                  <c:v>102</c:v>
                </c:pt>
                <c:pt idx="25">
                  <c:v>174</c:v>
                </c:pt>
                <c:pt idx="26">
                  <c:v>276</c:v>
                </c:pt>
                <c:pt idx="27">
                  <c:v>108.8</c:v>
                </c:pt>
                <c:pt idx="28">
                  <c:v>158</c:v>
                </c:pt>
                <c:pt idx="29">
                  <c:v>266.8</c:v>
                </c:pt>
                <c:pt idx="30">
                  <c:v>120</c:v>
                </c:pt>
                <c:pt idx="31">
                  <c:v>134.8</c:v>
                </c:pt>
                <c:pt idx="32">
                  <c:v>254.8</c:v>
                </c:pt>
                <c:pt idx="33">
                  <c:v>124.4</c:v>
                </c:pt>
                <c:pt idx="34">
                  <c:v>162.6</c:v>
                </c:pt>
                <c:pt idx="35">
                  <c:v>287</c:v>
                </c:pt>
                <c:pt idx="36">
                  <c:v>123.4</c:v>
                </c:pt>
                <c:pt idx="37">
                  <c:v>133.6</c:v>
                </c:pt>
                <c:pt idx="38">
                  <c:v>257</c:v>
                </c:pt>
                <c:pt idx="39">
                  <c:v>119.8</c:v>
                </c:pt>
                <c:pt idx="40">
                  <c:v>141.8</c:v>
                </c:pt>
                <c:pt idx="41">
                  <c:v>261.6</c:v>
                </c:pt>
                <c:pt idx="42">
                  <c:v>126.6</c:v>
                </c:pt>
                <c:pt idx="43">
                  <c:v>137.8</c:v>
                </c:pt>
                <c:pt idx="44">
                  <c:v>264.4</c:v>
                </c:pt>
                <c:pt idx="45">
                  <c:v>119.6</c:v>
                </c:pt>
                <c:pt idx="46">
                  <c:v>128</c:v>
                </c:pt>
                <c:pt idx="47">
                  <c:v>247.6</c:v>
                </c:pt>
                <c:pt idx="48">
                  <c:v>114.8</c:v>
                </c:pt>
                <c:pt idx="49">
                  <c:v>146</c:v>
                </c:pt>
                <c:pt idx="50">
                  <c:v>260.8</c:v>
                </c:pt>
                <c:pt idx="51">
                  <c:v>132.8</c:v>
                </c:pt>
                <c:pt idx="52">
                  <c:v>148.2</c:v>
                </c:pt>
                <c:pt idx="53">
                  <c:v>281</c:v>
                </c:pt>
                <c:pt idx="54">
                  <c:v>129.2</c:v>
                </c:pt>
                <c:pt idx="55">
                  <c:v>138.8</c:v>
                </c:pt>
                <c:pt idx="56">
                  <c:v>268</c:v>
                </c:pt>
                <c:pt idx="57">
                  <c:v>128.6</c:v>
                </c:pt>
                <c:pt idx="58">
                  <c:v>153.6</c:v>
                </c:pt>
                <c:pt idx="59">
                  <c:v>282.2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350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4b7a664-8411-401f-947e-67e76b0d89a4}"/>
      </c:ext>
    </c:extLst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4000" b="1" i="0" u="none"/>
              <a:t>web自然商业</a:t>
            </a:r>
            <a:endParaRPr sz="14000" b="1" i="0" u="none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WEB转化!$K$3</c:f>
              <c:strCache>
                <c:ptCount val="1"/>
                <c:pt idx="0">
                  <c:v>商业/（日活+频道首页）</c:v>
                </c:pt>
              </c:strCache>
            </c:strRef>
          </c:tx>
          <c:spPr>
            <a:ln w="19050" cap="rnd">
              <a:solidFill>
                <a:srgbClr val="5383F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WEB转化!$K$4:$K$159</c:f>
              <c:numCache>
                <c:formatCode>0.00%</c:formatCode>
                <c:ptCount val="75"/>
                <c:pt idx="0">
                  <c:v>0.0248188685062433</c:v>
                </c:pt>
                <c:pt idx="1">
                  <c:v>0.0411407199625993</c:v>
                </c:pt>
                <c:pt idx="2">
                  <c:v>0.0329355238685679</c:v>
                </c:pt>
                <c:pt idx="3">
                  <c:v>0.0293922284955164</c:v>
                </c:pt>
                <c:pt idx="4">
                  <c:v>0.0309194467046379</c:v>
                </c:pt>
                <c:pt idx="5">
                  <c:v>0.0303393465371515</c:v>
                </c:pt>
                <c:pt idx="6">
                  <c:v>0.0243457090687766</c:v>
                </c:pt>
                <c:pt idx="7">
                  <c:v>0.0266815586994291</c:v>
                </c:pt>
                <c:pt idx="8">
                  <c:v>0.0256322624743677</c:v>
                </c:pt>
                <c:pt idx="9">
                  <c:v>0.0217136150234742</c:v>
                </c:pt>
                <c:pt idx="10">
                  <c:v>0.0252581809132761</c:v>
                </c:pt>
                <c:pt idx="11">
                  <c:v>0.0236315895778631</c:v>
                </c:pt>
                <c:pt idx="12">
                  <c:v>0.0207591933570581</c:v>
                </c:pt>
                <c:pt idx="13">
                  <c:v>0.0225653206650831</c:v>
                </c:pt>
                <c:pt idx="14">
                  <c:v>0.0217907410547736</c:v>
                </c:pt>
                <c:pt idx="15">
                  <c:v>0.0278182347800757</c:v>
                </c:pt>
                <c:pt idx="16">
                  <c:v>0.0314805705853419</c:v>
                </c:pt>
                <c:pt idx="17">
                  <c:v>0.0298039738631818</c:v>
                </c:pt>
                <c:pt idx="18">
                  <c:v>0.029226546100436</c:v>
                </c:pt>
                <c:pt idx="19">
                  <c:v>0.0346705632306057</c:v>
                </c:pt>
                <c:pt idx="20">
                  <c:v>0.0322133955251075</c:v>
                </c:pt>
                <c:pt idx="21">
                  <c:v>0.0273431566155248</c:v>
                </c:pt>
                <c:pt idx="22">
                  <c:v>0.0367092280905398</c:v>
                </c:pt>
                <c:pt idx="23">
                  <c:v>0.0321335807050093</c:v>
                </c:pt>
                <c:pt idx="24">
                  <c:v>0.0344081793157688</c:v>
                </c:pt>
                <c:pt idx="25">
                  <c:v>0.0345740767985876</c:v>
                </c:pt>
                <c:pt idx="26">
                  <c:v>0.0345030716149121</c:v>
                </c:pt>
                <c:pt idx="27">
                  <c:v>0.0340338478705598</c:v>
                </c:pt>
                <c:pt idx="28">
                  <c:v>0.0362897154043066</c:v>
                </c:pt>
                <c:pt idx="29">
                  <c:v>0.0352804127142619</c:v>
                </c:pt>
                <c:pt idx="30">
                  <c:v>0.0309758281110116</c:v>
                </c:pt>
                <c:pt idx="31">
                  <c:v>0.0409621753529719</c:v>
                </c:pt>
                <c:pt idx="32">
                  <c:v>0.036036036036036</c:v>
                </c:pt>
                <c:pt idx="33">
                  <c:v>0.0286602209944751</c:v>
                </c:pt>
                <c:pt idx="34">
                  <c:v>0.0357570317175344</c:v>
                </c:pt>
                <c:pt idx="35">
                  <c:v>0.0324623276691247</c:v>
                </c:pt>
                <c:pt idx="36">
                  <c:v>0.0326390027882565</c:v>
                </c:pt>
                <c:pt idx="37">
                  <c:v>0.0393308417867948</c:v>
                </c:pt>
                <c:pt idx="38">
                  <c:v>0.0358484124274496</c:v>
                </c:pt>
                <c:pt idx="39">
                  <c:v>0.0257406508013599</c:v>
                </c:pt>
                <c:pt idx="40">
                  <c:v>0.0340091563113146</c:v>
                </c:pt>
                <c:pt idx="41">
                  <c:v>0.0298543886764826</c:v>
                </c:pt>
                <c:pt idx="42">
                  <c:v>0.0275884453099643</c:v>
                </c:pt>
                <c:pt idx="43">
                  <c:v>0.038448275862069</c:v>
                </c:pt>
                <c:pt idx="44">
                  <c:v>0.0328540377863234</c:v>
                </c:pt>
                <c:pt idx="45">
                  <c:v>0.0311387900355872</c:v>
                </c:pt>
                <c:pt idx="46">
                  <c:v>0.0379600594157452</c:v>
                </c:pt>
                <c:pt idx="47">
                  <c:v>0.0346776265091189</c:v>
                </c:pt>
                <c:pt idx="48">
                  <c:v>0.0281484189362091</c:v>
                </c:pt>
                <c:pt idx="49">
                  <c:v>0.040456605673997</c:v>
                </c:pt>
                <c:pt idx="50">
                  <c:v>0.0345642282114106</c:v>
                </c:pt>
                <c:pt idx="51">
                  <c:v>0.0274044335835224</c:v>
                </c:pt>
                <c:pt idx="52">
                  <c:v>0.0368932038834951</c:v>
                </c:pt>
                <c:pt idx="53">
                  <c:v>0.0323284910571836</c:v>
                </c:pt>
                <c:pt idx="54">
                  <c:v>0.0249385317878469</c:v>
                </c:pt>
                <c:pt idx="55">
                  <c:v>0.0365665236051502</c:v>
                </c:pt>
                <c:pt idx="56">
                  <c:v>0.0308186474520358</c:v>
                </c:pt>
                <c:pt idx="57">
                  <c:v>0.0220271898124247</c:v>
                </c:pt>
                <c:pt idx="58">
                  <c:v>0.033310787960771</c:v>
                </c:pt>
                <c:pt idx="59">
                  <c:v>0.0277185501066098</c:v>
                </c:pt>
                <c:pt idx="60">
                  <c:v>0.0189317106152806</c:v>
                </c:pt>
                <c:pt idx="61">
                  <c:v>0.0275862068965517</c:v>
                </c:pt>
                <c:pt idx="62">
                  <c:v>0.0234222511385817</c:v>
                </c:pt>
                <c:pt idx="63">
                  <c:v>0.0185212406291342</c:v>
                </c:pt>
                <c:pt idx="64">
                  <c:v>0.0268700072621641</c:v>
                </c:pt>
                <c:pt idx="65">
                  <c:v>0.0227206312098188</c:v>
                </c:pt>
                <c:pt idx="66">
                  <c:v>0.0182330269789505</c:v>
                </c:pt>
                <c:pt idx="67">
                  <c:v>0.0222313147845063</c:v>
                </c:pt>
                <c:pt idx="68">
                  <c:v>0.0203153857081972</c:v>
                </c:pt>
                <c:pt idx="69">
                  <c:v>0.0201080809350258</c:v>
                </c:pt>
                <c:pt idx="70">
                  <c:v>0.0279969064191802</c:v>
                </c:pt>
                <c:pt idx="71">
                  <c:v>0.0236444321175981</c:v>
                </c:pt>
                <c:pt idx="72">
                  <c:v>0.0199838281159755</c:v>
                </c:pt>
                <c:pt idx="73">
                  <c:v>0.0324260002974862</c:v>
                </c:pt>
                <c:pt idx="74">
                  <c:v>0.0254226267880364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WEB转化!$X$3</c:f>
              <c:strCache>
                <c:ptCount val="1"/>
                <c:pt idx="0">
                  <c:v>曝光/（日活+频道首页）</c:v>
                </c:pt>
              </c:strCache>
            </c:strRef>
          </c:tx>
          <c:spPr>
            <a:ln w="19050" cap="rnd">
              <a:solidFill>
                <a:srgbClr val="55C6EF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WEB转化!$X$4:$X$159</c:f>
              <c:numCache>
                <c:formatCode>0.00%</c:formatCode>
                <c:ptCount val="75"/>
                <c:pt idx="0">
                  <c:v>0.0121538461538462</c:v>
                </c:pt>
                <c:pt idx="1">
                  <c:v>0.0160386172531922</c:v>
                </c:pt>
                <c:pt idx="2">
                  <c:v>0.0140845070422535</c:v>
                </c:pt>
                <c:pt idx="3">
                  <c:v>0.0111111111111111</c:v>
                </c:pt>
                <c:pt idx="4">
                  <c:v>0.0180820804550996</c:v>
                </c:pt>
                <c:pt idx="5">
                  <c:v>0.0154340430893285</c:v>
                </c:pt>
                <c:pt idx="6">
                  <c:v>0.0135361216730038</c:v>
                </c:pt>
                <c:pt idx="7">
                  <c:v>0.0135151890886547</c:v>
                </c:pt>
                <c:pt idx="8">
                  <c:v>0.0135245901639344</c:v>
                </c:pt>
                <c:pt idx="9">
                  <c:v>0.013042203985932</c:v>
                </c:pt>
                <c:pt idx="10">
                  <c:v>0.0166521685100037</c:v>
                </c:pt>
                <c:pt idx="11">
                  <c:v>0.0149956290767265</c:v>
                </c:pt>
                <c:pt idx="12">
                  <c:v>0.0114488748519542</c:v>
                </c:pt>
                <c:pt idx="13">
                  <c:v>0.0149784962183005</c:v>
                </c:pt>
                <c:pt idx="14">
                  <c:v>0.0134643068845796</c:v>
                </c:pt>
                <c:pt idx="15">
                  <c:v>0.0122093023255814</c:v>
                </c:pt>
                <c:pt idx="16">
                  <c:v>0.0169470711040157</c:v>
                </c:pt>
                <c:pt idx="17">
                  <c:v>0.0147773414098382</c:v>
                </c:pt>
                <c:pt idx="18">
                  <c:v>0.014665592264303</c:v>
                </c:pt>
                <c:pt idx="19">
                  <c:v>0.0136677282377919</c:v>
                </c:pt>
                <c:pt idx="20">
                  <c:v>0.0141183319991267</c:v>
                </c:pt>
                <c:pt idx="21">
                  <c:v>0.014251061249242</c:v>
                </c:pt>
                <c:pt idx="22">
                  <c:v>0.0188378495870164</c:v>
                </c:pt>
                <c:pt idx="23">
                  <c:v>0.0165962806549604</c:v>
                </c:pt>
                <c:pt idx="24">
                  <c:v>0.011783189316575</c:v>
                </c:pt>
                <c:pt idx="25">
                  <c:v>0.0142500367268988</c:v>
                </c:pt>
                <c:pt idx="26">
                  <c:v>0.0131943860828641</c:v>
                </c:pt>
                <c:pt idx="27">
                  <c:v>0.0250789522571057</c:v>
                </c:pt>
                <c:pt idx="28">
                  <c:v>0.0278070043589358</c:v>
                </c:pt>
                <c:pt idx="29">
                  <c:v>0.0265869059488202</c:v>
                </c:pt>
                <c:pt idx="30">
                  <c:v>0.0448614834673816</c:v>
                </c:pt>
                <c:pt idx="31">
                  <c:v>0.0327241079199304</c:v>
                </c:pt>
                <c:pt idx="32">
                  <c:v>0.0387125220458554</c:v>
                </c:pt>
                <c:pt idx="33">
                  <c:v>0.0394487510766581</c:v>
                </c:pt>
                <c:pt idx="34">
                  <c:v>0.0433742147771463</c:v>
                </c:pt>
                <c:pt idx="35">
                  <c:v>0.0415499159394764</c:v>
                </c:pt>
                <c:pt idx="36">
                  <c:v>0.0411407965907228</c:v>
                </c:pt>
                <c:pt idx="37">
                  <c:v>0.0394666666666667</c:v>
                </c:pt>
                <c:pt idx="38">
                  <c:v>0.0403377110694184</c:v>
                </c:pt>
                <c:pt idx="39">
                  <c:v>0.0391205948916909</c:v>
                </c:pt>
                <c:pt idx="40">
                  <c:v>0.0360757427358799</c:v>
                </c:pt>
                <c:pt idx="41">
                  <c:v>0.0376055880441845</c:v>
                </c:pt>
                <c:pt idx="42">
                  <c:v>0.0410381184103812</c:v>
                </c:pt>
                <c:pt idx="43">
                  <c:v>0.0353143841515935</c:v>
                </c:pt>
                <c:pt idx="44">
                  <c:v>0.0382623224728488</c:v>
                </c:pt>
                <c:pt idx="45">
                  <c:v>0.0451635846372688</c:v>
                </c:pt>
                <c:pt idx="46">
                  <c:v>0.0379350156688108</c:v>
                </c:pt>
                <c:pt idx="47">
                  <c:v>0.0414135364079747</c:v>
                </c:pt>
                <c:pt idx="48">
                  <c:v>0.0358703568827385</c:v>
                </c:pt>
                <c:pt idx="49">
                  <c:v>0.0375712848037571</c:v>
                </c:pt>
                <c:pt idx="50">
                  <c:v>0.036755718526279</c:v>
                </c:pt>
                <c:pt idx="51">
                  <c:v>0.0376372190277052</c:v>
                </c:pt>
                <c:pt idx="52">
                  <c:v>0.0633688975105076</c:v>
                </c:pt>
                <c:pt idx="53">
                  <c:v>0.0509853249475891</c:v>
                </c:pt>
                <c:pt idx="54">
                  <c:v>0.0334383753501401</c:v>
                </c:pt>
                <c:pt idx="55">
                  <c:v>0.034122085048011</c:v>
                </c:pt>
                <c:pt idx="56">
                  <c:v>0.0337837837837838</c:v>
                </c:pt>
                <c:pt idx="57">
                  <c:v>0.034192439862543</c:v>
                </c:pt>
                <c:pt idx="58">
                  <c:v>0.0371621621621622</c:v>
                </c:pt>
                <c:pt idx="59">
                  <c:v>0.0356899488926746</c:v>
                </c:pt>
                <c:pt idx="60">
                  <c:v>0.0335921674544227</c:v>
                </c:pt>
                <c:pt idx="61">
                  <c:v>0.0338081076850837</c:v>
                </c:pt>
                <c:pt idx="62">
                  <c:v>0.0337042150572566</c:v>
                </c:pt>
                <c:pt idx="63">
                  <c:v>0.028919553728714</c:v>
                </c:pt>
                <c:pt idx="64">
                  <c:v>0.0407719094602438</c:v>
                </c:pt>
                <c:pt idx="65">
                  <c:v>0.0348803269118506</c:v>
                </c:pt>
                <c:pt idx="66">
                  <c:v>0.0312314979277679</c:v>
                </c:pt>
                <c:pt idx="67">
                  <c:v>0.0295640326975477</c:v>
                </c:pt>
                <c:pt idx="68">
                  <c:v>0.0303632236095346</c:v>
                </c:pt>
                <c:pt idx="69">
                  <c:v>0.0322337890380033</c:v>
                </c:pt>
                <c:pt idx="70">
                  <c:v>0.0333900139125058</c:v>
                </c:pt>
                <c:pt idx="71">
                  <c:v>0.0327516964409362</c:v>
                </c:pt>
                <c:pt idx="72">
                  <c:v>0.0363363709770446</c:v>
                </c:pt>
                <c:pt idx="73">
                  <c:v>0.0367122473246136</c:v>
                </c:pt>
                <c:pt idx="74">
                  <c:v>0.0365006170033123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WEB转化!$AA$3</c:f>
              <c:strCache>
                <c:ptCount val="1"/>
                <c:pt idx="0">
                  <c:v>新闻/（日活+频道首页）</c:v>
                </c:pt>
              </c:strCache>
            </c:strRef>
          </c:tx>
          <c:spPr>
            <a:ln w="19050" cap="rnd">
              <a:solidFill>
                <a:srgbClr val="915EEA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WEB转化!$AA$4:$AA$159</c:f>
              <c:numCache>
                <c:formatCode>0.00%</c:formatCode>
                <c:ptCount val="75"/>
                <c:pt idx="0">
                  <c:v>0.0470046082949309</c:v>
                </c:pt>
                <c:pt idx="1">
                  <c:v>0.0988037905856766</c:v>
                </c:pt>
                <c:pt idx="2">
                  <c:v>0.0727581679153472</c:v>
                </c:pt>
                <c:pt idx="3">
                  <c:v>0.0544071440383661</c:v>
                </c:pt>
                <c:pt idx="4">
                  <c:v>0.10098247746379</c:v>
                </c:pt>
                <c:pt idx="5">
                  <c:v>0.0832914572864322</c:v>
                </c:pt>
                <c:pt idx="6">
                  <c:v>0.0513792058199454</c:v>
                </c:pt>
                <c:pt idx="7">
                  <c:v>0.099208312716477</c:v>
                </c:pt>
                <c:pt idx="8">
                  <c:v>0.0777142078735867</c:v>
                </c:pt>
                <c:pt idx="9">
                  <c:v>0.0611379259909317</c:v>
                </c:pt>
                <c:pt idx="10">
                  <c:v>0.108175164371666</c:v>
                </c:pt>
                <c:pt idx="11">
                  <c:v>0.0865888038662908</c:v>
                </c:pt>
                <c:pt idx="12">
                  <c:v>0.0620445144770534</c:v>
                </c:pt>
                <c:pt idx="13">
                  <c:v>0.105590062111801</c:v>
                </c:pt>
                <c:pt idx="14">
                  <c:v>0.086916124672692</c:v>
                </c:pt>
                <c:pt idx="15">
                  <c:v>0.058627194891888</c:v>
                </c:pt>
                <c:pt idx="16">
                  <c:v>0.102488660046586</c:v>
                </c:pt>
                <c:pt idx="17">
                  <c:v>0.0824029771398192</c:v>
                </c:pt>
                <c:pt idx="18">
                  <c:v>0.0674807197943445</c:v>
                </c:pt>
                <c:pt idx="19">
                  <c:v>0.0936631829607091</c:v>
                </c:pt>
                <c:pt idx="20">
                  <c:v>0.0818399477617355</c:v>
                </c:pt>
                <c:pt idx="21">
                  <c:v>0.0551264576707557</c:v>
                </c:pt>
                <c:pt idx="22">
                  <c:v>0.105552342394448</c:v>
                </c:pt>
                <c:pt idx="23">
                  <c:v>0.0809231452030476</c:v>
                </c:pt>
                <c:pt idx="24">
                  <c:v>0.064756671899529</c:v>
                </c:pt>
                <c:pt idx="25">
                  <c:v>0.0940797186400938</c:v>
                </c:pt>
                <c:pt idx="26">
                  <c:v>0.0815436241610738</c:v>
                </c:pt>
                <c:pt idx="27">
                  <c:v>0.0676051120577885</c:v>
                </c:pt>
                <c:pt idx="28">
                  <c:v>0.0941158811167817</c:v>
                </c:pt>
                <c:pt idx="29">
                  <c:v>0.0822485697703341</c:v>
                </c:pt>
                <c:pt idx="30">
                  <c:v>0.0622547270781306</c:v>
                </c:pt>
                <c:pt idx="31">
                  <c:v>0.0965780788605176</c:v>
                </c:pt>
                <c:pt idx="32">
                  <c:v>0.079644460089765</c:v>
                </c:pt>
                <c:pt idx="33">
                  <c:v>0.0666895840495015</c:v>
                </c:pt>
                <c:pt idx="34">
                  <c:v>0.109501045712578</c:v>
                </c:pt>
                <c:pt idx="35">
                  <c:v>0.0895939897698209</c:v>
                </c:pt>
                <c:pt idx="36">
                  <c:v>0.0707863331698545</c:v>
                </c:pt>
                <c:pt idx="37">
                  <c:v>0.10998578535892</c:v>
                </c:pt>
                <c:pt idx="38">
                  <c:v>0.0895700297999148</c:v>
                </c:pt>
                <c:pt idx="39">
                  <c:v>0.0755326016785022</c:v>
                </c:pt>
                <c:pt idx="40">
                  <c:v>0.130781758957655</c:v>
                </c:pt>
                <c:pt idx="41">
                  <c:v>0.1030317769131</c:v>
                </c:pt>
                <c:pt idx="42">
                  <c:v>0.0713824289405685</c:v>
                </c:pt>
                <c:pt idx="43">
                  <c:v>0.116635128161018</c:v>
                </c:pt>
                <c:pt idx="44">
                  <c:v>0.0932944606413994</c:v>
                </c:pt>
                <c:pt idx="45">
                  <c:v>0.0675053153791637</c:v>
                </c:pt>
                <c:pt idx="46">
                  <c:v>0.118538030951597</c:v>
                </c:pt>
                <c:pt idx="47">
                  <c:v>0.093958013312852</c:v>
                </c:pt>
                <c:pt idx="48">
                  <c:v>0.0654664484451719</c:v>
                </c:pt>
                <c:pt idx="49">
                  <c:v>0.100553041729512</c:v>
                </c:pt>
                <c:pt idx="50">
                  <c:v>0.0837257980115123</c:v>
                </c:pt>
                <c:pt idx="51">
                  <c:v>0.0598677340758789</c:v>
                </c:pt>
                <c:pt idx="52">
                  <c:v>0.0969354838709677</c:v>
                </c:pt>
                <c:pt idx="53">
                  <c:v>0.0791059768960321</c:v>
                </c:pt>
                <c:pt idx="54">
                  <c:v>0.0627183787561146</c:v>
                </c:pt>
                <c:pt idx="55">
                  <c:v>0.110539845758355</c:v>
                </c:pt>
                <c:pt idx="56">
                  <c:v>0.0868587248031837</c:v>
                </c:pt>
                <c:pt idx="57">
                  <c:v>0.0642233259119712</c:v>
                </c:pt>
                <c:pt idx="58">
                  <c:v>0.0923206751054852</c:v>
                </c:pt>
                <c:pt idx="59">
                  <c:v>0.0783747024821489</c:v>
                </c:pt>
                <c:pt idx="60">
                  <c:v>0.061121400909244</c:v>
                </c:pt>
                <c:pt idx="61">
                  <c:v>0.113696704669686</c:v>
                </c:pt>
                <c:pt idx="62">
                  <c:v>0.0883973424080376</c:v>
                </c:pt>
                <c:pt idx="63">
                  <c:v>0.0644594198652212</c:v>
                </c:pt>
                <c:pt idx="64">
                  <c:v>0.125036221385106</c:v>
                </c:pt>
                <c:pt idx="65">
                  <c:v>0.0949155011655012</c:v>
                </c:pt>
                <c:pt idx="66">
                  <c:v>0.0742713419144844</c:v>
                </c:pt>
                <c:pt idx="67">
                  <c:v>0.126377363623997</c:v>
                </c:pt>
                <c:pt idx="68">
                  <c:v>0.101417434443657</c:v>
                </c:pt>
                <c:pt idx="69">
                  <c:v>0.0749874812218327</c:v>
                </c:pt>
                <c:pt idx="70">
                  <c:v>0.130206726319037</c:v>
                </c:pt>
                <c:pt idx="71">
                  <c:v>0.0997235659986178</c:v>
                </c:pt>
                <c:pt idx="72">
                  <c:v>0.0671032977134322</c:v>
                </c:pt>
                <c:pt idx="73">
                  <c:v>0.119934689030726</c:v>
                </c:pt>
                <c:pt idx="74">
                  <c:v>0.0901554404145078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350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d50a341-b990-4f4f-a149-bad182e1518a}"/>
      </c:ext>
    </c:extLst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4000" b="1" i="0" u="none"/>
              <a:t>web自然交易商访问</a:t>
            </a:r>
            <a:endParaRPr sz="14000" b="1" i="0" u="none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WEB转化!$E$3</c:f>
              <c:strCache>
                <c:ptCount val="1"/>
                <c:pt idx="0">
                  <c:v>自然uv</c:v>
                </c:pt>
              </c:strCache>
            </c:strRef>
          </c:tx>
          <c:spPr>
            <a:ln w="19050" cap="rnd">
              <a:solidFill>
                <a:srgbClr val="5383F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WEB转化!$E$4:$E$159</c:f>
              <c:numCache>
                <c:formatCode>0_);\(0\)</c:formatCode>
                <c:ptCount val="75"/>
                <c:pt idx="0">
                  <c:v>1297.4</c:v>
                </c:pt>
                <c:pt idx="1">
                  <c:v>1283</c:v>
                </c:pt>
                <c:pt idx="2">
                  <c:v>2580.4</c:v>
                </c:pt>
                <c:pt idx="3">
                  <c:v>1204.2</c:v>
                </c:pt>
                <c:pt idx="4">
                  <c:v>1966</c:v>
                </c:pt>
                <c:pt idx="5">
                  <c:v>3170.2</c:v>
                </c:pt>
                <c:pt idx="6">
                  <c:v>1313.6</c:v>
                </c:pt>
                <c:pt idx="7">
                  <c:v>1611</c:v>
                </c:pt>
                <c:pt idx="8">
                  <c:v>2924.6</c:v>
                </c:pt>
                <c:pt idx="9">
                  <c:v>1363.2</c:v>
                </c:pt>
                <c:pt idx="10">
                  <c:v>1606.8</c:v>
                </c:pt>
                <c:pt idx="11">
                  <c:v>2970</c:v>
                </c:pt>
                <c:pt idx="12">
                  <c:v>1011.6</c:v>
                </c:pt>
                <c:pt idx="13">
                  <c:v>1345.8</c:v>
                </c:pt>
                <c:pt idx="14">
                  <c:v>2357.4</c:v>
                </c:pt>
                <c:pt idx="15">
                  <c:v>1373.2</c:v>
                </c:pt>
                <c:pt idx="16">
                  <c:v>1626.4</c:v>
                </c:pt>
                <c:pt idx="17">
                  <c:v>2999.6</c:v>
                </c:pt>
                <c:pt idx="18">
                  <c:v>1238</c:v>
                </c:pt>
                <c:pt idx="19">
                  <c:v>1505.4</c:v>
                </c:pt>
                <c:pt idx="20">
                  <c:v>2743.4</c:v>
                </c:pt>
                <c:pt idx="21">
                  <c:v>1316.4</c:v>
                </c:pt>
                <c:pt idx="22">
                  <c:v>1378.4</c:v>
                </c:pt>
                <c:pt idx="23">
                  <c:v>2694.8</c:v>
                </c:pt>
                <c:pt idx="24">
                  <c:v>1016.8</c:v>
                </c:pt>
                <c:pt idx="25">
                  <c:v>1359</c:v>
                </c:pt>
                <c:pt idx="26">
                  <c:v>2375.8</c:v>
                </c:pt>
                <c:pt idx="27">
                  <c:v>1075.4</c:v>
                </c:pt>
                <c:pt idx="28">
                  <c:v>1328.2</c:v>
                </c:pt>
                <c:pt idx="29">
                  <c:v>2403.6</c:v>
                </c:pt>
                <c:pt idx="30">
                  <c:v>1117</c:v>
                </c:pt>
                <c:pt idx="31">
                  <c:v>1147.4</c:v>
                </c:pt>
                <c:pt idx="32">
                  <c:v>2264.4</c:v>
                </c:pt>
                <c:pt idx="33">
                  <c:v>1158.2</c:v>
                </c:pt>
                <c:pt idx="34">
                  <c:v>1335.4</c:v>
                </c:pt>
                <c:pt idx="35">
                  <c:v>2493.6</c:v>
                </c:pt>
                <c:pt idx="36">
                  <c:v>1218.4</c:v>
                </c:pt>
                <c:pt idx="37">
                  <c:v>1123.2</c:v>
                </c:pt>
                <c:pt idx="38">
                  <c:v>2341.6</c:v>
                </c:pt>
                <c:pt idx="39">
                  <c:v>1235.2</c:v>
                </c:pt>
                <c:pt idx="40">
                  <c:v>1222.8</c:v>
                </c:pt>
                <c:pt idx="41">
                  <c:v>2458</c:v>
                </c:pt>
                <c:pt idx="42">
                  <c:v>1231.8</c:v>
                </c:pt>
                <c:pt idx="43">
                  <c:v>1159.8</c:v>
                </c:pt>
                <c:pt idx="44">
                  <c:v>2391.6</c:v>
                </c:pt>
                <c:pt idx="45">
                  <c:v>1123.2</c:v>
                </c:pt>
                <c:pt idx="46">
                  <c:v>1211.2</c:v>
                </c:pt>
                <c:pt idx="47">
                  <c:v>2334.4</c:v>
                </c:pt>
                <c:pt idx="48">
                  <c:v>1094.2</c:v>
                </c:pt>
                <c:pt idx="49">
                  <c:v>1191</c:v>
                </c:pt>
                <c:pt idx="50">
                  <c:v>2285.2</c:v>
                </c:pt>
                <c:pt idx="51">
                  <c:v>1145.6</c:v>
                </c:pt>
                <c:pt idx="52">
                  <c:v>1235.8</c:v>
                </c:pt>
                <c:pt idx="53">
                  <c:v>2381.4</c:v>
                </c:pt>
                <c:pt idx="54">
                  <c:v>1138.6</c:v>
                </c:pt>
                <c:pt idx="55">
                  <c:v>1164.6</c:v>
                </c:pt>
                <c:pt idx="56">
                  <c:v>2303.2</c:v>
                </c:pt>
                <c:pt idx="57">
                  <c:v>1162</c:v>
                </c:pt>
                <c:pt idx="58">
                  <c:v>1182.4</c:v>
                </c:pt>
                <c:pt idx="59">
                  <c:v>2344.4</c:v>
                </c:pt>
                <c:pt idx="60">
                  <c:v>1182.6</c:v>
                </c:pt>
                <c:pt idx="61">
                  <c:v>1275.8</c:v>
                </c:pt>
                <c:pt idx="62">
                  <c:v>2458.4</c:v>
                </c:pt>
                <c:pt idx="63" c:formatCode="General">
                  <c:v>1359.8</c:v>
                </c:pt>
                <c:pt idx="64" c:formatCode="General">
                  <c:v>1376.4</c:v>
                </c:pt>
                <c:pt idx="65" c:formatCode="General">
                  <c:v>2736.2</c:v>
                </c:pt>
                <c:pt idx="66" c:formatCode="General">
                  <c:v>1348.8</c:v>
                </c:pt>
                <c:pt idx="67" c:formatCode="General">
                  <c:v>1466.4</c:v>
                </c:pt>
                <c:pt idx="68" c:formatCode="General">
                  <c:v>2815.2</c:v>
                </c:pt>
                <c:pt idx="69" c:formatCode="General">
                  <c:v>1591.2</c:v>
                </c:pt>
                <c:pt idx="70" c:formatCode="General">
                  <c:v>1293</c:v>
                </c:pt>
                <c:pt idx="71" c:formatCode="General">
                  <c:v>2884.2</c:v>
                </c:pt>
                <c:pt idx="72" c:formatCode="General">
                  <c:v>1730.8</c:v>
                </c:pt>
                <c:pt idx="73" c:formatCode="General">
                  <c:v>1344</c:v>
                </c:pt>
                <c:pt idx="74" c:formatCode="General">
                  <c:v>3074.8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WEB转化!$R$3</c:f>
              <c:strCache>
                <c:ptCount val="1"/>
                <c:pt idx="0">
                  <c:v>交易商详情页面访问数</c:v>
                </c:pt>
              </c:strCache>
            </c:strRef>
          </c:tx>
          <c:spPr>
            <a:ln w="19050" cap="rnd">
              <a:solidFill>
                <a:srgbClr val="55C6EF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WEB转化!$R$4:$R$159</c:f>
              <c:numCache>
                <c:formatCode>0_);\(0\)</c:formatCode>
                <c:ptCount val="75"/>
                <c:pt idx="0">
                  <c:v>944.6</c:v>
                </c:pt>
                <c:pt idx="1">
                  <c:v>849.2</c:v>
                </c:pt>
                <c:pt idx="2">
                  <c:v>1793.8</c:v>
                </c:pt>
                <c:pt idx="3">
                  <c:v>862.4</c:v>
                </c:pt>
                <c:pt idx="4">
                  <c:v>1461.2</c:v>
                </c:pt>
                <c:pt idx="5">
                  <c:v>2323.6</c:v>
                </c:pt>
                <c:pt idx="6">
                  <c:v>914.8</c:v>
                </c:pt>
                <c:pt idx="7">
                  <c:v>1142</c:v>
                </c:pt>
                <c:pt idx="8">
                  <c:v>2056.8</c:v>
                </c:pt>
                <c:pt idx="9">
                  <c:v>928.6</c:v>
                </c:pt>
                <c:pt idx="10">
                  <c:v>1101.4</c:v>
                </c:pt>
                <c:pt idx="11">
                  <c:v>2030</c:v>
                </c:pt>
                <c:pt idx="12">
                  <c:v>700.2</c:v>
                </c:pt>
                <c:pt idx="13">
                  <c:v>921.2</c:v>
                </c:pt>
                <c:pt idx="14">
                  <c:v>1621.4</c:v>
                </c:pt>
                <c:pt idx="15">
                  <c:v>982.2</c:v>
                </c:pt>
                <c:pt idx="16">
                  <c:v>1126</c:v>
                </c:pt>
                <c:pt idx="17">
                  <c:v>2108.2</c:v>
                </c:pt>
                <c:pt idx="18">
                  <c:v>864.2</c:v>
                </c:pt>
                <c:pt idx="19">
                  <c:v>960.8</c:v>
                </c:pt>
                <c:pt idx="20">
                  <c:v>1825</c:v>
                </c:pt>
                <c:pt idx="21">
                  <c:v>920.4</c:v>
                </c:pt>
                <c:pt idx="22">
                  <c:v>937.6</c:v>
                </c:pt>
                <c:pt idx="23">
                  <c:v>1858</c:v>
                </c:pt>
                <c:pt idx="24">
                  <c:v>718.8</c:v>
                </c:pt>
                <c:pt idx="25">
                  <c:v>931</c:v>
                </c:pt>
                <c:pt idx="26">
                  <c:v>1649.8</c:v>
                </c:pt>
                <c:pt idx="27">
                  <c:v>766.4</c:v>
                </c:pt>
                <c:pt idx="28">
                  <c:v>919.6</c:v>
                </c:pt>
                <c:pt idx="29">
                  <c:v>1686</c:v>
                </c:pt>
                <c:pt idx="30">
                  <c:v>788.2</c:v>
                </c:pt>
                <c:pt idx="31">
                  <c:v>782.4</c:v>
                </c:pt>
                <c:pt idx="32">
                  <c:v>1570.6</c:v>
                </c:pt>
                <c:pt idx="33">
                  <c:v>809.2</c:v>
                </c:pt>
                <c:pt idx="34">
                  <c:v>834.4</c:v>
                </c:pt>
                <c:pt idx="35">
                  <c:v>1643.6</c:v>
                </c:pt>
                <c:pt idx="36">
                  <c:v>869.8</c:v>
                </c:pt>
                <c:pt idx="37">
                  <c:v>759.6</c:v>
                </c:pt>
                <c:pt idx="38">
                  <c:v>1629.4</c:v>
                </c:pt>
                <c:pt idx="39">
                  <c:v>885.6</c:v>
                </c:pt>
                <c:pt idx="40">
                  <c:v>805</c:v>
                </c:pt>
                <c:pt idx="41">
                  <c:v>1690.6</c:v>
                </c:pt>
                <c:pt idx="42">
                  <c:v>857.2</c:v>
                </c:pt>
                <c:pt idx="43">
                  <c:v>766.8</c:v>
                </c:pt>
                <c:pt idx="44">
                  <c:v>1624</c:v>
                </c:pt>
                <c:pt idx="45">
                  <c:v>789</c:v>
                </c:pt>
                <c:pt idx="46">
                  <c:v>773.4</c:v>
                </c:pt>
                <c:pt idx="47">
                  <c:v>1562.4</c:v>
                </c:pt>
                <c:pt idx="48">
                  <c:v>773.2</c:v>
                </c:pt>
                <c:pt idx="49">
                  <c:v>784.8</c:v>
                </c:pt>
                <c:pt idx="50">
                  <c:v>1558</c:v>
                </c:pt>
                <c:pt idx="51">
                  <c:v>807</c:v>
                </c:pt>
                <c:pt idx="52">
                  <c:v>800</c:v>
                </c:pt>
                <c:pt idx="53">
                  <c:v>1607</c:v>
                </c:pt>
                <c:pt idx="54">
                  <c:v>810.6</c:v>
                </c:pt>
                <c:pt idx="55">
                  <c:v>776.6</c:v>
                </c:pt>
                <c:pt idx="56">
                  <c:v>1587.2</c:v>
                </c:pt>
                <c:pt idx="57">
                  <c:v>840.4</c:v>
                </c:pt>
                <c:pt idx="58">
                  <c:v>738.2</c:v>
                </c:pt>
                <c:pt idx="59">
                  <c:v>1578.6</c:v>
                </c:pt>
                <c:pt idx="60">
                  <c:v>846.6</c:v>
                </c:pt>
                <c:pt idx="61">
                  <c:v>847.8</c:v>
                </c:pt>
                <c:pt idx="62">
                  <c:v>1694.4</c:v>
                </c:pt>
                <c:pt idx="63" c:formatCode="General">
                  <c:v>886.4</c:v>
                </c:pt>
                <c:pt idx="64" c:formatCode="General">
                  <c:v>861.2</c:v>
                </c:pt>
                <c:pt idx="65" c:formatCode="General">
                  <c:v>1747.6</c:v>
                </c:pt>
                <c:pt idx="66" c:formatCode="General">
                  <c:v>692.6</c:v>
                </c:pt>
                <c:pt idx="67" c:formatCode="General">
                  <c:v>704.6</c:v>
                </c:pt>
                <c:pt idx="68" c:formatCode="General">
                  <c:v>1397.2</c:v>
                </c:pt>
                <c:pt idx="69" c:formatCode="General">
                  <c:v>1104.8</c:v>
                </c:pt>
                <c:pt idx="70" c:formatCode="General">
                  <c:v>843.4</c:v>
                </c:pt>
                <c:pt idx="71" c:formatCode="General">
                  <c:v>1948.2</c:v>
                </c:pt>
                <c:pt idx="72" c:formatCode="General">
                  <c:v>1200.8</c:v>
                </c:pt>
                <c:pt idx="73" c:formatCode="General">
                  <c:v>915.4</c:v>
                </c:pt>
                <c:pt idx="74" c:formatCode="General">
                  <c:v>2116.2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350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cd51630-8e6b-49c5-aaa3-38ed8598d7d1}"/>
      </c:ext>
    </c:extLst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4000" b="1" i="0" u="none"/>
              <a:t>9点位去重人数占比</a:t>
            </a:r>
            <a:endParaRPr sz="14000" b="1" i="0" u="none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WEB转化!$E$3</c:f>
              <c:strCache>
                <c:ptCount val="1"/>
                <c:pt idx="0">
                  <c:v>自然uv</c:v>
                </c:pt>
              </c:strCache>
            </c:strRef>
          </c:tx>
          <c:spPr>
            <a:ln w="19050" cap="rnd">
              <a:solidFill>
                <a:srgbClr val="5383F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WEB转化!$E$4:$E$159</c:f>
              <c:numCache>
                <c:formatCode>0_);\(0\)</c:formatCode>
                <c:ptCount val="75"/>
                <c:pt idx="0">
                  <c:v>1297.4</c:v>
                </c:pt>
                <c:pt idx="1">
                  <c:v>1283</c:v>
                </c:pt>
                <c:pt idx="2">
                  <c:v>2580.4</c:v>
                </c:pt>
                <c:pt idx="3">
                  <c:v>1204.2</c:v>
                </c:pt>
                <c:pt idx="4">
                  <c:v>1966</c:v>
                </c:pt>
                <c:pt idx="5">
                  <c:v>3170.2</c:v>
                </c:pt>
                <c:pt idx="6">
                  <c:v>1313.6</c:v>
                </c:pt>
                <c:pt idx="7">
                  <c:v>1611</c:v>
                </c:pt>
                <c:pt idx="8">
                  <c:v>2924.6</c:v>
                </c:pt>
                <c:pt idx="9">
                  <c:v>1363.2</c:v>
                </c:pt>
                <c:pt idx="10">
                  <c:v>1606.8</c:v>
                </c:pt>
                <c:pt idx="11">
                  <c:v>2970</c:v>
                </c:pt>
                <c:pt idx="12">
                  <c:v>1011.6</c:v>
                </c:pt>
                <c:pt idx="13">
                  <c:v>1345.8</c:v>
                </c:pt>
                <c:pt idx="14">
                  <c:v>2357.4</c:v>
                </c:pt>
                <c:pt idx="15">
                  <c:v>1373.2</c:v>
                </c:pt>
                <c:pt idx="16">
                  <c:v>1626.4</c:v>
                </c:pt>
                <c:pt idx="17">
                  <c:v>2999.6</c:v>
                </c:pt>
                <c:pt idx="18">
                  <c:v>1238</c:v>
                </c:pt>
                <c:pt idx="19">
                  <c:v>1505.4</c:v>
                </c:pt>
                <c:pt idx="20">
                  <c:v>2743.4</c:v>
                </c:pt>
                <c:pt idx="21">
                  <c:v>1316.4</c:v>
                </c:pt>
                <c:pt idx="22">
                  <c:v>1378.4</c:v>
                </c:pt>
                <c:pt idx="23">
                  <c:v>2694.8</c:v>
                </c:pt>
                <c:pt idx="24">
                  <c:v>1016.8</c:v>
                </c:pt>
                <c:pt idx="25">
                  <c:v>1359</c:v>
                </c:pt>
                <c:pt idx="26">
                  <c:v>2375.8</c:v>
                </c:pt>
                <c:pt idx="27">
                  <c:v>1075.4</c:v>
                </c:pt>
                <c:pt idx="28">
                  <c:v>1328.2</c:v>
                </c:pt>
                <c:pt idx="29">
                  <c:v>2403.6</c:v>
                </c:pt>
                <c:pt idx="30">
                  <c:v>1117</c:v>
                </c:pt>
                <c:pt idx="31">
                  <c:v>1147.4</c:v>
                </c:pt>
                <c:pt idx="32">
                  <c:v>2264.4</c:v>
                </c:pt>
                <c:pt idx="33">
                  <c:v>1158.2</c:v>
                </c:pt>
                <c:pt idx="34">
                  <c:v>1335.4</c:v>
                </c:pt>
                <c:pt idx="35">
                  <c:v>2493.6</c:v>
                </c:pt>
                <c:pt idx="36">
                  <c:v>1218.4</c:v>
                </c:pt>
                <c:pt idx="37">
                  <c:v>1123.2</c:v>
                </c:pt>
                <c:pt idx="38">
                  <c:v>2341.6</c:v>
                </c:pt>
                <c:pt idx="39">
                  <c:v>1235.2</c:v>
                </c:pt>
                <c:pt idx="40">
                  <c:v>1222.8</c:v>
                </c:pt>
                <c:pt idx="41">
                  <c:v>2458</c:v>
                </c:pt>
                <c:pt idx="42">
                  <c:v>1231.8</c:v>
                </c:pt>
                <c:pt idx="43">
                  <c:v>1159.8</c:v>
                </c:pt>
                <c:pt idx="44">
                  <c:v>2391.6</c:v>
                </c:pt>
                <c:pt idx="45">
                  <c:v>1123.2</c:v>
                </c:pt>
                <c:pt idx="46">
                  <c:v>1211.2</c:v>
                </c:pt>
                <c:pt idx="47">
                  <c:v>2334.4</c:v>
                </c:pt>
                <c:pt idx="48">
                  <c:v>1094.2</c:v>
                </c:pt>
                <c:pt idx="49">
                  <c:v>1191</c:v>
                </c:pt>
                <c:pt idx="50">
                  <c:v>2285.2</c:v>
                </c:pt>
                <c:pt idx="51">
                  <c:v>1145.6</c:v>
                </c:pt>
                <c:pt idx="52">
                  <c:v>1235.8</c:v>
                </c:pt>
                <c:pt idx="53">
                  <c:v>2381.4</c:v>
                </c:pt>
                <c:pt idx="54">
                  <c:v>1138.6</c:v>
                </c:pt>
                <c:pt idx="55">
                  <c:v>1164.6</c:v>
                </c:pt>
                <c:pt idx="56">
                  <c:v>2303.2</c:v>
                </c:pt>
                <c:pt idx="57">
                  <c:v>1162</c:v>
                </c:pt>
                <c:pt idx="58">
                  <c:v>1182.4</c:v>
                </c:pt>
                <c:pt idx="59">
                  <c:v>2344.4</c:v>
                </c:pt>
                <c:pt idx="60">
                  <c:v>1182.6</c:v>
                </c:pt>
                <c:pt idx="61">
                  <c:v>1275.8</c:v>
                </c:pt>
                <c:pt idx="62">
                  <c:v>2458.4</c:v>
                </c:pt>
                <c:pt idx="63" c:formatCode="General">
                  <c:v>1359.8</c:v>
                </c:pt>
                <c:pt idx="64" c:formatCode="General">
                  <c:v>1376.4</c:v>
                </c:pt>
                <c:pt idx="65" c:formatCode="General">
                  <c:v>2736.2</c:v>
                </c:pt>
                <c:pt idx="66" c:formatCode="General">
                  <c:v>1348.8</c:v>
                </c:pt>
                <c:pt idx="67" c:formatCode="General">
                  <c:v>1466.4</c:v>
                </c:pt>
                <c:pt idx="68" c:formatCode="General">
                  <c:v>2815.2</c:v>
                </c:pt>
                <c:pt idx="69" c:formatCode="General">
                  <c:v>1591.2</c:v>
                </c:pt>
                <c:pt idx="70" c:formatCode="General">
                  <c:v>1293</c:v>
                </c:pt>
                <c:pt idx="71" c:formatCode="General">
                  <c:v>2884.2</c:v>
                </c:pt>
                <c:pt idx="72" c:formatCode="General">
                  <c:v>1730.8</c:v>
                </c:pt>
                <c:pt idx="73" c:formatCode="General">
                  <c:v>1344</c:v>
                </c:pt>
                <c:pt idx="74" c:formatCode="General">
                  <c:v>3074.8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WEB转化!$F$3</c:f>
              <c:strCache>
                <c:ptCount val="1"/>
                <c:pt idx="0">
                  <c:v>9点位去重人数</c:v>
                </c:pt>
              </c:strCache>
            </c:strRef>
          </c:tx>
          <c:spPr>
            <a:ln w="19050" cap="rnd">
              <a:solidFill>
                <a:srgbClr val="55C6EF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WEB转化!$F$4:$F$159</c:f>
              <c:numCache>
                <c:formatCode>0_);\(0\)</c:formatCode>
                <c:ptCount val="75"/>
                <c:pt idx="0">
                  <c:v>1094.8</c:v>
                </c:pt>
                <c:pt idx="1">
                  <c:v>1090.2</c:v>
                </c:pt>
                <c:pt idx="2">
                  <c:v>2185</c:v>
                </c:pt>
                <c:pt idx="3">
                  <c:v>1014</c:v>
                </c:pt>
                <c:pt idx="4">
                  <c:v>1747.6</c:v>
                </c:pt>
                <c:pt idx="5">
                  <c:v>2761.6</c:v>
                </c:pt>
                <c:pt idx="6">
                  <c:v>1078</c:v>
                </c:pt>
                <c:pt idx="7">
                  <c:v>1385.8</c:v>
                </c:pt>
                <c:pt idx="8">
                  <c:v>2463.8</c:v>
                </c:pt>
                <c:pt idx="9">
                  <c:v>1103.2</c:v>
                </c:pt>
                <c:pt idx="10">
                  <c:v>1379</c:v>
                </c:pt>
                <c:pt idx="11">
                  <c:v>2482.2</c:v>
                </c:pt>
                <c:pt idx="12">
                  <c:v>837</c:v>
                </c:pt>
                <c:pt idx="13">
                  <c:v>1153.2</c:v>
                </c:pt>
                <c:pt idx="14">
                  <c:v>1990.2</c:v>
                </c:pt>
                <c:pt idx="15">
                  <c:v>1157.8</c:v>
                </c:pt>
                <c:pt idx="16">
                  <c:v>1403.2</c:v>
                </c:pt>
                <c:pt idx="17">
                  <c:v>2561</c:v>
                </c:pt>
                <c:pt idx="18">
                  <c:v>1030.8</c:v>
                </c:pt>
                <c:pt idx="19">
                  <c:v>1229</c:v>
                </c:pt>
                <c:pt idx="20">
                  <c:v>2259.8</c:v>
                </c:pt>
                <c:pt idx="21">
                  <c:v>1083</c:v>
                </c:pt>
                <c:pt idx="22">
                  <c:v>1172.4</c:v>
                </c:pt>
                <c:pt idx="23">
                  <c:v>2255.4</c:v>
                </c:pt>
                <c:pt idx="24">
                  <c:v>859.6</c:v>
                </c:pt>
                <c:pt idx="25">
                  <c:v>1168.6</c:v>
                </c:pt>
                <c:pt idx="26">
                  <c:v>2028.2</c:v>
                </c:pt>
                <c:pt idx="27">
                  <c:v>919</c:v>
                </c:pt>
                <c:pt idx="28">
                  <c:v>1138.6</c:v>
                </c:pt>
                <c:pt idx="29">
                  <c:v>2057.6</c:v>
                </c:pt>
                <c:pt idx="30">
                  <c:v>946.2</c:v>
                </c:pt>
                <c:pt idx="31">
                  <c:v>971.4</c:v>
                </c:pt>
                <c:pt idx="32">
                  <c:v>1917.6</c:v>
                </c:pt>
                <c:pt idx="33">
                  <c:v>970.2</c:v>
                </c:pt>
                <c:pt idx="34">
                  <c:v>1094</c:v>
                </c:pt>
                <c:pt idx="35">
                  <c:v>2064.2</c:v>
                </c:pt>
                <c:pt idx="36">
                  <c:v>1043.6</c:v>
                </c:pt>
                <c:pt idx="37">
                  <c:v>959</c:v>
                </c:pt>
                <c:pt idx="38">
                  <c:v>2002.6</c:v>
                </c:pt>
                <c:pt idx="39">
                  <c:v>1060.8</c:v>
                </c:pt>
                <c:pt idx="40">
                  <c:v>1037.2</c:v>
                </c:pt>
                <c:pt idx="41">
                  <c:v>2098</c:v>
                </c:pt>
                <c:pt idx="42">
                  <c:v>1033.8</c:v>
                </c:pt>
                <c:pt idx="43">
                  <c:v>981.6</c:v>
                </c:pt>
                <c:pt idx="44">
                  <c:v>2015.4</c:v>
                </c:pt>
                <c:pt idx="45">
                  <c:v>943.4</c:v>
                </c:pt>
                <c:pt idx="46">
                  <c:v>1007</c:v>
                </c:pt>
                <c:pt idx="47">
                  <c:v>1950.4</c:v>
                </c:pt>
                <c:pt idx="48">
                  <c:v>924.4</c:v>
                </c:pt>
                <c:pt idx="49">
                  <c:v>1003</c:v>
                </c:pt>
                <c:pt idx="50">
                  <c:v>1927.4</c:v>
                </c:pt>
                <c:pt idx="51">
                  <c:v>960.2</c:v>
                </c:pt>
                <c:pt idx="52">
                  <c:v>1032.4</c:v>
                </c:pt>
                <c:pt idx="53">
                  <c:v>1992.6</c:v>
                </c:pt>
                <c:pt idx="54">
                  <c:v>965.2</c:v>
                </c:pt>
                <c:pt idx="55">
                  <c:v>973.6</c:v>
                </c:pt>
                <c:pt idx="56">
                  <c:v>1938.8</c:v>
                </c:pt>
                <c:pt idx="57">
                  <c:v>993.2</c:v>
                </c:pt>
                <c:pt idx="58">
                  <c:v>965.6</c:v>
                </c:pt>
                <c:pt idx="59">
                  <c:v>1958.8</c:v>
                </c:pt>
                <c:pt idx="60">
                  <c:v>995.6</c:v>
                </c:pt>
                <c:pt idx="61">
                  <c:v>1065.4</c:v>
                </c:pt>
                <c:pt idx="62">
                  <c:v>2061</c:v>
                </c:pt>
                <c:pt idx="63" c:formatCode="General">
                  <c:v>1101.4</c:v>
                </c:pt>
                <c:pt idx="64" c:formatCode="General">
                  <c:v>1124</c:v>
                </c:pt>
                <c:pt idx="65" c:formatCode="General">
                  <c:v>2225.4</c:v>
                </c:pt>
                <c:pt idx="66" c:formatCode="General">
                  <c:v>1024.2</c:v>
                </c:pt>
                <c:pt idx="67" c:formatCode="General">
                  <c:v>1111.6</c:v>
                </c:pt>
                <c:pt idx="68" c:formatCode="General">
                  <c:v>2135.8</c:v>
                </c:pt>
                <c:pt idx="69" c:formatCode="General">
                  <c:v>1338.4</c:v>
                </c:pt>
                <c:pt idx="70" c:formatCode="General">
                  <c:v>1073.2</c:v>
                </c:pt>
                <c:pt idx="71" c:formatCode="General">
                  <c:v>2411.6</c:v>
                </c:pt>
                <c:pt idx="72" c:formatCode="General">
                  <c:v>1443</c:v>
                </c:pt>
                <c:pt idx="73" c:formatCode="General">
                  <c:v>1131.2</c:v>
                </c:pt>
                <c:pt idx="74" c:formatCode="General">
                  <c:v>2574.2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ax val="3000"/>
          <c:min val="1000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350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3125710-8a5d-4eb4-a741-74ac1d5b945d}"/>
      </c:ext>
    </c:extLst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4000" b="1" i="0" u="none"/>
              <a:t>自然北极星，Google安装量，Apple安装量</a:t>
            </a:r>
            <a:endParaRPr sz="14000" b="1" i="0" u="none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'APP天数据-GP|AS'!$C$3</c:f>
              <c:strCache>
                <c:ptCount val="1"/>
                <c:pt idx="0">
                  <c:v>自然北极星</c:v>
                </c:pt>
              </c:strCache>
            </c:strRef>
          </c:tx>
          <c:spPr>
            <a:ln w="19050" cap="rnd">
              <a:solidFill>
                <a:srgbClr val="5383F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'APP天数据-GP|AS'!$C$4:$C$195</c:f>
              <c:numCache>
                <c:formatCode>0_);\(0\)</c:formatCode>
                <c:ptCount val="192"/>
                <c:pt idx="0">
                  <c:v>289</c:v>
                </c:pt>
                <c:pt idx="1">
                  <c:v>279</c:v>
                </c:pt>
                <c:pt idx="2">
                  <c:v>568</c:v>
                </c:pt>
                <c:pt idx="3">
                  <c:v>268</c:v>
                </c:pt>
                <c:pt idx="4">
                  <c:v>209</c:v>
                </c:pt>
                <c:pt idx="5">
                  <c:v>477</c:v>
                </c:pt>
                <c:pt idx="6">
                  <c:v>240</c:v>
                </c:pt>
                <c:pt idx="7">
                  <c:v>228</c:v>
                </c:pt>
                <c:pt idx="8">
                  <c:v>468</c:v>
                </c:pt>
                <c:pt idx="9">
                  <c:v>204</c:v>
                </c:pt>
                <c:pt idx="10">
                  <c:v>196</c:v>
                </c:pt>
                <c:pt idx="11">
                  <c:v>400</c:v>
                </c:pt>
                <c:pt idx="12">
                  <c:v>146</c:v>
                </c:pt>
                <c:pt idx="13">
                  <c:v>206</c:v>
                </c:pt>
                <c:pt idx="14">
                  <c:v>352</c:v>
                </c:pt>
                <c:pt idx="15" c:formatCode="General">
                  <c:v>249</c:v>
                </c:pt>
                <c:pt idx="16">
                  <c:v>346</c:v>
                </c:pt>
                <c:pt idx="17">
                  <c:v>595</c:v>
                </c:pt>
                <c:pt idx="18">
                  <c:v>269</c:v>
                </c:pt>
                <c:pt idx="19">
                  <c:v>293</c:v>
                </c:pt>
                <c:pt idx="20">
                  <c:v>562</c:v>
                </c:pt>
                <c:pt idx="21">
                  <c:v>224</c:v>
                </c:pt>
                <c:pt idx="22">
                  <c:v>233</c:v>
                </c:pt>
                <c:pt idx="23">
                  <c:v>457</c:v>
                </c:pt>
                <c:pt idx="24" c:formatCode="General">
                  <c:v>197</c:v>
                </c:pt>
                <c:pt idx="25">
                  <c:v>230</c:v>
                </c:pt>
                <c:pt idx="26">
                  <c:v>427</c:v>
                </c:pt>
                <c:pt idx="27">
                  <c:v>183</c:v>
                </c:pt>
                <c:pt idx="28">
                  <c:v>185</c:v>
                </c:pt>
                <c:pt idx="29">
                  <c:v>368</c:v>
                </c:pt>
                <c:pt idx="30">
                  <c:v>243</c:v>
                </c:pt>
                <c:pt idx="31">
                  <c:v>165</c:v>
                </c:pt>
                <c:pt idx="32">
                  <c:v>408</c:v>
                </c:pt>
                <c:pt idx="33" c:formatCode="General">
                  <c:v>192</c:v>
                </c:pt>
                <c:pt idx="34">
                  <c:v>211</c:v>
                </c:pt>
                <c:pt idx="35">
                  <c:v>403</c:v>
                </c:pt>
                <c:pt idx="36">
                  <c:v>249</c:v>
                </c:pt>
                <c:pt idx="37">
                  <c:v>260</c:v>
                </c:pt>
                <c:pt idx="38">
                  <c:v>509</c:v>
                </c:pt>
                <c:pt idx="39">
                  <c:v>295</c:v>
                </c:pt>
                <c:pt idx="40">
                  <c:v>253</c:v>
                </c:pt>
                <c:pt idx="41">
                  <c:v>548</c:v>
                </c:pt>
                <c:pt idx="42" c:formatCode="General">
                  <c:v>292</c:v>
                </c:pt>
                <c:pt idx="43">
                  <c:v>273</c:v>
                </c:pt>
                <c:pt idx="44">
                  <c:v>565</c:v>
                </c:pt>
                <c:pt idx="45">
                  <c:v>235</c:v>
                </c:pt>
                <c:pt idx="46">
                  <c:v>197</c:v>
                </c:pt>
                <c:pt idx="47">
                  <c:v>432</c:v>
                </c:pt>
                <c:pt idx="48">
                  <c:v>175</c:v>
                </c:pt>
                <c:pt idx="49">
                  <c:v>188</c:v>
                </c:pt>
                <c:pt idx="50">
                  <c:v>363</c:v>
                </c:pt>
                <c:pt idx="51" c:formatCode="General">
                  <c:v>219</c:v>
                </c:pt>
                <c:pt idx="52">
                  <c:v>197</c:v>
                </c:pt>
                <c:pt idx="53">
                  <c:v>416</c:v>
                </c:pt>
                <c:pt idx="54">
                  <c:v>198</c:v>
                </c:pt>
                <c:pt idx="55">
                  <c:v>212</c:v>
                </c:pt>
                <c:pt idx="56">
                  <c:v>410</c:v>
                </c:pt>
                <c:pt idx="57">
                  <c:v>251</c:v>
                </c:pt>
                <c:pt idx="58">
                  <c:v>250</c:v>
                </c:pt>
                <c:pt idx="59">
                  <c:v>501</c:v>
                </c:pt>
                <c:pt idx="60" c:formatCode="General">
                  <c:v>193</c:v>
                </c:pt>
                <c:pt idx="61">
                  <c:v>208</c:v>
                </c:pt>
                <c:pt idx="62">
                  <c:v>401</c:v>
                </c:pt>
                <c:pt idx="63">
                  <c:v>234</c:v>
                </c:pt>
                <c:pt idx="64">
                  <c:v>227</c:v>
                </c:pt>
                <c:pt idx="65">
                  <c:v>461</c:v>
                </c:pt>
                <c:pt idx="66">
                  <c:v>201</c:v>
                </c:pt>
                <c:pt idx="67">
                  <c:v>246</c:v>
                </c:pt>
                <c:pt idx="68">
                  <c:v>447</c:v>
                </c:pt>
                <c:pt idx="69" c:formatCode="General">
                  <c:v>172</c:v>
                </c:pt>
                <c:pt idx="70">
                  <c:v>175</c:v>
                </c:pt>
                <c:pt idx="71">
                  <c:v>347</c:v>
                </c:pt>
                <c:pt idx="72">
                  <c:v>202</c:v>
                </c:pt>
                <c:pt idx="73">
                  <c:v>162</c:v>
                </c:pt>
                <c:pt idx="74">
                  <c:v>364</c:v>
                </c:pt>
                <c:pt idx="75">
                  <c:v>163</c:v>
                </c:pt>
                <c:pt idx="76">
                  <c:v>177</c:v>
                </c:pt>
                <c:pt idx="77">
                  <c:v>340</c:v>
                </c:pt>
                <c:pt idx="78" c:formatCode="General">
                  <c:v>265</c:v>
                </c:pt>
                <c:pt idx="79">
                  <c:v>256</c:v>
                </c:pt>
                <c:pt idx="80">
                  <c:v>521</c:v>
                </c:pt>
                <c:pt idx="81">
                  <c:v>204</c:v>
                </c:pt>
                <c:pt idx="82">
                  <c:v>209</c:v>
                </c:pt>
                <c:pt idx="83">
                  <c:v>413</c:v>
                </c:pt>
                <c:pt idx="84">
                  <c:v>152</c:v>
                </c:pt>
                <c:pt idx="85">
                  <c:v>189</c:v>
                </c:pt>
                <c:pt idx="86">
                  <c:v>341</c:v>
                </c:pt>
                <c:pt idx="87" c:formatCode="General">
                  <c:v>219</c:v>
                </c:pt>
                <c:pt idx="88">
                  <c:v>208</c:v>
                </c:pt>
                <c:pt idx="89">
                  <c:v>427</c:v>
                </c:pt>
                <c:pt idx="90">
                  <c:v>195</c:v>
                </c:pt>
                <c:pt idx="91">
                  <c:v>231</c:v>
                </c:pt>
                <c:pt idx="92">
                  <c:v>426</c:v>
                </c:pt>
                <c:pt idx="93">
                  <c:v>240</c:v>
                </c:pt>
                <c:pt idx="94">
                  <c:v>191</c:v>
                </c:pt>
                <c:pt idx="95">
                  <c:v>431</c:v>
                </c:pt>
                <c:pt idx="96" c:formatCode="General">
                  <c:v>166</c:v>
                </c:pt>
                <c:pt idx="97">
                  <c:v>175</c:v>
                </c:pt>
                <c:pt idx="98">
                  <c:v>341</c:v>
                </c:pt>
                <c:pt idx="99">
                  <c:v>292</c:v>
                </c:pt>
                <c:pt idx="100">
                  <c:v>251</c:v>
                </c:pt>
                <c:pt idx="101">
                  <c:v>543</c:v>
                </c:pt>
                <c:pt idx="102">
                  <c:v>258</c:v>
                </c:pt>
                <c:pt idx="103">
                  <c:v>215</c:v>
                </c:pt>
                <c:pt idx="104">
                  <c:v>473</c:v>
                </c:pt>
                <c:pt idx="105" c:formatCode="General">
                  <c:v>198</c:v>
                </c:pt>
                <c:pt idx="106">
                  <c:v>175</c:v>
                </c:pt>
                <c:pt idx="107">
                  <c:v>373</c:v>
                </c:pt>
                <c:pt idx="108">
                  <c:v>197</c:v>
                </c:pt>
                <c:pt idx="109">
                  <c:v>224</c:v>
                </c:pt>
                <c:pt idx="110">
                  <c:v>421</c:v>
                </c:pt>
                <c:pt idx="111">
                  <c:v>240</c:v>
                </c:pt>
                <c:pt idx="112">
                  <c:v>231</c:v>
                </c:pt>
                <c:pt idx="113">
                  <c:v>471</c:v>
                </c:pt>
                <c:pt idx="114" c:formatCode="General">
                  <c:v>181</c:v>
                </c:pt>
                <c:pt idx="115">
                  <c:v>200</c:v>
                </c:pt>
                <c:pt idx="116">
                  <c:v>381</c:v>
                </c:pt>
                <c:pt idx="117">
                  <c:v>216</c:v>
                </c:pt>
                <c:pt idx="118">
                  <c:v>185</c:v>
                </c:pt>
                <c:pt idx="119">
                  <c:v>401</c:v>
                </c:pt>
                <c:pt idx="120">
                  <c:v>208</c:v>
                </c:pt>
                <c:pt idx="121">
                  <c:v>200</c:v>
                </c:pt>
                <c:pt idx="122">
                  <c:v>408</c:v>
                </c:pt>
                <c:pt idx="123" c:formatCode="General">
                  <c:v>194</c:v>
                </c:pt>
                <c:pt idx="124">
                  <c:v>246</c:v>
                </c:pt>
                <c:pt idx="125">
                  <c:v>440</c:v>
                </c:pt>
                <c:pt idx="126">
                  <c:v>235</c:v>
                </c:pt>
                <c:pt idx="127">
                  <c:v>238</c:v>
                </c:pt>
                <c:pt idx="128">
                  <c:v>473</c:v>
                </c:pt>
                <c:pt idx="129">
                  <c:v>206</c:v>
                </c:pt>
                <c:pt idx="130">
                  <c:v>186</c:v>
                </c:pt>
                <c:pt idx="131">
                  <c:v>392</c:v>
                </c:pt>
                <c:pt idx="132" c:formatCode="General">
                  <c:v>223</c:v>
                </c:pt>
                <c:pt idx="133">
                  <c:v>197</c:v>
                </c:pt>
                <c:pt idx="134">
                  <c:v>420</c:v>
                </c:pt>
                <c:pt idx="135">
                  <c:v>221</c:v>
                </c:pt>
                <c:pt idx="136">
                  <c:v>191</c:v>
                </c:pt>
                <c:pt idx="137">
                  <c:v>412</c:v>
                </c:pt>
                <c:pt idx="138">
                  <c:v>172</c:v>
                </c:pt>
                <c:pt idx="139">
                  <c:v>199</c:v>
                </c:pt>
                <c:pt idx="140">
                  <c:v>371</c:v>
                </c:pt>
                <c:pt idx="141" c:formatCode="General">
                  <c:v>176</c:v>
                </c:pt>
                <c:pt idx="142">
                  <c:v>215</c:v>
                </c:pt>
                <c:pt idx="143">
                  <c:v>391</c:v>
                </c:pt>
                <c:pt idx="144">
                  <c:v>204</c:v>
                </c:pt>
                <c:pt idx="145">
                  <c:v>238</c:v>
                </c:pt>
                <c:pt idx="146">
                  <c:v>442</c:v>
                </c:pt>
                <c:pt idx="147">
                  <c:v>168</c:v>
                </c:pt>
                <c:pt idx="148">
                  <c:v>185</c:v>
                </c:pt>
                <c:pt idx="149">
                  <c:v>353</c:v>
                </c:pt>
                <c:pt idx="150" c:formatCode="General">
                  <c:v>206</c:v>
                </c:pt>
                <c:pt idx="151">
                  <c:v>185</c:v>
                </c:pt>
                <c:pt idx="152">
                  <c:v>391</c:v>
                </c:pt>
                <c:pt idx="153">
                  <c:v>197</c:v>
                </c:pt>
                <c:pt idx="154">
                  <c:v>227</c:v>
                </c:pt>
                <c:pt idx="155">
                  <c:v>424</c:v>
                </c:pt>
                <c:pt idx="156">
                  <c:v>186</c:v>
                </c:pt>
                <c:pt idx="157">
                  <c:v>162</c:v>
                </c:pt>
                <c:pt idx="158">
                  <c:v>348</c:v>
                </c:pt>
                <c:pt idx="159" c:formatCode="General">
                  <c:v>170</c:v>
                </c:pt>
                <c:pt idx="160">
                  <c:v>169</c:v>
                </c:pt>
                <c:pt idx="161">
                  <c:v>339</c:v>
                </c:pt>
                <c:pt idx="162">
                  <c:v>220</c:v>
                </c:pt>
                <c:pt idx="163">
                  <c:v>218</c:v>
                </c:pt>
                <c:pt idx="164">
                  <c:v>438</c:v>
                </c:pt>
                <c:pt idx="165">
                  <c:v>191</c:v>
                </c:pt>
                <c:pt idx="166">
                  <c:v>216</c:v>
                </c:pt>
                <c:pt idx="167">
                  <c:v>407</c:v>
                </c:pt>
                <c:pt idx="168" c:formatCode="General">
                  <c:v>161</c:v>
                </c:pt>
                <c:pt idx="169">
                  <c:v>166</c:v>
                </c:pt>
                <c:pt idx="170">
                  <c:v>327</c:v>
                </c:pt>
                <c:pt idx="171">
                  <c:v>161</c:v>
                </c:pt>
                <c:pt idx="172">
                  <c:v>208</c:v>
                </c:pt>
                <c:pt idx="173">
                  <c:v>369</c:v>
                </c:pt>
                <c:pt idx="174">
                  <c:v>204</c:v>
                </c:pt>
                <c:pt idx="175">
                  <c:v>255</c:v>
                </c:pt>
                <c:pt idx="176">
                  <c:v>459</c:v>
                </c:pt>
                <c:pt idx="177" c:formatCode="General">
                  <c:v>188</c:v>
                </c:pt>
                <c:pt idx="178">
                  <c:v>188</c:v>
                </c:pt>
                <c:pt idx="179">
                  <c:v>376</c:v>
                </c:pt>
                <c:pt idx="180">
                  <c:v>193</c:v>
                </c:pt>
                <c:pt idx="181" c:formatCode="General">
                  <c:v>186</c:v>
                </c:pt>
                <c:pt idx="182">
                  <c:v>379</c:v>
                </c:pt>
                <c:pt idx="183">
                  <c:v>142</c:v>
                </c:pt>
                <c:pt idx="184" c:formatCode="General">
                  <c:v>154</c:v>
                </c:pt>
                <c:pt idx="185">
                  <c:v>296</c:v>
                </c:pt>
                <c:pt idx="186" c:formatCode="General">
                  <c:v>138</c:v>
                </c:pt>
                <c:pt idx="187" c:formatCode="General">
                  <c:v>214</c:v>
                </c:pt>
                <c:pt idx="188">
                  <c:v>352</c:v>
                </c:pt>
                <c:pt idx="189">
                  <c:v>132</c:v>
                </c:pt>
                <c:pt idx="190" c:formatCode="General">
                  <c:v>113</c:v>
                </c:pt>
                <c:pt idx="191">
                  <c:v>245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'APP天数据-GP|AS'!$F$3</c:f>
              <c:strCache>
                <c:ptCount val="1"/>
                <c:pt idx="0">
                  <c:v>Google安装量</c:v>
                </c:pt>
              </c:strCache>
            </c:strRef>
          </c:tx>
          <c:spPr>
            <a:ln w="19050" cap="rnd">
              <a:solidFill>
                <a:srgbClr val="55C6EF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'APP天数据-GP|AS'!$F$4:$F$195</c:f>
              <c:numCache>
                <c:formatCode>0_);\(0\)</c:formatCode>
                <c:ptCount val="192"/>
                <c:pt idx="2">
                  <c:v>35</c:v>
                </c:pt>
                <c:pt idx="5">
                  <c:v>38</c:v>
                </c:pt>
                <c:pt idx="8">
                  <c:v>38</c:v>
                </c:pt>
                <c:pt idx="11">
                  <c:v>33</c:v>
                </c:pt>
                <c:pt idx="14">
                  <c:v>38</c:v>
                </c:pt>
                <c:pt idx="17">
                  <c:v>35</c:v>
                </c:pt>
                <c:pt idx="20">
                  <c:v>41</c:v>
                </c:pt>
                <c:pt idx="23">
                  <c:v>28</c:v>
                </c:pt>
                <c:pt idx="26">
                  <c:v>40</c:v>
                </c:pt>
                <c:pt idx="29">
                  <c:v>39</c:v>
                </c:pt>
                <c:pt idx="32">
                  <c:v>30</c:v>
                </c:pt>
                <c:pt idx="35">
                  <c:v>35</c:v>
                </c:pt>
                <c:pt idx="38">
                  <c:v>57</c:v>
                </c:pt>
                <c:pt idx="41">
                  <c:v>60</c:v>
                </c:pt>
                <c:pt idx="44">
                  <c:v>46</c:v>
                </c:pt>
                <c:pt idx="47">
                  <c:v>41</c:v>
                </c:pt>
                <c:pt idx="50">
                  <c:v>39</c:v>
                </c:pt>
                <c:pt idx="53">
                  <c:v>23</c:v>
                </c:pt>
                <c:pt idx="56">
                  <c:v>51</c:v>
                </c:pt>
                <c:pt idx="59">
                  <c:v>47</c:v>
                </c:pt>
                <c:pt idx="62">
                  <c:v>38</c:v>
                </c:pt>
                <c:pt idx="65">
                  <c:v>42</c:v>
                </c:pt>
                <c:pt idx="68">
                  <c:v>45</c:v>
                </c:pt>
                <c:pt idx="71">
                  <c:v>37</c:v>
                </c:pt>
                <c:pt idx="74">
                  <c:v>37</c:v>
                </c:pt>
                <c:pt idx="77">
                  <c:v>40</c:v>
                </c:pt>
                <c:pt idx="80">
                  <c:v>49</c:v>
                </c:pt>
                <c:pt idx="83">
                  <c:v>33</c:v>
                </c:pt>
                <c:pt idx="86">
                  <c:v>44</c:v>
                </c:pt>
                <c:pt idx="89">
                  <c:v>52</c:v>
                </c:pt>
                <c:pt idx="92">
                  <c:v>38</c:v>
                </c:pt>
                <c:pt idx="95">
                  <c:v>38</c:v>
                </c:pt>
                <c:pt idx="98">
                  <c:v>34</c:v>
                </c:pt>
                <c:pt idx="101">
                  <c:v>41</c:v>
                </c:pt>
                <c:pt idx="104">
                  <c:v>39</c:v>
                </c:pt>
                <c:pt idx="107">
                  <c:v>42</c:v>
                </c:pt>
                <c:pt idx="110">
                  <c:v>40</c:v>
                </c:pt>
                <c:pt idx="113">
                  <c:v>43</c:v>
                </c:pt>
                <c:pt idx="116">
                  <c:v>26</c:v>
                </c:pt>
                <c:pt idx="119">
                  <c:v>43</c:v>
                </c:pt>
                <c:pt idx="122">
                  <c:v>49</c:v>
                </c:pt>
                <c:pt idx="125">
                  <c:v>41</c:v>
                </c:pt>
                <c:pt idx="128">
                  <c:v>41</c:v>
                </c:pt>
                <c:pt idx="131">
                  <c:v>42</c:v>
                </c:pt>
                <c:pt idx="134">
                  <c:v>39</c:v>
                </c:pt>
                <c:pt idx="137">
                  <c:v>37</c:v>
                </c:pt>
                <c:pt idx="140">
                  <c:v>41</c:v>
                </c:pt>
                <c:pt idx="143">
                  <c:v>47</c:v>
                </c:pt>
                <c:pt idx="146">
                  <c:v>41</c:v>
                </c:pt>
                <c:pt idx="149">
                  <c:v>30</c:v>
                </c:pt>
                <c:pt idx="152">
                  <c:v>40</c:v>
                </c:pt>
                <c:pt idx="155">
                  <c:v>38</c:v>
                </c:pt>
                <c:pt idx="158">
                  <c:v>25</c:v>
                </c:pt>
                <c:pt idx="161">
                  <c:v>31</c:v>
                </c:pt>
                <c:pt idx="164">
                  <c:v>26</c:v>
                </c:pt>
                <c:pt idx="167">
                  <c:v>26</c:v>
                </c:pt>
                <c:pt idx="170">
                  <c:v>38</c:v>
                </c:pt>
                <c:pt idx="173">
                  <c:v>36</c:v>
                </c:pt>
                <c:pt idx="176">
                  <c:v>34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'APP天数据-GP|AS'!$J$3</c:f>
              <c:strCache>
                <c:ptCount val="1"/>
                <c:pt idx="0">
                  <c:v>Apple安装量</c:v>
                </c:pt>
              </c:strCache>
            </c:strRef>
          </c:tx>
          <c:spPr>
            <a:ln w="19050" cap="rnd">
              <a:solidFill>
                <a:srgbClr val="915EEA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'APP天数据-GP|AS'!$J$4:$J$195</c:f>
              <c:numCache>
                <c:formatCode>0_);\(0\)</c:formatCode>
                <c:ptCount val="192"/>
                <c:pt idx="0">
                  <c:v>7</c:v>
                </c:pt>
                <c:pt idx="1">
                  <c:v>13</c:v>
                </c:pt>
                <c:pt idx="2">
                  <c:v>20</c:v>
                </c:pt>
                <c:pt idx="3">
                  <c:v>23</c:v>
                </c:pt>
                <c:pt idx="4">
                  <c:v>9</c:v>
                </c:pt>
                <c:pt idx="5">
                  <c:v>32</c:v>
                </c:pt>
                <c:pt idx="6">
                  <c:v>43</c:v>
                </c:pt>
                <c:pt idx="7">
                  <c:v>12</c:v>
                </c:pt>
                <c:pt idx="8">
                  <c:v>55</c:v>
                </c:pt>
                <c:pt idx="9">
                  <c:v>28</c:v>
                </c:pt>
                <c:pt idx="10">
                  <c:v>4</c:v>
                </c:pt>
                <c:pt idx="11">
                  <c:v>32</c:v>
                </c:pt>
                <c:pt idx="12">
                  <c:v>26</c:v>
                </c:pt>
                <c:pt idx="13">
                  <c:v>1</c:v>
                </c:pt>
                <c:pt idx="14">
                  <c:v>27</c:v>
                </c:pt>
                <c:pt idx="15">
                  <c:v>15</c:v>
                </c:pt>
                <c:pt idx="16">
                  <c:v>9</c:v>
                </c:pt>
                <c:pt idx="17">
                  <c:v>24</c:v>
                </c:pt>
                <c:pt idx="18">
                  <c:v>10</c:v>
                </c:pt>
                <c:pt idx="19">
                  <c:v>8</c:v>
                </c:pt>
                <c:pt idx="20">
                  <c:v>18</c:v>
                </c:pt>
                <c:pt idx="21">
                  <c:v>16</c:v>
                </c:pt>
                <c:pt idx="22">
                  <c:v>5</c:v>
                </c:pt>
                <c:pt idx="23">
                  <c:v>21</c:v>
                </c:pt>
                <c:pt idx="24">
                  <c:v>12</c:v>
                </c:pt>
                <c:pt idx="25">
                  <c:v>12</c:v>
                </c:pt>
                <c:pt idx="26">
                  <c:v>24</c:v>
                </c:pt>
                <c:pt idx="27">
                  <c:v>8</c:v>
                </c:pt>
                <c:pt idx="28">
                  <c:v>5</c:v>
                </c:pt>
                <c:pt idx="29">
                  <c:v>13</c:v>
                </c:pt>
                <c:pt idx="30">
                  <c:v>9</c:v>
                </c:pt>
                <c:pt idx="31">
                  <c:v>8</c:v>
                </c:pt>
                <c:pt idx="32">
                  <c:v>17</c:v>
                </c:pt>
                <c:pt idx="33">
                  <c:v>4</c:v>
                </c:pt>
                <c:pt idx="34">
                  <c:v>6</c:v>
                </c:pt>
                <c:pt idx="35">
                  <c:v>10</c:v>
                </c:pt>
                <c:pt idx="36">
                  <c:v>8</c:v>
                </c:pt>
                <c:pt idx="37">
                  <c:v>9</c:v>
                </c:pt>
                <c:pt idx="38">
                  <c:v>17</c:v>
                </c:pt>
                <c:pt idx="39">
                  <c:v>39</c:v>
                </c:pt>
                <c:pt idx="40">
                  <c:v>9</c:v>
                </c:pt>
                <c:pt idx="41">
                  <c:v>48</c:v>
                </c:pt>
                <c:pt idx="42">
                  <c:v>30</c:v>
                </c:pt>
                <c:pt idx="43">
                  <c:v>10</c:v>
                </c:pt>
                <c:pt idx="44">
                  <c:v>40</c:v>
                </c:pt>
                <c:pt idx="45">
                  <c:v>19</c:v>
                </c:pt>
                <c:pt idx="46">
                  <c:v>11</c:v>
                </c:pt>
                <c:pt idx="47">
                  <c:v>30</c:v>
                </c:pt>
                <c:pt idx="48">
                  <c:v>30</c:v>
                </c:pt>
                <c:pt idx="49">
                  <c:v>12</c:v>
                </c:pt>
                <c:pt idx="50">
                  <c:v>42</c:v>
                </c:pt>
                <c:pt idx="51">
                  <c:v>49</c:v>
                </c:pt>
                <c:pt idx="52">
                  <c:v>4</c:v>
                </c:pt>
                <c:pt idx="53">
                  <c:v>53</c:v>
                </c:pt>
                <c:pt idx="54">
                  <c:v>22</c:v>
                </c:pt>
                <c:pt idx="55">
                  <c:v>7</c:v>
                </c:pt>
                <c:pt idx="56">
                  <c:v>29</c:v>
                </c:pt>
                <c:pt idx="57">
                  <c:v>33</c:v>
                </c:pt>
                <c:pt idx="58">
                  <c:v>17</c:v>
                </c:pt>
                <c:pt idx="59">
                  <c:v>50</c:v>
                </c:pt>
                <c:pt idx="60">
                  <c:v>31</c:v>
                </c:pt>
                <c:pt idx="61">
                  <c:v>5</c:v>
                </c:pt>
                <c:pt idx="62">
                  <c:v>36</c:v>
                </c:pt>
                <c:pt idx="63">
                  <c:v>35</c:v>
                </c:pt>
                <c:pt idx="64">
                  <c:v>4</c:v>
                </c:pt>
                <c:pt idx="65">
                  <c:v>39</c:v>
                </c:pt>
                <c:pt idx="66">
                  <c:v>30</c:v>
                </c:pt>
                <c:pt idx="67">
                  <c:v>8</c:v>
                </c:pt>
                <c:pt idx="68">
                  <c:v>38</c:v>
                </c:pt>
                <c:pt idx="69">
                  <c:v>24</c:v>
                </c:pt>
                <c:pt idx="70">
                  <c:v>3</c:v>
                </c:pt>
                <c:pt idx="71">
                  <c:v>27</c:v>
                </c:pt>
                <c:pt idx="72">
                  <c:v>27</c:v>
                </c:pt>
                <c:pt idx="73">
                  <c:v>4</c:v>
                </c:pt>
                <c:pt idx="74">
                  <c:v>31</c:v>
                </c:pt>
                <c:pt idx="75">
                  <c:v>29</c:v>
                </c:pt>
                <c:pt idx="76">
                  <c:v>3</c:v>
                </c:pt>
                <c:pt idx="77">
                  <c:v>32</c:v>
                </c:pt>
                <c:pt idx="78">
                  <c:v>34</c:v>
                </c:pt>
                <c:pt idx="79">
                  <c:v>4</c:v>
                </c:pt>
                <c:pt idx="80">
                  <c:v>38</c:v>
                </c:pt>
                <c:pt idx="81">
                  <c:v>22</c:v>
                </c:pt>
                <c:pt idx="82">
                  <c:v>9</c:v>
                </c:pt>
                <c:pt idx="83">
                  <c:v>31</c:v>
                </c:pt>
                <c:pt idx="84">
                  <c:v>7</c:v>
                </c:pt>
                <c:pt idx="85">
                  <c:v>7</c:v>
                </c:pt>
                <c:pt idx="86">
                  <c:v>14</c:v>
                </c:pt>
                <c:pt idx="87">
                  <c:v>17</c:v>
                </c:pt>
                <c:pt idx="88">
                  <c:v>12</c:v>
                </c:pt>
                <c:pt idx="89">
                  <c:v>29</c:v>
                </c:pt>
                <c:pt idx="90">
                  <c:v>8</c:v>
                </c:pt>
                <c:pt idx="91">
                  <c:v>8</c:v>
                </c:pt>
                <c:pt idx="92">
                  <c:v>16</c:v>
                </c:pt>
                <c:pt idx="93">
                  <c:v>3</c:v>
                </c:pt>
                <c:pt idx="94">
                  <c:v>7</c:v>
                </c:pt>
                <c:pt idx="95">
                  <c:v>10</c:v>
                </c:pt>
                <c:pt idx="96">
                  <c:v>13</c:v>
                </c:pt>
                <c:pt idx="97">
                  <c:v>10</c:v>
                </c:pt>
                <c:pt idx="98">
                  <c:v>23</c:v>
                </c:pt>
                <c:pt idx="99">
                  <c:v>7</c:v>
                </c:pt>
                <c:pt idx="100">
                  <c:v>14</c:v>
                </c:pt>
                <c:pt idx="101">
                  <c:v>21</c:v>
                </c:pt>
                <c:pt idx="102">
                  <c:v>9</c:v>
                </c:pt>
                <c:pt idx="103">
                  <c:v>8</c:v>
                </c:pt>
                <c:pt idx="104">
                  <c:v>17</c:v>
                </c:pt>
                <c:pt idx="105">
                  <c:v>4</c:v>
                </c:pt>
                <c:pt idx="106">
                  <c:v>9</c:v>
                </c:pt>
                <c:pt idx="107">
                  <c:v>13</c:v>
                </c:pt>
                <c:pt idx="108">
                  <c:v>1</c:v>
                </c:pt>
                <c:pt idx="109">
                  <c:v>8</c:v>
                </c:pt>
                <c:pt idx="110">
                  <c:v>9</c:v>
                </c:pt>
                <c:pt idx="111">
                  <c:v>3</c:v>
                </c:pt>
                <c:pt idx="112">
                  <c:v>10</c:v>
                </c:pt>
                <c:pt idx="113">
                  <c:v>13</c:v>
                </c:pt>
                <c:pt idx="114">
                  <c:v>1</c:v>
                </c:pt>
                <c:pt idx="115">
                  <c:v>5</c:v>
                </c:pt>
                <c:pt idx="116">
                  <c:v>6</c:v>
                </c:pt>
                <c:pt idx="117">
                  <c:v>3</c:v>
                </c:pt>
                <c:pt idx="118">
                  <c:v>4</c:v>
                </c:pt>
                <c:pt idx="119">
                  <c:v>7</c:v>
                </c:pt>
                <c:pt idx="120">
                  <c:v>3</c:v>
                </c:pt>
                <c:pt idx="121">
                  <c:v>7</c:v>
                </c:pt>
                <c:pt idx="122">
                  <c:v>10</c:v>
                </c:pt>
                <c:pt idx="123">
                  <c:v>2</c:v>
                </c:pt>
                <c:pt idx="124">
                  <c:v>7</c:v>
                </c:pt>
                <c:pt idx="125">
                  <c:v>9</c:v>
                </c:pt>
                <c:pt idx="126">
                  <c:v>1</c:v>
                </c:pt>
                <c:pt idx="127">
                  <c:v>4</c:v>
                </c:pt>
                <c:pt idx="128">
                  <c:v>5</c:v>
                </c:pt>
                <c:pt idx="129">
                  <c:v>0</c:v>
                </c:pt>
                <c:pt idx="130">
                  <c:v>8</c:v>
                </c:pt>
                <c:pt idx="131">
                  <c:v>8</c:v>
                </c:pt>
                <c:pt idx="132">
                  <c:v>1</c:v>
                </c:pt>
                <c:pt idx="133">
                  <c:v>13</c:v>
                </c:pt>
                <c:pt idx="134">
                  <c:v>14</c:v>
                </c:pt>
                <c:pt idx="135">
                  <c:v>4</c:v>
                </c:pt>
                <c:pt idx="136">
                  <c:v>7</c:v>
                </c:pt>
                <c:pt idx="137">
                  <c:v>11</c:v>
                </c:pt>
                <c:pt idx="138">
                  <c:v>2</c:v>
                </c:pt>
                <c:pt idx="139">
                  <c:v>9</c:v>
                </c:pt>
                <c:pt idx="140">
                  <c:v>11</c:v>
                </c:pt>
                <c:pt idx="141">
                  <c:v>6</c:v>
                </c:pt>
                <c:pt idx="142">
                  <c:v>8</c:v>
                </c:pt>
                <c:pt idx="143">
                  <c:v>14</c:v>
                </c:pt>
                <c:pt idx="144">
                  <c:v>3</c:v>
                </c:pt>
                <c:pt idx="145">
                  <c:v>7</c:v>
                </c:pt>
                <c:pt idx="146">
                  <c:v>10</c:v>
                </c:pt>
                <c:pt idx="147">
                  <c:v>1</c:v>
                </c:pt>
                <c:pt idx="148">
                  <c:v>10</c:v>
                </c:pt>
                <c:pt idx="149">
                  <c:v>11</c:v>
                </c:pt>
                <c:pt idx="150">
                  <c:v>2</c:v>
                </c:pt>
                <c:pt idx="151">
                  <c:v>8</c:v>
                </c:pt>
                <c:pt idx="152">
                  <c:v>10</c:v>
                </c:pt>
                <c:pt idx="153">
                  <c:v>5</c:v>
                </c:pt>
                <c:pt idx="154">
                  <c:v>7</c:v>
                </c:pt>
                <c:pt idx="155">
                  <c:v>12</c:v>
                </c:pt>
                <c:pt idx="156">
                  <c:v>2</c:v>
                </c:pt>
                <c:pt idx="157">
                  <c:v>3</c:v>
                </c:pt>
                <c:pt idx="158">
                  <c:v>5</c:v>
                </c:pt>
                <c:pt idx="159">
                  <c:v>3</c:v>
                </c:pt>
                <c:pt idx="160">
                  <c:v>5</c:v>
                </c:pt>
                <c:pt idx="161">
                  <c:v>8</c:v>
                </c:pt>
                <c:pt idx="162">
                  <c:v>3</c:v>
                </c:pt>
                <c:pt idx="163">
                  <c:v>4</c:v>
                </c:pt>
                <c:pt idx="164">
                  <c:v>7</c:v>
                </c:pt>
                <c:pt idx="165">
                  <c:v>1</c:v>
                </c:pt>
                <c:pt idx="166">
                  <c:v>10</c:v>
                </c:pt>
                <c:pt idx="167">
                  <c:v>11</c:v>
                </c:pt>
                <c:pt idx="168">
                  <c:v>0</c:v>
                </c:pt>
                <c:pt idx="169">
                  <c:v>12</c:v>
                </c:pt>
                <c:pt idx="170">
                  <c:v>12</c:v>
                </c:pt>
                <c:pt idx="171">
                  <c:v>5</c:v>
                </c:pt>
                <c:pt idx="172">
                  <c:v>11</c:v>
                </c:pt>
                <c:pt idx="173">
                  <c:v>16</c:v>
                </c:pt>
                <c:pt idx="174">
                  <c:v>1</c:v>
                </c:pt>
                <c:pt idx="175">
                  <c:v>2</c:v>
                </c:pt>
                <c:pt idx="176">
                  <c:v>3</c:v>
                </c:pt>
                <c:pt idx="177">
                  <c:v>1</c:v>
                </c:pt>
                <c:pt idx="178">
                  <c:v>7</c:v>
                </c:pt>
                <c:pt idx="179">
                  <c:v>8</c:v>
                </c:pt>
                <c:pt idx="180">
                  <c:v>1</c:v>
                </c:pt>
                <c:pt idx="181">
                  <c:v>11</c:v>
                </c:pt>
                <c:pt idx="182">
                  <c:v>12</c:v>
                </c:pt>
                <c:pt idx="183">
                  <c:v>4</c:v>
                </c:pt>
                <c:pt idx="184">
                  <c:v>9</c:v>
                </c:pt>
                <c:pt idx="185">
                  <c:v>13</c:v>
                </c:pt>
                <c:pt idx="186">
                  <c:v>4</c:v>
                </c:pt>
                <c:pt idx="187">
                  <c:v>6</c:v>
                </c:pt>
                <c:pt idx="188">
                  <c:v>10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350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2844945-9ae5-42d8-9481-5642d289c7e0}"/>
      </c:ext>
    </c:extLst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4000" b="1" i="0" u="none"/>
              <a:t>Google安装量</a:t>
            </a:r>
            <a:endParaRPr sz="14000" b="1" i="0" u="none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'APP天数据-GP|AS'!$F$3</c:f>
              <c:strCache>
                <c:ptCount val="1"/>
                <c:pt idx="0">
                  <c:v>Google安装量</c:v>
                </c:pt>
              </c:strCache>
            </c:strRef>
          </c:tx>
          <c:spPr>
            <a:ln w="19050" cap="rnd">
              <a:solidFill>
                <a:srgbClr val="5383F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'APP天数据-GP|AS'!$F$4:$F$195</c:f>
              <c:numCache>
                <c:formatCode>0_);\(0\)</c:formatCode>
                <c:ptCount val="192"/>
                <c:pt idx="2">
                  <c:v>35</c:v>
                </c:pt>
                <c:pt idx="5">
                  <c:v>38</c:v>
                </c:pt>
                <c:pt idx="8">
                  <c:v>38</c:v>
                </c:pt>
                <c:pt idx="11">
                  <c:v>33</c:v>
                </c:pt>
                <c:pt idx="14">
                  <c:v>38</c:v>
                </c:pt>
                <c:pt idx="17">
                  <c:v>35</c:v>
                </c:pt>
                <c:pt idx="20">
                  <c:v>41</c:v>
                </c:pt>
                <c:pt idx="23">
                  <c:v>28</c:v>
                </c:pt>
                <c:pt idx="26">
                  <c:v>40</c:v>
                </c:pt>
                <c:pt idx="29">
                  <c:v>39</c:v>
                </c:pt>
                <c:pt idx="32">
                  <c:v>30</c:v>
                </c:pt>
                <c:pt idx="35">
                  <c:v>35</c:v>
                </c:pt>
                <c:pt idx="38">
                  <c:v>57</c:v>
                </c:pt>
                <c:pt idx="41">
                  <c:v>60</c:v>
                </c:pt>
                <c:pt idx="44">
                  <c:v>46</c:v>
                </c:pt>
                <c:pt idx="47">
                  <c:v>41</c:v>
                </c:pt>
                <c:pt idx="50">
                  <c:v>39</c:v>
                </c:pt>
                <c:pt idx="53">
                  <c:v>23</c:v>
                </c:pt>
                <c:pt idx="56">
                  <c:v>51</c:v>
                </c:pt>
                <c:pt idx="59">
                  <c:v>47</c:v>
                </c:pt>
                <c:pt idx="62">
                  <c:v>38</c:v>
                </c:pt>
                <c:pt idx="65">
                  <c:v>42</c:v>
                </c:pt>
                <c:pt idx="68">
                  <c:v>45</c:v>
                </c:pt>
                <c:pt idx="71">
                  <c:v>37</c:v>
                </c:pt>
                <c:pt idx="74">
                  <c:v>37</c:v>
                </c:pt>
                <c:pt idx="77">
                  <c:v>40</c:v>
                </c:pt>
                <c:pt idx="80">
                  <c:v>49</c:v>
                </c:pt>
                <c:pt idx="83">
                  <c:v>33</c:v>
                </c:pt>
                <c:pt idx="86">
                  <c:v>44</c:v>
                </c:pt>
                <c:pt idx="89">
                  <c:v>52</c:v>
                </c:pt>
                <c:pt idx="92">
                  <c:v>38</c:v>
                </c:pt>
                <c:pt idx="95">
                  <c:v>38</c:v>
                </c:pt>
                <c:pt idx="98">
                  <c:v>34</c:v>
                </c:pt>
                <c:pt idx="101">
                  <c:v>41</c:v>
                </c:pt>
                <c:pt idx="104">
                  <c:v>39</c:v>
                </c:pt>
                <c:pt idx="107">
                  <c:v>42</c:v>
                </c:pt>
                <c:pt idx="110">
                  <c:v>40</c:v>
                </c:pt>
                <c:pt idx="113">
                  <c:v>43</c:v>
                </c:pt>
                <c:pt idx="116">
                  <c:v>26</c:v>
                </c:pt>
                <c:pt idx="119">
                  <c:v>43</c:v>
                </c:pt>
                <c:pt idx="122">
                  <c:v>49</c:v>
                </c:pt>
                <c:pt idx="125">
                  <c:v>41</c:v>
                </c:pt>
                <c:pt idx="128">
                  <c:v>41</c:v>
                </c:pt>
                <c:pt idx="131">
                  <c:v>42</c:v>
                </c:pt>
                <c:pt idx="134">
                  <c:v>39</c:v>
                </c:pt>
                <c:pt idx="137">
                  <c:v>37</c:v>
                </c:pt>
                <c:pt idx="140">
                  <c:v>41</c:v>
                </c:pt>
                <c:pt idx="143">
                  <c:v>47</c:v>
                </c:pt>
                <c:pt idx="146">
                  <c:v>41</c:v>
                </c:pt>
                <c:pt idx="149">
                  <c:v>30</c:v>
                </c:pt>
                <c:pt idx="152">
                  <c:v>40</c:v>
                </c:pt>
                <c:pt idx="155">
                  <c:v>38</c:v>
                </c:pt>
                <c:pt idx="158">
                  <c:v>25</c:v>
                </c:pt>
                <c:pt idx="161">
                  <c:v>31</c:v>
                </c:pt>
                <c:pt idx="164">
                  <c:v>26</c:v>
                </c:pt>
                <c:pt idx="167">
                  <c:v>26</c:v>
                </c:pt>
                <c:pt idx="170">
                  <c:v>38</c:v>
                </c:pt>
                <c:pt idx="173">
                  <c:v>36</c:v>
                </c:pt>
                <c:pt idx="176">
                  <c:v>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350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8dad863-1da8-4a24-8fd1-2d45e77a9b39}"/>
      </c:ext>
    </c:extLst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4000" b="1" i="0" u="none"/>
              <a:t>Apple安装量</a:t>
            </a:r>
            <a:endParaRPr sz="14000" b="1" i="0" u="none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'APP天数据-GP|AS'!$J$3</c:f>
              <c:strCache>
                <c:ptCount val="1"/>
                <c:pt idx="0">
                  <c:v>Apple安装量</c:v>
                </c:pt>
              </c:strCache>
            </c:strRef>
          </c:tx>
          <c:spPr>
            <a:ln w="19050" cap="rnd">
              <a:solidFill>
                <a:srgbClr val="5383F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'APP天数据-GP|AS'!$J$4:$J$195</c:f>
              <c:numCache>
                <c:formatCode>0_);\(0\)</c:formatCode>
                <c:ptCount val="192"/>
                <c:pt idx="0">
                  <c:v>7</c:v>
                </c:pt>
                <c:pt idx="1">
                  <c:v>13</c:v>
                </c:pt>
                <c:pt idx="2">
                  <c:v>20</c:v>
                </c:pt>
                <c:pt idx="3">
                  <c:v>23</c:v>
                </c:pt>
                <c:pt idx="4">
                  <c:v>9</c:v>
                </c:pt>
                <c:pt idx="5">
                  <c:v>32</c:v>
                </c:pt>
                <c:pt idx="6">
                  <c:v>43</c:v>
                </c:pt>
                <c:pt idx="7">
                  <c:v>12</c:v>
                </c:pt>
                <c:pt idx="8">
                  <c:v>55</c:v>
                </c:pt>
                <c:pt idx="9">
                  <c:v>28</c:v>
                </c:pt>
                <c:pt idx="10">
                  <c:v>4</c:v>
                </c:pt>
                <c:pt idx="11">
                  <c:v>32</c:v>
                </c:pt>
                <c:pt idx="12">
                  <c:v>26</c:v>
                </c:pt>
                <c:pt idx="13">
                  <c:v>1</c:v>
                </c:pt>
                <c:pt idx="14">
                  <c:v>27</c:v>
                </c:pt>
                <c:pt idx="15">
                  <c:v>15</c:v>
                </c:pt>
                <c:pt idx="16">
                  <c:v>9</c:v>
                </c:pt>
                <c:pt idx="17">
                  <c:v>24</c:v>
                </c:pt>
                <c:pt idx="18">
                  <c:v>10</c:v>
                </c:pt>
                <c:pt idx="19">
                  <c:v>8</c:v>
                </c:pt>
                <c:pt idx="20">
                  <c:v>18</c:v>
                </c:pt>
                <c:pt idx="21">
                  <c:v>16</c:v>
                </c:pt>
                <c:pt idx="22">
                  <c:v>5</c:v>
                </c:pt>
                <c:pt idx="23">
                  <c:v>21</c:v>
                </c:pt>
                <c:pt idx="24">
                  <c:v>12</c:v>
                </c:pt>
                <c:pt idx="25">
                  <c:v>12</c:v>
                </c:pt>
                <c:pt idx="26">
                  <c:v>24</c:v>
                </c:pt>
                <c:pt idx="27">
                  <c:v>8</c:v>
                </c:pt>
                <c:pt idx="28">
                  <c:v>5</c:v>
                </c:pt>
                <c:pt idx="29">
                  <c:v>13</c:v>
                </c:pt>
                <c:pt idx="30">
                  <c:v>9</c:v>
                </c:pt>
                <c:pt idx="31">
                  <c:v>8</c:v>
                </c:pt>
                <c:pt idx="32">
                  <c:v>17</c:v>
                </c:pt>
                <c:pt idx="33">
                  <c:v>4</c:v>
                </c:pt>
                <c:pt idx="34">
                  <c:v>6</c:v>
                </c:pt>
                <c:pt idx="35">
                  <c:v>10</c:v>
                </c:pt>
                <c:pt idx="36">
                  <c:v>8</c:v>
                </c:pt>
                <c:pt idx="37">
                  <c:v>9</c:v>
                </c:pt>
                <c:pt idx="38">
                  <c:v>17</c:v>
                </c:pt>
                <c:pt idx="39">
                  <c:v>39</c:v>
                </c:pt>
                <c:pt idx="40">
                  <c:v>9</c:v>
                </c:pt>
                <c:pt idx="41">
                  <c:v>48</c:v>
                </c:pt>
                <c:pt idx="42">
                  <c:v>30</c:v>
                </c:pt>
                <c:pt idx="43">
                  <c:v>10</c:v>
                </c:pt>
                <c:pt idx="44">
                  <c:v>40</c:v>
                </c:pt>
                <c:pt idx="45">
                  <c:v>19</c:v>
                </c:pt>
                <c:pt idx="46">
                  <c:v>11</c:v>
                </c:pt>
                <c:pt idx="47">
                  <c:v>30</c:v>
                </c:pt>
                <c:pt idx="48">
                  <c:v>30</c:v>
                </c:pt>
                <c:pt idx="49">
                  <c:v>12</c:v>
                </c:pt>
                <c:pt idx="50">
                  <c:v>42</c:v>
                </c:pt>
                <c:pt idx="51">
                  <c:v>49</c:v>
                </c:pt>
                <c:pt idx="52">
                  <c:v>4</c:v>
                </c:pt>
                <c:pt idx="53">
                  <c:v>53</c:v>
                </c:pt>
                <c:pt idx="54">
                  <c:v>22</c:v>
                </c:pt>
                <c:pt idx="55">
                  <c:v>7</c:v>
                </c:pt>
                <c:pt idx="56">
                  <c:v>29</c:v>
                </c:pt>
                <c:pt idx="57">
                  <c:v>33</c:v>
                </c:pt>
                <c:pt idx="58">
                  <c:v>17</c:v>
                </c:pt>
                <c:pt idx="59">
                  <c:v>50</c:v>
                </c:pt>
                <c:pt idx="60">
                  <c:v>31</c:v>
                </c:pt>
                <c:pt idx="61">
                  <c:v>5</c:v>
                </c:pt>
                <c:pt idx="62">
                  <c:v>36</c:v>
                </c:pt>
                <c:pt idx="63">
                  <c:v>35</c:v>
                </c:pt>
                <c:pt idx="64">
                  <c:v>4</c:v>
                </c:pt>
                <c:pt idx="65">
                  <c:v>39</c:v>
                </c:pt>
                <c:pt idx="66">
                  <c:v>30</c:v>
                </c:pt>
                <c:pt idx="67">
                  <c:v>8</c:v>
                </c:pt>
                <c:pt idx="68">
                  <c:v>38</c:v>
                </c:pt>
                <c:pt idx="69">
                  <c:v>24</c:v>
                </c:pt>
                <c:pt idx="70">
                  <c:v>3</c:v>
                </c:pt>
                <c:pt idx="71">
                  <c:v>27</c:v>
                </c:pt>
                <c:pt idx="72">
                  <c:v>27</c:v>
                </c:pt>
                <c:pt idx="73">
                  <c:v>4</c:v>
                </c:pt>
                <c:pt idx="74">
                  <c:v>31</c:v>
                </c:pt>
                <c:pt idx="75">
                  <c:v>29</c:v>
                </c:pt>
                <c:pt idx="76">
                  <c:v>3</c:v>
                </c:pt>
                <c:pt idx="77">
                  <c:v>32</c:v>
                </c:pt>
                <c:pt idx="78">
                  <c:v>34</c:v>
                </c:pt>
                <c:pt idx="79">
                  <c:v>4</c:v>
                </c:pt>
                <c:pt idx="80">
                  <c:v>38</c:v>
                </c:pt>
                <c:pt idx="81">
                  <c:v>22</c:v>
                </c:pt>
                <c:pt idx="82">
                  <c:v>9</c:v>
                </c:pt>
                <c:pt idx="83">
                  <c:v>31</c:v>
                </c:pt>
                <c:pt idx="84">
                  <c:v>7</c:v>
                </c:pt>
                <c:pt idx="85">
                  <c:v>7</c:v>
                </c:pt>
                <c:pt idx="86">
                  <c:v>14</c:v>
                </c:pt>
                <c:pt idx="87">
                  <c:v>17</c:v>
                </c:pt>
                <c:pt idx="88">
                  <c:v>12</c:v>
                </c:pt>
                <c:pt idx="89">
                  <c:v>29</c:v>
                </c:pt>
                <c:pt idx="90">
                  <c:v>8</c:v>
                </c:pt>
                <c:pt idx="91">
                  <c:v>8</c:v>
                </c:pt>
                <c:pt idx="92">
                  <c:v>16</c:v>
                </c:pt>
                <c:pt idx="93">
                  <c:v>3</c:v>
                </c:pt>
                <c:pt idx="94">
                  <c:v>7</c:v>
                </c:pt>
                <c:pt idx="95">
                  <c:v>10</c:v>
                </c:pt>
                <c:pt idx="96">
                  <c:v>13</c:v>
                </c:pt>
                <c:pt idx="97">
                  <c:v>10</c:v>
                </c:pt>
                <c:pt idx="98">
                  <c:v>23</c:v>
                </c:pt>
                <c:pt idx="99">
                  <c:v>7</c:v>
                </c:pt>
                <c:pt idx="100">
                  <c:v>14</c:v>
                </c:pt>
                <c:pt idx="101">
                  <c:v>21</c:v>
                </c:pt>
                <c:pt idx="102">
                  <c:v>9</c:v>
                </c:pt>
                <c:pt idx="103">
                  <c:v>8</c:v>
                </c:pt>
                <c:pt idx="104">
                  <c:v>17</c:v>
                </c:pt>
                <c:pt idx="105">
                  <c:v>4</c:v>
                </c:pt>
                <c:pt idx="106">
                  <c:v>9</c:v>
                </c:pt>
                <c:pt idx="107">
                  <c:v>13</c:v>
                </c:pt>
                <c:pt idx="108">
                  <c:v>1</c:v>
                </c:pt>
                <c:pt idx="109">
                  <c:v>8</c:v>
                </c:pt>
                <c:pt idx="110">
                  <c:v>9</c:v>
                </c:pt>
                <c:pt idx="111">
                  <c:v>3</c:v>
                </c:pt>
                <c:pt idx="112">
                  <c:v>10</c:v>
                </c:pt>
                <c:pt idx="113">
                  <c:v>13</c:v>
                </c:pt>
                <c:pt idx="114">
                  <c:v>1</c:v>
                </c:pt>
                <c:pt idx="115">
                  <c:v>5</c:v>
                </c:pt>
                <c:pt idx="116">
                  <c:v>6</c:v>
                </c:pt>
                <c:pt idx="117">
                  <c:v>3</c:v>
                </c:pt>
                <c:pt idx="118">
                  <c:v>4</c:v>
                </c:pt>
                <c:pt idx="119">
                  <c:v>7</c:v>
                </c:pt>
                <c:pt idx="120">
                  <c:v>3</c:v>
                </c:pt>
                <c:pt idx="121">
                  <c:v>7</c:v>
                </c:pt>
                <c:pt idx="122">
                  <c:v>10</c:v>
                </c:pt>
                <c:pt idx="123">
                  <c:v>2</c:v>
                </c:pt>
                <c:pt idx="124">
                  <c:v>7</c:v>
                </c:pt>
                <c:pt idx="125">
                  <c:v>9</c:v>
                </c:pt>
                <c:pt idx="126">
                  <c:v>1</c:v>
                </c:pt>
                <c:pt idx="127">
                  <c:v>4</c:v>
                </c:pt>
                <c:pt idx="128">
                  <c:v>5</c:v>
                </c:pt>
                <c:pt idx="129">
                  <c:v>0</c:v>
                </c:pt>
                <c:pt idx="130">
                  <c:v>8</c:v>
                </c:pt>
                <c:pt idx="131">
                  <c:v>8</c:v>
                </c:pt>
                <c:pt idx="132">
                  <c:v>1</c:v>
                </c:pt>
                <c:pt idx="133">
                  <c:v>13</c:v>
                </c:pt>
                <c:pt idx="134">
                  <c:v>14</c:v>
                </c:pt>
                <c:pt idx="135">
                  <c:v>4</c:v>
                </c:pt>
                <c:pt idx="136">
                  <c:v>7</c:v>
                </c:pt>
                <c:pt idx="137">
                  <c:v>11</c:v>
                </c:pt>
                <c:pt idx="138">
                  <c:v>2</c:v>
                </c:pt>
                <c:pt idx="139">
                  <c:v>9</c:v>
                </c:pt>
                <c:pt idx="140">
                  <c:v>11</c:v>
                </c:pt>
                <c:pt idx="141">
                  <c:v>6</c:v>
                </c:pt>
                <c:pt idx="142">
                  <c:v>8</c:v>
                </c:pt>
                <c:pt idx="143">
                  <c:v>14</c:v>
                </c:pt>
                <c:pt idx="144">
                  <c:v>3</c:v>
                </c:pt>
                <c:pt idx="145">
                  <c:v>7</c:v>
                </c:pt>
                <c:pt idx="146">
                  <c:v>10</c:v>
                </c:pt>
                <c:pt idx="147">
                  <c:v>1</c:v>
                </c:pt>
                <c:pt idx="148">
                  <c:v>10</c:v>
                </c:pt>
                <c:pt idx="149">
                  <c:v>11</c:v>
                </c:pt>
                <c:pt idx="150">
                  <c:v>2</c:v>
                </c:pt>
                <c:pt idx="151">
                  <c:v>8</c:v>
                </c:pt>
                <c:pt idx="152">
                  <c:v>10</c:v>
                </c:pt>
                <c:pt idx="153">
                  <c:v>5</c:v>
                </c:pt>
                <c:pt idx="154">
                  <c:v>7</c:v>
                </c:pt>
                <c:pt idx="155">
                  <c:v>12</c:v>
                </c:pt>
                <c:pt idx="156">
                  <c:v>2</c:v>
                </c:pt>
                <c:pt idx="157">
                  <c:v>3</c:v>
                </c:pt>
                <c:pt idx="158">
                  <c:v>5</c:v>
                </c:pt>
                <c:pt idx="159">
                  <c:v>3</c:v>
                </c:pt>
                <c:pt idx="160">
                  <c:v>5</c:v>
                </c:pt>
                <c:pt idx="161">
                  <c:v>8</c:v>
                </c:pt>
                <c:pt idx="162">
                  <c:v>3</c:v>
                </c:pt>
                <c:pt idx="163">
                  <c:v>4</c:v>
                </c:pt>
                <c:pt idx="164">
                  <c:v>7</c:v>
                </c:pt>
                <c:pt idx="165">
                  <c:v>1</c:v>
                </c:pt>
                <c:pt idx="166">
                  <c:v>10</c:v>
                </c:pt>
                <c:pt idx="167">
                  <c:v>11</c:v>
                </c:pt>
                <c:pt idx="168">
                  <c:v>0</c:v>
                </c:pt>
                <c:pt idx="169">
                  <c:v>12</c:v>
                </c:pt>
                <c:pt idx="170">
                  <c:v>12</c:v>
                </c:pt>
                <c:pt idx="171">
                  <c:v>5</c:v>
                </c:pt>
                <c:pt idx="172">
                  <c:v>11</c:v>
                </c:pt>
                <c:pt idx="173">
                  <c:v>16</c:v>
                </c:pt>
                <c:pt idx="174">
                  <c:v>1</c:v>
                </c:pt>
                <c:pt idx="175">
                  <c:v>2</c:v>
                </c:pt>
                <c:pt idx="176">
                  <c:v>3</c:v>
                </c:pt>
                <c:pt idx="177">
                  <c:v>1</c:v>
                </c:pt>
                <c:pt idx="178">
                  <c:v>7</c:v>
                </c:pt>
                <c:pt idx="179">
                  <c:v>8</c:v>
                </c:pt>
                <c:pt idx="180">
                  <c:v>1</c:v>
                </c:pt>
                <c:pt idx="181">
                  <c:v>11</c:v>
                </c:pt>
                <c:pt idx="182">
                  <c:v>12</c:v>
                </c:pt>
                <c:pt idx="183">
                  <c:v>4</c:v>
                </c:pt>
                <c:pt idx="184">
                  <c:v>9</c:v>
                </c:pt>
                <c:pt idx="185">
                  <c:v>13</c:v>
                </c:pt>
                <c:pt idx="186">
                  <c:v>4</c:v>
                </c:pt>
                <c:pt idx="187">
                  <c:v>6</c:v>
                </c:pt>
                <c:pt idx="188">
                  <c:v>10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350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c2ca466-7865-49f8-81d4-ea907caef04c}"/>
      </c:ext>
    </c:extLst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4000" b="1" i="0" u="none"/>
              <a:t>自然下载，Google安装量，Apple安装量</a:t>
            </a:r>
            <a:endParaRPr sz="14000" b="1" i="0" u="none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'APP天数据-GP|AS'!$D$3</c:f>
              <c:strCache>
                <c:ptCount val="1"/>
                <c:pt idx="0">
                  <c:v>自然下载</c:v>
                </c:pt>
              </c:strCache>
            </c:strRef>
          </c:tx>
          <c:spPr>
            <a:ln w="19050" cap="rnd">
              <a:solidFill>
                <a:srgbClr val="5383F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'APP天数据-GP|AS'!$D$4:$D$195</c:f>
              <c:numCache>
                <c:formatCode>0_);\(0\)</c:formatCode>
                <c:ptCount val="192"/>
                <c:pt idx="0">
                  <c:v>199</c:v>
                </c:pt>
                <c:pt idx="1">
                  <c:v>109</c:v>
                </c:pt>
                <c:pt idx="2">
                  <c:v>308</c:v>
                </c:pt>
                <c:pt idx="3">
                  <c:v>177</c:v>
                </c:pt>
                <c:pt idx="4">
                  <c:v>78</c:v>
                </c:pt>
                <c:pt idx="5">
                  <c:v>255</c:v>
                </c:pt>
                <c:pt idx="6">
                  <c:v>171</c:v>
                </c:pt>
                <c:pt idx="7">
                  <c:v>114</c:v>
                </c:pt>
                <c:pt idx="8">
                  <c:v>285</c:v>
                </c:pt>
                <c:pt idx="9">
                  <c:v>145</c:v>
                </c:pt>
                <c:pt idx="10">
                  <c:v>83</c:v>
                </c:pt>
                <c:pt idx="11">
                  <c:v>228</c:v>
                </c:pt>
                <c:pt idx="12">
                  <c:v>145</c:v>
                </c:pt>
                <c:pt idx="13">
                  <c:v>75</c:v>
                </c:pt>
                <c:pt idx="14">
                  <c:v>220</c:v>
                </c:pt>
                <c:pt idx="15" c:formatCode="General">
                  <c:v>121</c:v>
                </c:pt>
                <c:pt idx="16" c:formatCode="General">
                  <c:v>107</c:v>
                </c:pt>
                <c:pt idx="17">
                  <c:v>228</c:v>
                </c:pt>
                <c:pt idx="18">
                  <c:v>126</c:v>
                </c:pt>
                <c:pt idx="19">
                  <c:v>94</c:v>
                </c:pt>
                <c:pt idx="20">
                  <c:v>220</c:v>
                </c:pt>
                <c:pt idx="21">
                  <c:v>136</c:v>
                </c:pt>
                <c:pt idx="22">
                  <c:v>79</c:v>
                </c:pt>
                <c:pt idx="23">
                  <c:v>215</c:v>
                </c:pt>
                <c:pt idx="24" c:formatCode="General">
                  <c:v>144</c:v>
                </c:pt>
                <c:pt idx="25" c:formatCode="General">
                  <c:v>107</c:v>
                </c:pt>
                <c:pt idx="26">
                  <c:v>251</c:v>
                </c:pt>
                <c:pt idx="27">
                  <c:v>161</c:v>
                </c:pt>
                <c:pt idx="28">
                  <c:v>87</c:v>
                </c:pt>
                <c:pt idx="29">
                  <c:v>248</c:v>
                </c:pt>
                <c:pt idx="30">
                  <c:v>130</c:v>
                </c:pt>
                <c:pt idx="31">
                  <c:v>83</c:v>
                </c:pt>
                <c:pt idx="32">
                  <c:v>213</c:v>
                </c:pt>
                <c:pt idx="33" c:formatCode="General">
                  <c:v>122</c:v>
                </c:pt>
                <c:pt idx="34" c:formatCode="General">
                  <c:v>85</c:v>
                </c:pt>
                <c:pt idx="35">
                  <c:v>207</c:v>
                </c:pt>
                <c:pt idx="36">
                  <c:v>117</c:v>
                </c:pt>
                <c:pt idx="37">
                  <c:v>106</c:v>
                </c:pt>
                <c:pt idx="38">
                  <c:v>223</c:v>
                </c:pt>
                <c:pt idx="39">
                  <c:v>173</c:v>
                </c:pt>
                <c:pt idx="40">
                  <c:v>84</c:v>
                </c:pt>
                <c:pt idx="41">
                  <c:v>257</c:v>
                </c:pt>
                <c:pt idx="42" c:formatCode="General">
                  <c:v>119</c:v>
                </c:pt>
                <c:pt idx="43" c:formatCode="General">
                  <c:v>93</c:v>
                </c:pt>
                <c:pt idx="44">
                  <c:v>212</c:v>
                </c:pt>
                <c:pt idx="45">
                  <c:v>155</c:v>
                </c:pt>
                <c:pt idx="46">
                  <c:v>66</c:v>
                </c:pt>
                <c:pt idx="47">
                  <c:v>221</c:v>
                </c:pt>
                <c:pt idx="48">
                  <c:v>142</c:v>
                </c:pt>
                <c:pt idx="49">
                  <c:v>77</c:v>
                </c:pt>
                <c:pt idx="50">
                  <c:v>219</c:v>
                </c:pt>
                <c:pt idx="51" c:formatCode="General">
                  <c:v>122</c:v>
                </c:pt>
                <c:pt idx="52" c:formatCode="General">
                  <c:v>77</c:v>
                </c:pt>
                <c:pt idx="53">
                  <c:v>199</c:v>
                </c:pt>
                <c:pt idx="54">
                  <c:v>97</c:v>
                </c:pt>
                <c:pt idx="55">
                  <c:v>69</c:v>
                </c:pt>
                <c:pt idx="56">
                  <c:v>166</c:v>
                </c:pt>
                <c:pt idx="57">
                  <c:v>101</c:v>
                </c:pt>
                <c:pt idx="58">
                  <c:v>79</c:v>
                </c:pt>
                <c:pt idx="59">
                  <c:v>180</c:v>
                </c:pt>
                <c:pt idx="60" c:formatCode="General">
                  <c:v>127</c:v>
                </c:pt>
                <c:pt idx="61" c:formatCode="General">
                  <c:v>70</c:v>
                </c:pt>
                <c:pt idx="62">
                  <c:v>197</c:v>
                </c:pt>
                <c:pt idx="63">
                  <c:v>137</c:v>
                </c:pt>
                <c:pt idx="64">
                  <c:v>75</c:v>
                </c:pt>
                <c:pt idx="65">
                  <c:v>212</c:v>
                </c:pt>
                <c:pt idx="66">
                  <c:v>130</c:v>
                </c:pt>
                <c:pt idx="67">
                  <c:v>68</c:v>
                </c:pt>
                <c:pt idx="68">
                  <c:v>198</c:v>
                </c:pt>
                <c:pt idx="69" c:formatCode="General">
                  <c:v>116</c:v>
                </c:pt>
                <c:pt idx="70" c:formatCode="General">
                  <c:v>71</c:v>
                </c:pt>
                <c:pt idx="71">
                  <c:v>187</c:v>
                </c:pt>
                <c:pt idx="72">
                  <c:v>156</c:v>
                </c:pt>
                <c:pt idx="73">
                  <c:v>63</c:v>
                </c:pt>
                <c:pt idx="74">
                  <c:v>219</c:v>
                </c:pt>
                <c:pt idx="75">
                  <c:v>114</c:v>
                </c:pt>
                <c:pt idx="76">
                  <c:v>80</c:v>
                </c:pt>
                <c:pt idx="77">
                  <c:v>194</c:v>
                </c:pt>
                <c:pt idx="78" c:formatCode="General">
                  <c:v>113</c:v>
                </c:pt>
                <c:pt idx="79" c:formatCode="General">
                  <c:v>78</c:v>
                </c:pt>
                <c:pt idx="80">
                  <c:v>191</c:v>
                </c:pt>
                <c:pt idx="81">
                  <c:v>128</c:v>
                </c:pt>
                <c:pt idx="82">
                  <c:v>65</c:v>
                </c:pt>
                <c:pt idx="83">
                  <c:v>193</c:v>
                </c:pt>
                <c:pt idx="84">
                  <c:v>106</c:v>
                </c:pt>
                <c:pt idx="85">
                  <c:v>74</c:v>
                </c:pt>
                <c:pt idx="86">
                  <c:v>180</c:v>
                </c:pt>
                <c:pt idx="87" c:formatCode="General">
                  <c:v>115</c:v>
                </c:pt>
                <c:pt idx="88" c:formatCode="General">
                  <c:v>65</c:v>
                </c:pt>
                <c:pt idx="89">
                  <c:v>180</c:v>
                </c:pt>
                <c:pt idx="90">
                  <c:v>126</c:v>
                </c:pt>
                <c:pt idx="91">
                  <c:v>66</c:v>
                </c:pt>
                <c:pt idx="92">
                  <c:v>192</c:v>
                </c:pt>
                <c:pt idx="93">
                  <c:v>113</c:v>
                </c:pt>
                <c:pt idx="94">
                  <c:v>57</c:v>
                </c:pt>
                <c:pt idx="95">
                  <c:v>170</c:v>
                </c:pt>
                <c:pt idx="96" c:formatCode="General">
                  <c:v>145</c:v>
                </c:pt>
                <c:pt idx="97" c:formatCode="General">
                  <c:v>59</c:v>
                </c:pt>
                <c:pt idx="98">
                  <c:v>204</c:v>
                </c:pt>
                <c:pt idx="99">
                  <c:v>144</c:v>
                </c:pt>
                <c:pt idx="100">
                  <c:v>53</c:v>
                </c:pt>
                <c:pt idx="101">
                  <c:v>197</c:v>
                </c:pt>
                <c:pt idx="102">
                  <c:v>117</c:v>
                </c:pt>
                <c:pt idx="103">
                  <c:v>57</c:v>
                </c:pt>
                <c:pt idx="104">
                  <c:v>174</c:v>
                </c:pt>
                <c:pt idx="105" c:formatCode="General">
                  <c:v>128</c:v>
                </c:pt>
                <c:pt idx="106" c:formatCode="General">
                  <c:v>59</c:v>
                </c:pt>
                <c:pt idx="107">
                  <c:v>187</c:v>
                </c:pt>
                <c:pt idx="108">
                  <c:v>118</c:v>
                </c:pt>
                <c:pt idx="109">
                  <c:v>68</c:v>
                </c:pt>
                <c:pt idx="110">
                  <c:v>186</c:v>
                </c:pt>
                <c:pt idx="111">
                  <c:v>127</c:v>
                </c:pt>
                <c:pt idx="112">
                  <c:v>71</c:v>
                </c:pt>
                <c:pt idx="113">
                  <c:v>198</c:v>
                </c:pt>
                <c:pt idx="114" c:formatCode="General">
                  <c:v>78</c:v>
                </c:pt>
                <c:pt idx="115" c:formatCode="General">
                  <c:v>53</c:v>
                </c:pt>
                <c:pt idx="116">
                  <c:v>131</c:v>
                </c:pt>
                <c:pt idx="117">
                  <c:v>102</c:v>
                </c:pt>
                <c:pt idx="118">
                  <c:v>39</c:v>
                </c:pt>
                <c:pt idx="119">
                  <c:v>141</c:v>
                </c:pt>
                <c:pt idx="120">
                  <c:v>106</c:v>
                </c:pt>
                <c:pt idx="121">
                  <c:v>61</c:v>
                </c:pt>
                <c:pt idx="122">
                  <c:v>167</c:v>
                </c:pt>
                <c:pt idx="123" c:formatCode="General">
                  <c:v>93</c:v>
                </c:pt>
                <c:pt idx="124" c:formatCode="General">
                  <c:v>64</c:v>
                </c:pt>
                <c:pt idx="125">
                  <c:v>157</c:v>
                </c:pt>
                <c:pt idx="126">
                  <c:v>98</c:v>
                </c:pt>
                <c:pt idx="127">
                  <c:v>45</c:v>
                </c:pt>
                <c:pt idx="128">
                  <c:v>143</c:v>
                </c:pt>
                <c:pt idx="129">
                  <c:v>65</c:v>
                </c:pt>
                <c:pt idx="130">
                  <c:v>52</c:v>
                </c:pt>
                <c:pt idx="131">
                  <c:v>117</c:v>
                </c:pt>
                <c:pt idx="132" c:formatCode="General">
                  <c:v>87</c:v>
                </c:pt>
                <c:pt idx="133" c:formatCode="General">
                  <c:v>59</c:v>
                </c:pt>
                <c:pt idx="134">
                  <c:v>146</c:v>
                </c:pt>
                <c:pt idx="135">
                  <c:v>99</c:v>
                </c:pt>
                <c:pt idx="136">
                  <c:v>41</c:v>
                </c:pt>
                <c:pt idx="137">
                  <c:v>140</c:v>
                </c:pt>
                <c:pt idx="138">
                  <c:v>74</c:v>
                </c:pt>
                <c:pt idx="139">
                  <c:v>50</c:v>
                </c:pt>
                <c:pt idx="140">
                  <c:v>124</c:v>
                </c:pt>
                <c:pt idx="141" c:formatCode="General">
                  <c:v>69</c:v>
                </c:pt>
                <c:pt idx="142" c:formatCode="General">
                  <c:v>52</c:v>
                </c:pt>
                <c:pt idx="143">
                  <c:v>121</c:v>
                </c:pt>
                <c:pt idx="144">
                  <c:v>76</c:v>
                </c:pt>
                <c:pt idx="145">
                  <c:v>64</c:v>
                </c:pt>
                <c:pt idx="146">
                  <c:v>140</c:v>
                </c:pt>
                <c:pt idx="147">
                  <c:v>68</c:v>
                </c:pt>
                <c:pt idx="148">
                  <c:v>55</c:v>
                </c:pt>
                <c:pt idx="149">
                  <c:v>123</c:v>
                </c:pt>
                <c:pt idx="150" c:formatCode="General">
                  <c:v>67</c:v>
                </c:pt>
                <c:pt idx="151" c:formatCode="General">
                  <c:v>46</c:v>
                </c:pt>
                <c:pt idx="152">
                  <c:v>113</c:v>
                </c:pt>
                <c:pt idx="153">
                  <c:v>79</c:v>
                </c:pt>
                <c:pt idx="154">
                  <c:v>51</c:v>
                </c:pt>
                <c:pt idx="155">
                  <c:v>130</c:v>
                </c:pt>
                <c:pt idx="156">
                  <c:v>62</c:v>
                </c:pt>
                <c:pt idx="157">
                  <c:v>32</c:v>
                </c:pt>
                <c:pt idx="158">
                  <c:v>94</c:v>
                </c:pt>
                <c:pt idx="159" c:formatCode="General">
                  <c:v>74</c:v>
                </c:pt>
                <c:pt idx="160" c:formatCode="General">
                  <c:v>38</c:v>
                </c:pt>
                <c:pt idx="161">
                  <c:v>112</c:v>
                </c:pt>
                <c:pt idx="162">
                  <c:v>86</c:v>
                </c:pt>
                <c:pt idx="163">
                  <c:v>44</c:v>
                </c:pt>
                <c:pt idx="164">
                  <c:v>130</c:v>
                </c:pt>
                <c:pt idx="165">
                  <c:v>72</c:v>
                </c:pt>
                <c:pt idx="166">
                  <c:v>65</c:v>
                </c:pt>
                <c:pt idx="167">
                  <c:v>137</c:v>
                </c:pt>
                <c:pt idx="168" c:formatCode="General">
                  <c:v>78</c:v>
                </c:pt>
                <c:pt idx="169" c:formatCode="General">
                  <c:v>41</c:v>
                </c:pt>
                <c:pt idx="170">
                  <c:v>119</c:v>
                </c:pt>
                <c:pt idx="171">
                  <c:v>66</c:v>
                </c:pt>
                <c:pt idx="172">
                  <c:v>54</c:v>
                </c:pt>
                <c:pt idx="173">
                  <c:v>120</c:v>
                </c:pt>
                <c:pt idx="174">
                  <c:v>73</c:v>
                </c:pt>
                <c:pt idx="175">
                  <c:v>48</c:v>
                </c:pt>
                <c:pt idx="176">
                  <c:v>121</c:v>
                </c:pt>
                <c:pt idx="177" c:formatCode="General">
                  <c:v>79</c:v>
                </c:pt>
                <c:pt idx="178" c:formatCode="General">
                  <c:v>32</c:v>
                </c:pt>
                <c:pt idx="179">
                  <c:v>111</c:v>
                </c:pt>
                <c:pt idx="180">
                  <c:v>83</c:v>
                </c:pt>
                <c:pt idx="181">
                  <c:v>36</c:v>
                </c:pt>
                <c:pt idx="182">
                  <c:v>119</c:v>
                </c:pt>
                <c:pt idx="183">
                  <c:v>77</c:v>
                </c:pt>
                <c:pt idx="184">
                  <c:v>26</c:v>
                </c:pt>
                <c:pt idx="185">
                  <c:v>103</c:v>
                </c:pt>
                <c:pt idx="186" c:formatCode="General">
                  <c:v>86</c:v>
                </c:pt>
                <c:pt idx="187" c:formatCode="General">
                  <c:v>45</c:v>
                </c:pt>
                <c:pt idx="188">
                  <c:v>131</c:v>
                </c:pt>
                <c:pt idx="189">
                  <c:v>121</c:v>
                </c:pt>
                <c:pt idx="190">
                  <c:v>48</c:v>
                </c:pt>
                <c:pt idx="191">
                  <c:v>169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'APP天数据-GP|AS'!$F$3</c:f>
              <c:strCache>
                <c:ptCount val="1"/>
                <c:pt idx="0">
                  <c:v>Google安装量</c:v>
                </c:pt>
              </c:strCache>
            </c:strRef>
          </c:tx>
          <c:spPr>
            <a:ln w="19050" cap="rnd">
              <a:solidFill>
                <a:srgbClr val="55C6EF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'APP天数据-GP|AS'!$F$4:$F$195</c:f>
              <c:numCache>
                <c:formatCode>0_);\(0\)</c:formatCode>
                <c:ptCount val="192"/>
                <c:pt idx="2">
                  <c:v>35</c:v>
                </c:pt>
                <c:pt idx="5">
                  <c:v>38</c:v>
                </c:pt>
                <c:pt idx="8">
                  <c:v>38</c:v>
                </c:pt>
                <c:pt idx="11">
                  <c:v>33</c:v>
                </c:pt>
                <c:pt idx="14">
                  <c:v>38</c:v>
                </c:pt>
                <c:pt idx="17">
                  <c:v>35</c:v>
                </c:pt>
                <c:pt idx="20">
                  <c:v>41</c:v>
                </c:pt>
                <c:pt idx="23">
                  <c:v>28</c:v>
                </c:pt>
                <c:pt idx="26">
                  <c:v>40</c:v>
                </c:pt>
                <c:pt idx="29">
                  <c:v>39</c:v>
                </c:pt>
                <c:pt idx="32">
                  <c:v>30</c:v>
                </c:pt>
                <c:pt idx="35">
                  <c:v>35</c:v>
                </c:pt>
                <c:pt idx="38">
                  <c:v>57</c:v>
                </c:pt>
                <c:pt idx="41">
                  <c:v>60</c:v>
                </c:pt>
                <c:pt idx="44">
                  <c:v>46</c:v>
                </c:pt>
                <c:pt idx="47">
                  <c:v>41</c:v>
                </c:pt>
                <c:pt idx="50">
                  <c:v>39</c:v>
                </c:pt>
                <c:pt idx="53">
                  <c:v>23</c:v>
                </c:pt>
                <c:pt idx="56">
                  <c:v>51</c:v>
                </c:pt>
                <c:pt idx="59">
                  <c:v>47</c:v>
                </c:pt>
                <c:pt idx="62">
                  <c:v>38</c:v>
                </c:pt>
                <c:pt idx="65">
                  <c:v>42</c:v>
                </c:pt>
                <c:pt idx="68">
                  <c:v>45</c:v>
                </c:pt>
                <c:pt idx="71">
                  <c:v>37</c:v>
                </c:pt>
                <c:pt idx="74">
                  <c:v>37</c:v>
                </c:pt>
                <c:pt idx="77">
                  <c:v>40</c:v>
                </c:pt>
                <c:pt idx="80">
                  <c:v>49</c:v>
                </c:pt>
                <c:pt idx="83">
                  <c:v>33</c:v>
                </c:pt>
                <c:pt idx="86">
                  <c:v>44</c:v>
                </c:pt>
                <c:pt idx="89">
                  <c:v>52</c:v>
                </c:pt>
                <c:pt idx="92">
                  <c:v>38</c:v>
                </c:pt>
                <c:pt idx="95">
                  <c:v>38</c:v>
                </c:pt>
                <c:pt idx="98">
                  <c:v>34</c:v>
                </c:pt>
                <c:pt idx="101">
                  <c:v>41</c:v>
                </c:pt>
                <c:pt idx="104">
                  <c:v>39</c:v>
                </c:pt>
                <c:pt idx="107">
                  <c:v>42</c:v>
                </c:pt>
                <c:pt idx="110">
                  <c:v>40</c:v>
                </c:pt>
                <c:pt idx="113">
                  <c:v>43</c:v>
                </c:pt>
                <c:pt idx="116">
                  <c:v>26</c:v>
                </c:pt>
                <c:pt idx="119">
                  <c:v>43</c:v>
                </c:pt>
                <c:pt idx="122">
                  <c:v>49</c:v>
                </c:pt>
                <c:pt idx="125">
                  <c:v>41</c:v>
                </c:pt>
                <c:pt idx="128">
                  <c:v>41</c:v>
                </c:pt>
                <c:pt idx="131">
                  <c:v>42</c:v>
                </c:pt>
                <c:pt idx="134">
                  <c:v>39</c:v>
                </c:pt>
                <c:pt idx="137">
                  <c:v>37</c:v>
                </c:pt>
                <c:pt idx="140">
                  <c:v>41</c:v>
                </c:pt>
                <c:pt idx="143">
                  <c:v>47</c:v>
                </c:pt>
                <c:pt idx="146">
                  <c:v>41</c:v>
                </c:pt>
                <c:pt idx="149">
                  <c:v>30</c:v>
                </c:pt>
                <c:pt idx="152">
                  <c:v>40</c:v>
                </c:pt>
                <c:pt idx="155">
                  <c:v>38</c:v>
                </c:pt>
                <c:pt idx="158">
                  <c:v>25</c:v>
                </c:pt>
                <c:pt idx="161">
                  <c:v>31</c:v>
                </c:pt>
                <c:pt idx="164">
                  <c:v>26</c:v>
                </c:pt>
                <c:pt idx="167">
                  <c:v>26</c:v>
                </c:pt>
                <c:pt idx="170">
                  <c:v>38</c:v>
                </c:pt>
                <c:pt idx="173">
                  <c:v>36</c:v>
                </c:pt>
                <c:pt idx="176">
                  <c:v>34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'APP天数据-GP|AS'!$J$3</c:f>
              <c:strCache>
                <c:ptCount val="1"/>
                <c:pt idx="0">
                  <c:v>Apple安装量</c:v>
                </c:pt>
              </c:strCache>
            </c:strRef>
          </c:tx>
          <c:spPr>
            <a:ln w="19050" cap="rnd">
              <a:solidFill>
                <a:srgbClr val="915EEA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'APP天数据-GP|AS'!$J$4:$J$195</c:f>
              <c:numCache>
                <c:formatCode>0_);\(0\)</c:formatCode>
                <c:ptCount val="192"/>
                <c:pt idx="0">
                  <c:v>7</c:v>
                </c:pt>
                <c:pt idx="1">
                  <c:v>13</c:v>
                </c:pt>
                <c:pt idx="2">
                  <c:v>20</c:v>
                </c:pt>
                <c:pt idx="3">
                  <c:v>23</c:v>
                </c:pt>
                <c:pt idx="4">
                  <c:v>9</c:v>
                </c:pt>
                <c:pt idx="5">
                  <c:v>32</c:v>
                </c:pt>
                <c:pt idx="6">
                  <c:v>43</c:v>
                </c:pt>
                <c:pt idx="7">
                  <c:v>12</c:v>
                </c:pt>
                <c:pt idx="8">
                  <c:v>55</c:v>
                </c:pt>
                <c:pt idx="9">
                  <c:v>28</c:v>
                </c:pt>
                <c:pt idx="10">
                  <c:v>4</c:v>
                </c:pt>
                <c:pt idx="11">
                  <c:v>32</c:v>
                </c:pt>
                <c:pt idx="12">
                  <c:v>26</c:v>
                </c:pt>
                <c:pt idx="13">
                  <c:v>1</c:v>
                </c:pt>
                <c:pt idx="14">
                  <c:v>27</c:v>
                </c:pt>
                <c:pt idx="15">
                  <c:v>15</c:v>
                </c:pt>
                <c:pt idx="16">
                  <c:v>9</c:v>
                </c:pt>
                <c:pt idx="17">
                  <c:v>24</c:v>
                </c:pt>
                <c:pt idx="18">
                  <c:v>10</c:v>
                </c:pt>
                <c:pt idx="19">
                  <c:v>8</c:v>
                </c:pt>
                <c:pt idx="20">
                  <c:v>18</c:v>
                </c:pt>
                <c:pt idx="21">
                  <c:v>16</c:v>
                </c:pt>
                <c:pt idx="22">
                  <c:v>5</c:v>
                </c:pt>
                <c:pt idx="23">
                  <c:v>21</c:v>
                </c:pt>
                <c:pt idx="24">
                  <c:v>12</c:v>
                </c:pt>
                <c:pt idx="25">
                  <c:v>12</c:v>
                </c:pt>
                <c:pt idx="26">
                  <c:v>24</c:v>
                </c:pt>
                <c:pt idx="27">
                  <c:v>8</c:v>
                </c:pt>
                <c:pt idx="28">
                  <c:v>5</c:v>
                </c:pt>
                <c:pt idx="29">
                  <c:v>13</c:v>
                </c:pt>
                <c:pt idx="30">
                  <c:v>9</c:v>
                </c:pt>
                <c:pt idx="31">
                  <c:v>8</c:v>
                </c:pt>
                <c:pt idx="32">
                  <c:v>17</c:v>
                </c:pt>
                <c:pt idx="33">
                  <c:v>4</c:v>
                </c:pt>
                <c:pt idx="34">
                  <c:v>6</c:v>
                </c:pt>
                <c:pt idx="35">
                  <c:v>10</c:v>
                </c:pt>
                <c:pt idx="36">
                  <c:v>8</c:v>
                </c:pt>
                <c:pt idx="37">
                  <c:v>9</c:v>
                </c:pt>
                <c:pt idx="38">
                  <c:v>17</c:v>
                </c:pt>
                <c:pt idx="39">
                  <c:v>39</c:v>
                </c:pt>
                <c:pt idx="40">
                  <c:v>9</c:v>
                </c:pt>
                <c:pt idx="41">
                  <c:v>48</c:v>
                </c:pt>
                <c:pt idx="42">
                  <c:v>30</c:v>
                </c:pt>
                <c:pt idx="43">
                  <c:v>10</c:v>
                </c:pt>
                <c:pt idx="44">
                  <c:v>40</c:v>
                </c:pt>
                <c:pt idx="45">
                  <c:v>19</c:v>
                </c:pt>
                <c:pt idx="46">
                  <c:v>11</c:v>
                </c:pt>
                <c:pt idx="47">
                  <c:v>30</c:v>
                </c:pt>
                <c:pt idx="48">
                  <c:v>30</c:v>
                </c:pt>
                <c:pt idx="49">
                  <c:v>12</c:v>
                </c:pt>
                <c:pt idx="50">
                  <c:v>42</c:v>
                </c:pt>
                <c:pt idx="51">
                  <c:v>49</c:v>
                </c:pt>
                <c:pt idx="52">
                  <c:v>4</c:v>
                </c:pt>
                <c:pt idx="53">
                  <c:v>53</c:v>
                </c:pt>
                <c:pt idx="54">
                  <c:v>22</c:v>
                </c:pt>
                <c:pt idx="55">
                  <c:v>7</c:v>
                </c:pt>
                <c:pt idx="56">
                  <c:v>29</c:v>
                </c:pt>
                <c:pt idx="57">
                  <c:v>33</c:v>
                </c:pt>
                <c:pt idx="58">
                  <c:v>17</c:v>
                </c:pt>
                <c:pt idx="59">
                  <c:v>50</c:v>
                </c:pt>
                <c:pt idx="60">
                  <c:v>31</c:v>
                </c:pt>
                <c:pt idx="61">
                  <c:v>5</c:v>
                </c:pt>
                <c:pt idx="62">
                  <c:v>36</c:v>
                </c:pt>
                <c:pt idx="63">
                  <c:v>35</c:v>
                </c:pt>
                <c:pt idx="64">
                  <c:v>4</c:v>
                </c:pt>
                <c:pt idx="65">
                  <c:v>39</c:v>
                </c:pt>
                <c:pt idx="66">
                  <c:v>30</c:v>
                </c:pt>
                <c:pt idx="67">
                  <c:v>8</c:v>
                </c:pt>
                <c:pt idx="68">
                  <c:v>38</c:v>
                </c:pt>
                <c:pt idx="69">
                  <c:v>24</c:v>
                </c:pt>
                <c:pt idx="70">
                  <c:v>3</c:v>
                </c:pt>
                <c:pt idx="71">
                  <c:v>27</c:v>
                </c:pt>
                <c:pt idx="72">
                  <c:v>27</c:v>
                </c:pt>
                <c:pt idx="73">
                  <c:v>4</c:v>
                </c:pt>
                <c:pt idx="74">
                  <c:v>31</c:v>
                </c:pt>
                <c:pt idx="75">
                  <c:v>29</c:v>
                </c:pt>
                <c:pt idx="76">
                  <c:v>3</c:v>
                </c:pt>
                <c:pt idx="77">
                  <c:v>32</c:v>
                </c:pt>
                <c:pt idx="78">
                  <c:v>34</c:v>
                </c:pt>
                <c:pt idx="79">
                  <c:v>4</c:v>
                </c:pt>
                <c:pt idx="80">
                  <c:v>38</c:v>
                </c:pt>
                <c:pt idx="81">
                  <c:v>22</c:v>
                </c:pt>
                <c:pt idx="82">
                  <c:v>9</c:v>
                </c:pt>
                <c:pt idx="83">
                  <c:v>31</c:v>
                </c:pt>
                <c:pt idx="84">
                  <c:v>7</c:v>
                </c:pt>
                <c:pt idx="85">
                  <c:v>7</c:v>
                </c:pt>
                <c:pt idx="86">
                  <c:v>14</c:v>
                </c:pt>
                <c:pt idx="87">
                  <c:v>17</c:v>
                </c:pt>
                <c:pt idx="88">
                  <c:v>12</c:v>
                </c:pt>
                <c:pt idx="89">
                  <c:v>29</c:v>
                </c:pt>
                <c:pt idx="90">
                  <c:v>8</c:v>
                </c:pt>
                <c:pt idx="91">
                  <c:v>8</c:v>
                </c:pt>
                <c:pt idx="92">
                  <c:v>16</c:v>
                </c:pt>
                <c:pt idx="93">
                  <c:v>3</c:v>
                </c:pt>
                <c:pt idx="94">
                  <c:v>7</c:v>
                </c:pt>
                <c:pt idx="95">
                  <c:v>10</c:v>
                </c:pt>
                <c:pt idx="96">
                  <c:v>13</c:v>
                </c:pt>
                <c:pt idx="97">
                  <c:v>10</c:v>
                </c:pt>
                <c:pt idx="98">
                  <c:v>23</c:v>
                </c:pt>
                <c:pt idx="99">
                  <c:v>7</c:v>
                </c:pt>
                <c:pt idx="100">
                  <c:v>14</c:v>
                </c:pt>
                <c:pt idx="101">
                  <c:v>21</c:v>
                </c:pt>
                <c:pt idx="102">
                  <c:v>9</c:v>
                </c:pt>
                <c:pt idx="103">
                  <c:v>8</c:v>
                </c:pt>
                <c:pt idx="104">
                  <c:v>17</c:v>
                </c:pt>
                <c:pt idx="105">
                  <c:v>4</c:v>
                </c:pt>
                <c:pt idx="106">
                  <c:v>9</c:v>
                </c:pt>
                <c:pt idx="107">
                  <c:v>13</c:v>
                </c:pt>
                <c:pt idx="108">
                  <c:v>1</c:v>
                </c:pt>
                <c:pt idx="109">
                  <c:v>8</c:v>
                </c:pt>
                <c:pt idx="110">
                  <c:v>9</c:v>
                </c:pt>
                <c:pt idx="111">
                  <c:v>3</c:v>
                </c:pt>
                <c:pt idx="112">
                  <c:v>10</c:v>
                </c:pt>
                <c:pt idx="113">
                  <c:v>13</c:v>
                </c:pt>
                <c:pt idx="114">
                  <c:v>1</c:v>
                </c:pt>
                <c:pt idx="115">
                  <c:v>5</c:v>
                </c:pt>
                <c:pt idx="116">
                  <c:v>6</c:v>
                </c:pt>
                <c:pt idx="117">
                  <c:v>3</c:v>
                </c:pt>
                <c:pt idx="118">
                  <c:v>4</c:v>
                </c:pt>
                <c:pt idx="119">
                  <c:v>7</c:v>
                </c:pt>
                <c:pt idx="120">
                  <c:v>3</c:v>
                </c:pt>
                <c:pt idx="121">
                  <c:v>7</c:v>
                </c:pt>
                <c:pt idx="122">
                  <c:v>10</c:v>
                </c:pt>
                <c:pt idx="123">
                  <c:v>2</c:v>
                </c:pt>
                <c:pt idx="124">
                  <c:v>7</c:v>
                </c:pt>
                <c:pt idx="125">
                  <c:v>9</c:v>
                </c:pt>
                <c:pt idx="126">
                  <c:v>1</c:v>
                </c:pt>
                <c:pt idx="127">
                  <c:v>4</c:v>
                </c:pt>
                <c:pt idx="128">
                  <c:v>5</c:v>
                </c:pt>
                <c:pt idx="129">
                  <c:v>0</c:v>
                </c:pt>
                <c:pt idx="130">
                  <c:v>8</c:v>
                </c:pt>
                <c:pt idx="131">
                  <c:v>8</c:v>
                </c:pt>
                <c:pt idx="132">
                  <c:v>1</c:v>
                </c:pt>
                <c:pt idx="133">
                  <c:v>13</c:v>
                </c:pt>
                <c:pt idx="134">
                  <c:v>14</c:v>
                </c:pt>
                <c:pt idx="135">
                  <c:v>4</c:v>
                </c:pt>
                <c:pt idx="136">
                  <c:v>7</c:v>
                </c:pt>
                <c:pt idx="137">
                  <c:v>11</c:v>
                </c:pt>
                <c:pt idx="138">
                  <c:v>2</c:v>
                </c:pt>
                <c:pt idx="139">
                  <c:v>9</c:v>
                </c:pt>
                <c:pt idx="140">
                  <c:v>11</c:v>
                </c:pt>
                <c:pt idx="141">
                  <c:v>6</c:v>
                </c:pt>
                <c:pt idx="142">
                  <c:v>8</c:v>
                </c:pt>
                <c:pt idx="143">
                  <c:v>14</c:v>
                </c:pt>
                <c:pt idx="144">
                  <c:v>3</c:v>
                </c:pt>
                <c:pt idx="145">
                  <c:v>7</c:v>
                </c:pt>
                <c:pt idx="146">
                  <c:v>10</c:v>
                </c:pt>
                <c:pt idx="147">
                  <c:v>1</c:v>
                </c:pt>
                <c:pt idx="148">
                  <c:v>10</c:v>
                </c:pt>
                <c:pt idx="149">
                  <c:v>11</c:v>
                </c:pt>
                <c:pt idx="150">
                  <c:v>2</c:v>
                </c:pt>
                <c:pt idx="151">
                  <c:v>8</c:v>
                </c:pt>
                <c:pt idx="152">
                  <c:v>10</c:v>
                </c:pt>
                <c:pt idx="153">
                  <c:v>5</c:v>
                </c:pt>
                <c:pt idx="154">
                  <c:v>7</c:v>
                </c:pt>
                <c:pt idx="155">
                  <c:v>12</c:v>
                </c:pt>
                <c:pt idx="156">
                  <c:v>2</c:v>
                </c:pt>
                <c:pt idx="157">
                  <c:v>3</c:v>
                </c:pt>
                <c:pt idx="158">
                  <c:v>5</c:v>
                </c:pt>
                <c:pt idx="159">
                  <c:v>3</c:v>
                </c:pt>
                <c:pt idx="160">
                  <c:v>5</c:v>
                </c:pt>
                <c:pt idx="161">
                  <c:v>8</c:v>
                </c:pt>
                <c:pt idx="162">
                  <c:v>3</c:v>
                </c:pt>
                <c:pt idx="163">
                  <c:v>4</c:v>
                </c:pt>
                <c:pt idx="164">
                  <c:v>7</c:v>
                </c:pt>
                <c:pt idx="165">
                  <c:v>1</c:v>
                </c:pt>
                <c:pt idx="166">
                  <c:v>10</c:v>
                </c:pt>
                <c:pt idx="167">
                  <c:v>11</c:v>
                </c:pt>
                <c:pt idx="168">
                  <c:v>0</c:v>
                </c:pt>
                <c:pt idx="169">
                  <c:v>12</c:v>
                </c:pt>
                <c:pt idx="170">
                  <c:v>12</c:v>
                </c:pt>
                <c:pt idx="171">
                  <c:v>5</c:v>
                </c:pt>
                <c:pt idx="172">
                  <c:v>11</c:v>
                </c:pt>
                <c:pt idx="173">
                  <c:v>16</c:v>
                </c:pt>
                <c:pt idx="174">
                  <c:v>1</c:v>
                </c:pt>
                <c:pt idx="175">
                  <c:v>2</c:v>
                </c:pt>
                <c:pt idx="176">
                  <c:v>3</c:v>
                </c:pt>
                <c:pt idx="177">
                  <c:v>1</c:v>
                </c:pt>
                <c:pt idx="178">
                  <c:v>7</c:v>
                </c:pt>
                <c:pt idx="179">
                  <c:v>8</c:v>
                </c:pt>
                <c:pt idx="180">
                  <c:v>1</c:v>
                </c:pt>
                <c:pt idx="181">
                  <c:v>11</c:v>
                </c:pt>
                <c:pt idx="182">
                  <c:v>12</c:v>
                </c:pt>
                <c:pt idx="183">
                  <c:v>4</c:v>
                </c:pt>
                <c:pt idx="184">
                  <c:v>9</c:v>
                </c:pt>
                <c:pt idx="185">
                  <c:v>13</c:v>
                </c:pt>
                <c:pt idx="186">
                  <c:v>4</c:v>
                </c:pt>
                <c:pt idx="187">
                  <c:v>6</c:v>
                </c:pt>
                <c:pt idx="188">
                  <c:v>10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350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95ea96b-a409-4203-a854-de7a3448f12f}"/>
      </c:ext>
    </c:extLst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2.png"/><Relationship Id="rId8" Type="http://schemas.openxmlformats.org/officeDocument/2006/relationships/image" Target="../media/image1.png"/><Relationship Id="rId7" Type="http://schemas.openxmlformats.org/officeDocument/2006/relationships/chart" Target="../charts/chart11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3" Type="http://schemas.openxmlformats.org/officeDocument/2006/relationships/image" Target="../media/image6.png"/><Relationship Id="rId12" Type="http://schemas.openxmlformats.org/officeDocument/2006/relationships/image" Target="../media/image5.png"/><Relationship Id="rId11" Type="http://schemas.openxmlformats.org/officeDocument/2006/relationships/image" Target="../media/image4.png"/><Relationship Id="rId10" Type="http://schemas.openxmlformats.org/officeDocument/2006/relationships/image" Target="../media/image3.png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9" Type="http://schemas.openxmlformats.org/officeDocument/2006/relationships/image" Target="../media/image8.png"/><Relationship Id="rId8" Type="http://schemas.openxmlformats.org/officeDocument/2006/relationships/image" Target="../media/image7.png"/><Relationship Id="rId7" Type="http://schemas.openxmlformats.org/officeDocument/2006/relationships/chart" Target="../charts/chart21.xml"/><Relationship Id="rId6" Type="http://schemas.openxmlformats.org/officeDocument/2006/relationships/chart" Target="../charts/chart20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3" Type="http://schemas.openxmlformats.org/officeDocument/2006/relationships/image" Target="../media/image12.png"/><Relationship Id="rId12" Type="http://schemas.openxmlformats.org/officeDocument/2006/relationships/image" Target="../media/image11.png"/><Relationship Id="rId11" Type="http://schemas.openxmlformats.org/officeDocument/2006/relationships/image" Target="../media/image10.png"/><Relationship Id="rId10" Type="http://schemas.openxmlformats.org/officeDocument/2006/relationships/image" Target="../media/image9.png"/><Relationship Id="rId1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4" Type="http://schemas.openxmlformats.org/officeDocument/2006/relationships/chart" Target="../charts/chart25.xml"/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23</xdr:col>
      <xdr:colOff>0</xdr:colOff>
      <xdr:row>89</xdr:row>
      <xdr:rowOff>0</xdr:rowOff>
    </xdr:from>
    <xdr:to>
      <xdr:col>28</xdr:col>
      <xdr:colOff>47625</xdr:colOff>
      <xdr:row>104</xdr:row>
      <xdr:rowOff>0</xdr:rowOff>
    </xdr:to>
    <xdr:graphicFrame>
      <xdr:nvGraphicFramePr>
        <xdr:cNvPr id="2" name="Chart"/>
        <xdr:cNvGraphicFramePr/>
      </xdr:nvGraphicFramePr>
      <xdr:xfrm>
        <a:off x="24424005" y="6535420"/>
        <a:ext cx="4797425" cy="1016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514350</xdr:colOff>
      <xdr:row>86</xdr:row>
      <xdr:rowOff>47625</xdr:rowOff>
    </xdr:from>
    <xdr:to>
      <xdr:col>38</xdr:col>
      <xdr:colOff>561975</xdr:colOff>
      <xdr:row>101</xdr:row>
      <xdr:rowOff>47625</xdr:rowOff>
    </xdr:to>
    <xdr:graphicFrame>
      <xdr:nvGraphicFramePr>
        <xdr:cNvPr id="3" name="Chart"/>
        <xdr:cNvGraphicFramePr/>
      </xdr:nvGraphicFramePr>
      <xdr:xfrm>
        <a:off x="34437955" y="6379845"/>
        <a:ext cx="4797425" cy="1016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514350</xdr:colOff>
      <xdr:row>5</xdr:row>
      <xdr:rowOff>38100</xdr:rowOff>
    </xdr:from>
    <xdr:to>
      <xdr:col>42</xdr:col>
      <xdr:colOff>952500</xdr:colOff>
      <xdr:row>20</xdr:row>
      <xdr:rowOff>38100</xdr:rowOff>
    </xdr:to>
    <xdr:graphicFrame>
      <xdr:nvGraphicFramePr>
        <xdr:cNvPr id="4" name="Chart"/>
        <xdr:cNvGraphicFramePr/>
      </xdr:nvGraphicFramePr>
      <xdr:xfrm>
        <a:off x="39187755" y="883920"/>
        <a:ext cx="4235450" cy="1016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523875</xdr:colOff>
      <xdr:row>86</xdr:row>
      <xdr:rowOff>9525</xdr:rowOff>
    </xdr:from>
    <xdr:to>
      <xdr:col>33</xdr:col>
      <xdr:colOff>571500</xdr:colOff>
      <xdr:row>101</xdr:row>
      <xdr:rowOff>9525</xdr:rowOff>
    </xdr:to>
    <xdr:graphicFrame>
      <xdr:nvGraphicFramePr>
        <xdr:cNvPr id="5" name="Chart"/>
        <xdr:cNvGraphicFramePr/>
      </xdr:nvGraphicFramePr>
      <xdr:xfrm>
        <a:off x="29697680" y="6341745"/>
        <a:ext cx="4797425" cy="1016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39</xdr:col>
      <xdr:colOff>571500</xdr:colOff>
      <xdr:row>87</xdr:row>
      <xdr:rowOff>95250</xdr:rowOff>
    </xdr:from>
    <xdr:to>
      <xdr:col>45</xdr:col>
      <xdr:colOff>219075</xdr:colOff>
      <xdr:row>103</xdr:row>
      <xdr:rowOff>114300</xdr:rowOff>
    </xdr:to>
    <xdr:graphicFrame>
      <xdr:nvGraphicFramePr>
        <xdr:cNvPr id="2" name="Chart"/>
        <xdr:cNvGraphicFramePr/>
      </xdr:nvGraphicFramePr>
      <xdr:xfrm>
        <a:off x="37965380" y="5298440"/>
        <a:ext cx="5347335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50</xdr:col>
      <xdr:colOff>228600</xdr:colOff>
      <xdr:row>87</xdr:row>
      <xdr:rowOff>104775</xdr:rowOff>
    </xdr:from>
    <xdr:to>
      <xdr:col>55</xdr:col>
      <xdr:colOff>276225</xdr:colOff>
      <xdr:row>102</xdr:row>
      <xdr:rowOff>104775</xdr:rowOff>
    </xdr:to>
    <xdr:graphicFrame>
      <xdr:nvGraphicFramePr>
        <xdr:cNvPr id="3" name="Chart"/>
        <xdr:cNvGraphicFramePr/>
      </xdr:nvGraphicFramePr>
      <xdr:xfrm>
        <a:off x="48072040" y="5298440"/>
        <a:ext cx="4797425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55</xdr:col>
      <xdr:colOff>400050</xdr:colOff>
      <xdr:row>90</xdr:row>
      <xdr:rowOff>19050</xdr:rowOff>
    </xdr:from>
    <xdr:to>
      <xdr:col>60</xdr:col>
      <xdr:colOff>847725</xdr:colOff>
      <xdr:row>105</xdr:row>
      <xdr:rowOff>19050</xdr:rowOff>
    </xdr:to>
    <xdr:graphicFrame>
      <xdr:nvGraphicFramePr>
        <xdr:cNvPr id="4" name="Chart"/>
        <xdr:cNvGraphicFramePr/>
      </xdr:nvGraphicFramePr>
      <xdr:xfrm>
        <a:off x="52993290" y="5298440"/>
        <a:ext cx="5197475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45</xdr:col>
      <xdr:colOff>47625</xdr:colOff>
      <xdr:row>87</xdr:row>
      <xdr:rowOff>114300</xdr:rowOff>
    </xdr:from>
    <xdr:to>
      <xdr:col>50</xdr:col>
      <xdr:colOff>266700</xdr:colOff>
      <xdr:row>102</xdr:row>
      <xdr:rowOff>114300</xdr:rowOff>
    </xdr:to>
    <xdr:graphicFrame>
      <xdr:nvGraphicFramePr>
        <xdr:cNvPr id="5" name="Chart"/>
        <xdr:cNvGraphicFramePr/>
      </xdr:nvGraphicFramePr>
      <xdr:xfrm>
        <a:off x="43141265" y="5298440"/>
        <a:ext cx="4968875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971550</xdr:colOff>
      <xdr:row>57</xdr:row>
      <xdr:rowOff>47625</xdr:rowOff>
    </xdr:from>
    <xdr:to>
      <xdr:col>34</xdr:col>
      <xdr:colOff>619125</xdr:colOff>
      <xdr:row>104</xdr:row>
      <xdr:rowOff>95250</xdr:rowOff>
    </xdr:to>
    <xdr:graphicFrame>
      <xdr:nvGraphicFramePr>
        <xdr:cNvPr id="6" name="Chart"/>
        <xdr:cNvGraphicFramePr/>
      </xdr:nvGraphicFramePr>
      <xdr:xfrm>
        <a:off x="25994360" y="5298440"/>
        <a:ext cx="7268845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34</xdr:col>
      <xdr:colOff>609600</xdr:colOff>
      <xdr:row>87</xdr:row>
      <xdr:rowOff>85725</xdr:rowOff>
    </xdr:from>
    <xdr:to>
      <xdr:col>39</xdr:col>
      <xdr:colOff>657225</xdr:colOff>
      <xdr:row>102</xdr:row>
      <xdr:rowOff>85725</xdr:rowOff>
    </xdr:to>
    <xdr:graphicFrame>
      <xdr:nvGraphicFramePr>
        <xdr:cNvPr id="7" name="Chart"/>
        <xdr:cNvGraphicFramePr/>
      </xdr:nvGraphicFramePr>
      <xdr:xfrm>
        <a:off x="33253680" y="5298440"/>
        <a:ext cx="4797425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60</xdr:col>
      <xdr:colOff>981075</xdr:colOff>
      <xdr:row>90</xdr:row>
      <xdr:rowOff>19050</xdr:rowOff>
    </xdr:from>
    <xdr:to>
      <xdr:col>66</xdr:col>
      <xdr:colOff>923925</xdr:colOff>
      <xdr:row>106</xdr:row>
      <xdr:rowOff>47625</xdr:rowOff>
    </xdr:to>
    <xdr:graphicFrame>
      <xdr:nvGraphicFramePr>
        <xdr:cNvPr id="8" name="Chart"/>
        <xdr:cNvGraphicFramePr/>
      </xdr:nvGraphicFramePr>
      <xdr:xfrm>
        <a:off x="58293000" y="5298440"/>
        <a:ext cx="5673725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9</xdr:col>
      <xdr:colOff>38100</xdr:colOff>
      <xdr:row>0</xdr:row>
      <xdr:rowOff>38100</xdr:rowOff>
    </xdr:from>
    <xdr:to>
      <xdr:col>10</xdr:col>
      <xdr:colOff>0</xdr:colOff>
      <xdr:row>1</xdr:row>
      <xdr:rowOff>0</xdr:rowOff>
    </xdr:to>
    <xdr:pic>
      <xdr:nvPicPr>
        <xdr:cNvPr id="9" name="/xl/media/image2.jpeg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933180" y="38100"/>
          <a:ext cx="911860" cy="2301875"/>
        </a:xfrm>
        <a:prstGeom prst="rect">
          <a:avLst/>
        </a:prstGeom>
      </xdr:spPr>
    </xdr:pic>
    <xdr:clientData/>
  </xdr:twoCellAnchor>
  <xdr:twoCellAnchor editAs="oneCell">
    <xdr:from>
      <xdr:col>12</xdr:col>
      <xdr:colOff>38100</xdr:colOff>
      <xdr:row>0</xdr:row>
      <xdr:rowOff>38100</xdr:rowOff>
    </xdr:from>
    <xdr:to>
      <xdr:col>13</xdr:col>
      <xdr:colOff>0</xdr:colOff>
      <xdr:row>1</xdr:row>
      <xdr:rowOff>0</xdr:rowOff>
    </xdr:to>
    <xdr:pic>
      <xdr:nvPicPr>
        <xdr:cNvPr id="10" name="/xl/media/image3.jpeg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1783060" y="38100"/>
          <a:ext cx="911860" cy="2301875"/>
        </a:xfrm>
        <a:prstGeom prst="rect">
          <a:avLst/>
        </a:prstGeom>
      </xdr:spPr>
    </xdr:pic>
    <xdr:clientData/>
  </xdr:twoCellAnchor>
  <xdr:twoCellAnchor editAs="oneCell">
    <xdr:from>
      <xdr:col>15</xdr:col>
      <xdr:colOff>38100</xdr:colOff>
      <xdr:row>0</xdr:row>
      <xdr:rowOff>38100</xdr:rowOff>
    </xdr:from>
    <xdr:to>
      <xdr:col>16</xdr:col>
      <xdr:colOff>0</xdr:colOff>
      <xdr:row>1</xdr:row>
      <xdr:rowOff>0</xdr:rowOff>
    </xdr:to>
    <xdr:pic>
      <xdr:nvPicPr>
        <xdr:cNvPr id="11" name="/xl/media/image4.jpeg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4632940" y="38100"/>
          <a:ext cx="911860" cy="2301875"/>
        </a:xfrm>
        <a:prstGeom prst="rect">
          <a:avLst/>
        </a:prstGeom>
      </xdr:spPr>
    </xdr:pic>
    <xdr:clientData/>
  </xdr:twoCellAnchor>
  <xdr:twoCellAnchor editAs="oneCell">
    <xdr:from>
      <xdr:col>22</xdr:col>
      <xdr:colOff>38100</xdr:colOff>
      <xdr:row>0</xdr:row>
      <xdr:rowOff>38100</xdr:rowOff>
    </xdr:from>
    <xdr:to>
      <xdr:col>23</xdr:col>
      <xdr:colOff>0</xdr:colOff>
      <xdr:row>1</xdr:row>
      <xdr:rowOff>0</xdr:rowOff>
    </xdr:to>
    <xdr:pic>
      <xdr:nvPicPr>
        <xdr:cNvPr id="12" name="/xl/media/image5.jpeg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1282660" y="38100"/>
          <a:ext cx="911860" cy="2301875"/>
        </a:xfrm>
        <a:prstGeom prst="rect">
          <a:avLst/>
        </a:prstGeom>
      </xdr:spPr>
    </xdr:pic>
    <xdr:clientData/>
  </xdr:twoCellAnchor>
  <xdr:twoCellAnchor editAs="oneCell">
    <xdr:from>
      <xdr:col>25</xdr:col>
      <xdr:colOff>38100</xdr:colOff>
      <xdr:row>0</xdr:row>
      <xdr:rowOff>38100</xdr:rowOff>
    </xdr:from>
    <xdr:to>
      <xdr:col>26</xdr:col>
      <xdr:colOff>0</xdr:colOff>
      <xdr:row>1</xdr:row>
      <xdr:rowOff>0</xdr:rowOff>
    </xdr:to>
    <xdr:pic>
      <xdr:nvPicPr>
        <xdr:cNvPr id="13" name="/xl/media/image6.jpeg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4132540" y="38100"/>
          <a:ext cx="911860" cy="2301875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1</xdr:row>
      <xdr:rowOff>38100</xdr:rowOff>
    </xdr:from>
    <xdr:to>
      <xdr:col>10</xdr:col>
      <xdr:colOff>0</xdr:colOff>
      <xdr:row>2</xdr:row>
      <xdr:rowOff>0</xdr:rowOff>
    </xdr:to>
    <xdr:pic>
      <xdr:nvPicPr>
        <xdr:cNvPr id="14" name="/xl/media/image7.jpeg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8933180" y="2378075"/>
          <a:ext cx="911860" cy="23031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323850</xdr:colOff>
      <xdr:row>85</xdr:row>
      <xdr:rowOff>114300</xdr:rowOff>
    </xdr:from>
    <xdr:to>
      <xdr:col>20</xdr:col>
      <xdr:colOff>371475</xdr:colOff>
      <xdr:row>100</xdr:row>
      <xdr:rowOff>114300</xdr:rowOff>
    </xdr:to>
    <xdr:graphicFrame>
      <xdr:nvGraphicFramePr>
        <xdr:cNvPr id="2" name="Chart"/>
        <xdr:cNvGraphicFramePr/>
      </xdr:nvGraphicFramePr>
      <xdr:xfrm>
        <a:off x="14832330" y="1193800"/>
        <a:ext cx="4797425" cy="304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457200</xdr:colOff>
      <xdr:row>85</xdr:row>
      <xdr:rowOff>142875</xdr:rowOff>
    </xdr:from>
    <xdr:to>
      <xdr:col>25</xdr:col>
      <xdr:colOff>504825</xdr:colOff>
      <xdr:row>100</xdr:row>
      <xdr:rowOff>142875</xdr:rowOff>
    </xdr:to>
    <xdr:graphicFrame>
      <xdr:nvGraphicFramePr>
        <xdr:cNvPr id="3" name="Chart"/>
        <xdr:cNvGraphicFramePr/>
      </xdr:nvGraphicFramePr>
      <xdr:xfrm>
        <a:off x="19715480" y="1222375"/>
        <a:ext cx="4797425" cy="304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</xdr:colOff>
      <xdr:row>85</xdr:row>
      <xdr:rowOff>38100</xdr:rowOff>
    </xdr:from>
    <xdr:to>
      <xdr:col>15</xdr:col>
      <xdr:colOff>76200</xdr:colOff>
      <xdr:row>99</xdr:row>
      <xdr:rowOff>238125</xdr:rowOff>
    </xdr:to>
    <xdr:graphicFrame>
      <xdr:nvGraphicFramePr>
        <xdr:cNvPr id="4" name="Chart"/>
        <xdr:cNvGraphicFramePr/>
      </xdr:nvGraphicFramePr>
      <xdr:xfrm>
        <a:off x="9777730" y="1117600"/>
        <a:ext cx="4806950" cy="3009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32</xdr:col>
      <xdr:colOff>66675</xdr:colOff>
      <xdr:row>132</xdr:row>
      <xdr:rowOff>0</xdr:rowOff>
    </xdr:from>
    <xdr:to>
      <xdr:col>37</xdr:col>
      <xdr:colOff>400050</xdr:colOff>
      <xdr:row>143</xdr:row>
      <xdr:rowOff>123825</xdr:rowOff>
    </xdr:to>
    <xdr:graphicFrame>
      <xdr:nvGraphicFramePr>
        <xdr:cNvPr id="2" name="Chart"/>
        <xdr:cNvGraphicFramePr/>
      </xdr:nvGraphicFramePr>
      <xdr:xfrm>
        <a:off x="30465395" y="14347825"/>
        <a:ext cx="5083175" cy="39262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62</xdr:col>
      <xdr:colOff>742950</xdr:colOff>
      <xdr:row>86</xdr:row>
      <xdr:rowOff>142875</xdr:rowOff>
    </xdr:from>
    <xdr:to>
      <xdr:col>67</xdr:col>
      <xdr:colOff>809625</xdr:colOff>
      <xdr:row>101</xdr:row>
      <xdr:rowOff>104775</xdr:rowOff>
    </xdr:to>
    <xdr:graphicFrame>
      <xdr:nvGraphicFramePr>
        <xdr:cNvPr id="3" name="Chart"/>
        <xdr:cNvGraphicFramePr/>
      </xdr:nvGraphicFramePr>
      <xdr:xfrm>
        <a:off x="59640470" y="2014220"/>
        <a:ext cx="4816475" cy="3009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657225</xdr:colOff>
      <xdr:row>86</xdr:row>
      <xdr:rowOff>76200</xdr:rowOff>
    </xdr:from>
    <xdr:to>
      <xdr:col>42</xdr:col>
      <xdr:colOff>438150</xdr:colOff>
      <xdr:row>101</xdr:row>
      <xdr:rowOff>76200</xdr:rowOff>
    </xdr:to>
    <xdr:graphicFrame>
      <xdr:nvGraphicFramePr>
        <xdr:cNvPr id="4" name="Chart"/>
        <xdr:cNvGraphicFramePr/>
      </xdr:nvGraphicFramePr>
      <xdr:xfrm>
        <a:off x="35805745" y="1947545"/>
        <a:ext cx="4530725" cy="304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57</xdr:col>
      <xdr:colOff>714375</xdr:colOff>
      <xdr:row>86</xdr:row>
      <xdr:rowOff>123825</xdr:rowOff>
    </xdr:from>
    <xdr:to>
      <xdr:col>62</xdr:col>
      <xdr:colOff>762000</xdr:colOff>
      <xdr:row>101</xdr:row>
      <xdr:rowOff>123825</xdr:rowOff>
    </xdr:to>
    <xdr:graphicFrame>
      <xdr:nvGraphicFramePr>
        <xdr:cNvPr id="5" name="Chart"/>
        <xdr:cNvGraphicFramePr/>
      </xdr:nvGraphicFramePr>
      <xdr:xfrm>
        <a:off x="54862095" y="1995170"/>
        <a:ext cx="4797425" cy="304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695325</xdr:colOff>
      <xdr:row>86</xdr:row>
      <xdr:rowOff>114300</xdr:rowOff>
    </xdr:from>
    <xdr:to>
      <xdr:col>57</xdr:col>
      <xdr:colOff>742950</xdr:colOff>
      <xdr:row>101</xdr:row>
      <xdr:rowOff>114300</xdr:rowOff>
    </xdr:to>
    <xdr:graphicFrame>
      <xdr:nvGraphicFramePr>
        <xdr:cNvPr id="6" name="Chart"/>
        <xdr:cNvGraphicFramePr/>
      </xdr:nvGraphicFramePr>
      <xdr:xfrm>
        <a:off x="50093245" y="1985645"/>
        <a:ext cx="4797425" cy="304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42</xdr:col>
      <xdr:colOff>304800</xdr:colOff>
      <xdr:row>86</xdr:row>
      <xdr:rowOff>95250</xdr:rowOff>
    </xdr:from>
    <xdr:to>
      <xdr:col>47</xdr:col>
      <xdr:colOff>714375</xdr:colOff>
      <xdr:row>104</xdr:row>
      <xdr:rowOff>9525</xdr:rowOff>
    </xdr:to>
    <xdr:graphicFrame>
      <xdr:nvGraphicFramePr>
        <xdr:cNvPr id="7" name="Chart"/>
        <xdr:cNvGraphicFramePr/>
      </xdr:nvGraphicFramePr>
      <xdr:xfrm>
        <a:off x="40203120" y="1966595"/>
        <a:ext cx="5159375" cy="3571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32</xdr:col>
      <xdr:colOff>47625</xdr:colOff>
      <xdr:row>86</xdr:row>
      <xdr:rowOff>47625</xdr:rowOff>
    </xdr:from>
    <xdr:to>
      <xdr:col>37</xdr:col>
      <xdr:colOff>723900</xdr:colOff>
      <xdr:row>102</xdr:row>
      <xdr:rowOff>133350</xdr:rowOff>
    </xdr:to>
    <xdr:graphicFrame>
      <xdr:nvGraphicFramePr>
        <xdr:cNvPr id="8" name="Chart"/>
        <xdr:cNvGraphicFramePr/>
      </xdr:nvGraphicFramePr>
      <xdr:xfrm>
        <a:off x="30446345" y="1918970"/>
        <a:ext cx="5426075" cy="3336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9</xdr:col>
      <xdr:colOff>38100</xdr:colOff>
      <xdr:row>0</xdr:row>
      <xdr:rowOff>38100</xdr:rowOff>
    </xdr:from>
    <xdr:to>
      <xdr:col>10</xdr:col>
      <xdr:colOff>0</xdr:colOff>
      <xdr:row>1</xdr:row>
      <xdr:rowOff>0</xdr:rowOff>
    </xdr:to>
    <xdr:pic>
      <xdr:nvPicPr>
        <xdr:cNvPr id="9" name="/xl/media/image8.jpeg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587740" y="38100"/>
          <a:ext cx="911860" cy="809625"/>
        </a:xfrm>
        <a:prstGeom prst="rect">
          <a:avLst/>
        </a:prstGeom>
      </xdr:spPr>
    </xdr:pic>
    <xdr:clientData/>
  </xdr:twoCellAnchor>
  <xdr:twoCellAnchor editAs="oneCell">
    <xdr:from>
      <xdr:col>12</xdr:col>
      <xdr:colOff>38100</xdr:colOff>
      <xdr:row>0</xdr:row>
      <xdr:rowOff>38100</xdr:rowOff>
    </xdr:from>
    <xdr:to>
      <xdr:col>13</xdr:col>
      <xdr:colOff>0</xdr:colOff>
      <xdr:row>1</xdr:row>
      <xdr:rowOff>0</xdr:rowOff>
    </xdr:to>
    <xdr:pic>
      <xdr:nvPicPr>
        <xdr:cNvPr id="10" name="/xl/media/image9.jpeg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1437620" y="38100"/>
          <a:ext cx="911860" cy="809625"/>
        </a:xfrm>
        <a:prstGeom prst="rect">
          <a:avLst/>
        </a:prstGeom>
      </xdr:spPr>
    </xdr:pic>
    <xdr:clientData/>
  </xdr:twoCellAnchor>
  <xdr:twoCellAnchor editAs="oneCell">
    <xdr:from>
      <xdr:col>15</xdr:col>
      <xdr:colOff>38100</xdr:colOff>
      <xdr:row>0</xdr:row>
      <xdr:rowOff>38100</xdr:rowOff>
    </xdr:from>
    <xdr:to>
      <xdr:col>16</xdr:col>
      <xdr:colOff>0</xdr:colOff>
      <xdr:row>1</xdr:row>
      <xdr:rowOff>0</xdr:rowOff>
    </xdr:to>
    <xdr:pic>
      <xdr:nvPicPr>
        <xdr:cNvPr id="11" name="/xl/media/image10.jpeg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4287500" y="38100"/>
          <a:ext cx="911860" cy="809625"/>
        </a:xfrm>
        <a:prstGeom prst="rect">
          <a:avLst/>
        </a:prstGeom>
      </xdr:spPr>
    </xdr:pic>
    <xdr:clientData/>
  </xdr:twoCellAnchor>
  <xdr:twoCellAnchor editAs="oneCell">
    <xdr:from>
      <xdr:col>22</xdr:col>
      <xdr:colOff>38100</xdr:colOff>
      <xdr:row>0</xdr:row>
      <xdr:rowOff>38100</xdr:rowOff>
    </xdr:from>
    <xdr:to>
      <xdr:col>23</xdr:col>
      <xdr:colOff>0</xdr:colOff>
      <xdr:row>1</xdr:row>
      <xdr:rowOff>0</xdr:rowOff>
    </xdr:to>
    <xdr:pic>
      <xdr:nvPicPr>
        <xdr:cNvPr id="12" name="/xl/media/image11.jpeg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0937220" y="38100"/>
          <a:ext cx="911860" cy="809625"/>
        </a:xfrm>
        <a:prstGeom prst="rect">
          <a:avLst/>
        </a:prstGeom>
      </xdr:spPr>
    </xdr:pic>
    <xdr:clientData/>
  </xdr:twoCellAnchor>
  <xdr:twoCellAnchor editAs="oneCell">
    <xdr:from>
      <xdr:col>25</xdr:col>
      <xdr:colOff>38100</xdr:colOff>
      <xdr:row>0</xdr:row>
      <xdr:rowOff>38100</xdr:rowOff>
    </xdr:from>
    <xdr:to>
      <xdr:col>26</xdr:col>
      <xdr:colOff>0</xdr:colOff>
      <xdr:row>1</xdr:row>
      <xdr:rowOff>0</xdr:rowOff>
    </xdr:to>
    <xdr:pic>
      <xdr:nvPicPr>
        <xdr:cNvPr id="13" name="/xl/media/image12.jpeg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3787100" y="38100"/>
          <a:ext cx="911860" cy="809625"/>
        </a:xfrm>
        <a:prstGeom prst="rect">
          <a:avLst/>
        </a:prstGeom>
      </xdr:spPr>
    </xdr:pic>
    <xdr:clientData/>
  </xdr:twoCellAnchor>
  <xdr:twoCellAnchor editAs="oneCell">
    <xdr:from>
      <xdr:col>28</xdr:col>
      <xdr:colOff>38100</xdr:colOff>
      <xdr:row>0</xdr:row>
      <xdr:rowOff>38100</xdr:rowOff>
    </xdr:from>
    <xdr:to>
      <xdr:col>29</xdr:col>
      <xdr:colOff>0</xdr:colOff>
      <xdr:row>1</xdr:row>
      <xdr:rowOff>0</xdr:rowOff>
    </xdr:to>
    <xdr:pic>
      <xdr:nvPicPr>
        <xdr:cNvPr id="14" name="/xl/media/image13.jpeg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6636980" y="38100"/>
          <a:ext cx="911860" cy="8096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28575</xdr:colOff>
      <xdr:row>50</xdr:row>
      <xdr:rowOff>161925</xdr:rowOff>
    </xdr:from>
    <xdr:to>
      <xdr:col>19</xdr:col>
      <xdr:colOff>76200</xdr:colOff>
      <xdr:row>65</xdr:row>
      <xdr:rowOff>161925</xdr:rowOff>
    </xdr:to>
    <xdr:graphicFrame>
      <xdr:nvGraphicFramePr>
        <xdr:cNvPr id="2" name="Chart"/>
        <xdr:cNvGraphicFramePr/>
      </xdr:nvGraphicFramePr>
      <xdr:xfrm>
        <a:off x="14364335" y="10713085"/>
        <a:ext cx="4797425" cy="3149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19050</xdr:colOff>
      <xdr:row>98</xdr:row>
      <xdr:rowOff>57150</xdr:rowOff>
    </xdr:from>
    <xdr:to>
      <xdr:col>19</xdr:col>
      <xdr:colOff>66675</xdr:colOff>
      <xdr:row>113</xdr:row>
      <xdr:rowOff>57150</xdr:rowOff>
    </xdr:to>
    <xdr:graphicFrame>
      <xdr:nvGraphicFramePr>
        <xdr:cNvPr id="3" name="Chart"/>
        <xdr:cNvGraphicFramePr/>
      </xdr:nvGraphicFramePr>
      <xdr:xfrm>
        <a:off x="14354810" y="20687030"/>
        <a:ext cx="4797425" cy="3149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28575</xdr:colOff>
      <xdr:row>143</xdr:row>
      <xdr:rowOff>152400</xdr:rowOff>
    </xdr:from>
    <xdr:to>
      <xdr:col>19</xdr:col>
      <xdr:colOff>76200</xdr:colOff>
      <xdr:row>158</xdr:row>
      <xdr:rowOff>152400</xdr:rowOff>
    </xdr:to>
    <xdr:graphicFrame>
      <xdr:nvGraphicFramePr>
        <xdr:cNvPr id="4" name="Chart"/>
        <xdr:cNvGraphicFramePr/>
      </xdr:nvGraphicFramePr>
      <xdr:xfrm>
        <a:off x="14364335" y="30231080"/>
        <a:ext cx="4797425" cy="3149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5</xdr:row>
      <xdr:rowOff>47625</xdr:rowOff>
    </xdr:from>
    <xdr:to>
      <xdr:col>21</xdr:col>
      <xdr:colOff>628650</xdr:colOff>
      <xdr:row>22</xdr:row>
      <xdr:rowOff>57150</xdr:rowOff>
    </xdr:to>
    <xdr:graphicFrame>
      <xdr:nvGraphicFramePr>
        <xdr:cNvPr id="5" name="Chart"/>
        <xdr:cNvGraphicFramePr/>
      </xdr:nvGraphicFramePr>
      <xdr:xfrm>
        <a:off x="14335760" y="1149985"/>
        <a:ext cx="7278370" cy="35858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J511"/>
  <sheetViews>
    <sheetView topLeftCell="A99" workbookViewId="0">
      <selection activeCell="E168" sqref="E168:E174"/>
    </sheetView>
  </sheetViews>
  <sheetFormatPr defaultColWidth="11" defaultRowHeight="17.6"/>
  <cols>
    <col min="1" max="1" width="14" customWidth="1"/>
    <col min="2" max="4" width="11" customWidth="1"/>
    <col min="5" max="10" width="12" customWidth="1"/>
    <col min="11" max="11" width="18.9926470588235" customWidth="1"/>
    <col min="12" max="14" width="12" customWidth="1"/>
    <col min="15" max="15" width="14.8235294117647" customWidth="1"/>
    <col min="16" max="16" width="10" customWidth="1"/>
    <col min="17" max="17" width="11" customWidth="1"/>
    <col min="18" max="18" width="10" customWidth="1"/>
    <col min="19" max="19" width="12" customWidth="1"/>
    <col min="20" max="20" width="16" customWidth="1"/>
    <col min="21" max="22" width="12" customWidth="1"/>
    <col min="29" max="34" width="11" customWidth="1"/>
    <col min="44" max="54" width="11" customWidth="1"/>
  </cols>
  <sheetData>
    <row r="1" ht="18" customHeight="1" spans="1:21">
      <c r="A1" s="1"/>
      <c r="C1" s="2" t="s">
        <v>0</v>
      </c>
      <c r="D1" s="2" t="s">
        <v>0</v>
      </c>
      <c r="E1" s="2"/>
      <c r="F1" s="2"/>
      <c r="G1" s="2" t="s">
        <v>0</v>
      </c>
      <c r="H1" s="2"/>
      <c r="I1" s="2" t="s">
        <v>0</v>
      </c>
      <c r="J1" s="2"/>
      <c r="K1" s="2" t="s">
        <v>1</v>
      </c>
      <c r="L1" s="2" t="s">
        <v>1</v>
      </c>
      <c r="M1" s="2" t="s">
        <v>2</v>
      </c>
      <c r="N1" s="2" t="s">
        <v>2</v>
      </c>
      <c r="O1" s="2" t="s">
        <v>3</v>
      </c>
      <c r="P1" s="2" t="s">
        <v>3</v>
      </c>
      <c r="Q1" s="2" t="s">
        <v>2</v>
      </c>
      <c r="R1" s="2" t="s">
        <v>2</v>
      </c>
      <c r="S1" s="2" t="s">
        <v>4</v>
      </c>
      <c r="T1" s="2" t="s">
        <v>5</v>
      </c>
      <c r="U1" s="2" t="s">
        <v>6</v>
      </c>
    </row>
    <row r="2" spans="1:22">
      <c r="A2" s="3"/>
      <c r="B2" s="4"/>
      <c r="C2" s="5" t="s">
        <v>7</v>
      </c>
      <c r="D2" s="66"/>
      <c r="E2" s="67"/>
      <c r="F2" s="67"/>
      <c r="G2" s="67" t="s">
        <v>8</v>
      </c>
      <c r="H2" s="67"/>
      <c r="I2" s="67"/>
      <c r="J2" s="67"/>
      <c r="K2" s="10" t="s">
        <v>9</v>
      </c>
      <c r="L2" s="10"/>
      <c r="M2" s="10"/>
      <c r="N2" s="10"/>
      <c r="O2" s="14" t="s">
        <v>10</v>
      </c>
      <c r="P2" s="14"/>
      <c r="Q2" s="14"/>
      <c r="R2" s="14"/>
      <c r="S2" s="70" t="s">
        <v>11</v>
      </c>
      <c r="T2" s="71"/>
      <c r="U2" s="71"/>
      <c r="V2" s="71"/>
    </row>
    <row r="3" ht="31" spans="1:22">
      <c r="A3" s="3" t="s">
        <v>12</v>
      </c>
      <c r="B3" s="4" t="s">
        <v>13</v>
      </c>
      <c r="C3" s="6" t="s">
        <v>14</v>
      </c>
      <c r="D3" s="6" t="s">
        <v>15</v>
      </c>
      <c r="E3" s="68" t="s">
        <v>16</v>
      </c>
      <c r="F3" s="68" t="s">
        <v>17</v>
      </c>
      <c r="G3" s="68" t="s">
        <v>18</v>
      </c>
      <c r="H3" s="68" t="s">
        <v>19</v>
      </c>
      <c r="I3" s="68" t="s">
        <v>20</v>
      </c>
      <c r="J3" s="68" t="s">
        <v>21</v>
      </c>
      <c r="K3" s="11" t="s">
        <v>22</v>
      </c>
      <c r="L3" s="11" t="s">
        <v>23</v>
      </c>
      <c r="M3" s="11" t="s">
        <v>24</v>
      </c>
      <c r="N3" s="11" t="s">
        <v>25</v>
      </c>
      <c r="O3" s="15" t="s">
        <v>26</v>
      </c>
      <c r="P3" s="15" t="s">
        <v>27</v>
      </c>
      <c r="Q3" s="15" t="s">
        <v>24</v>
      </c>
      <c r="R3" s="15" t="s">
        <v>25</v>
      </c>
      <c r="S3" s="72" t="s">
        <v>28</v>
      </c>
      <c r="T3" s="72" t="s">
        <v>29</v>
      </c>
      <c r="U3" s="72" t="s">
        <v>30</v>
      </c>
      <c r="V3" s="72" t="s">
        <v>31</v>
      </c>
    </row>
    <row r="4" ht="16" hidden="1" customHeight="1" spans="1:22">
      <c r="A4" s="1" t="s">
        <v>32</v>
      </c>
      <c r="B4" s="7" t="s">
        <v>33</v>
      </c>
      <c r="C4" s="17">
        <v>64.2</v>
      </c>
      <c r="D4" s="17">
        <v>58</v>
      </c>
      <c r="E4" s="69">
        <f t="shared" ref="E4:E159" si="0">I4-D4</f>
        <v>65</v>
      </c>
      <c r="F4" s="65">
        <f t="shared" ref="F4:F159" si="1">D4/I4</f>
        <v>0.471544715447154</v>
      </c>
      <c r="G4" s="17">
        <v>7</v>
      </c>
      <c r="H4" s="18">
        <f t="shared" ref="H4:H159" si="2">G4/D4</f>
        <v>0.120689655172414</v>
      </c>
      <c r="I4" s="17">
        <v>123</v>
      </c>
      <c r="J4" s="18">
        <f t="shared" ref="J4:J159" si="3">C4/I4</f>
        <v>0.521951219512195</v>
      </c>
      <c r="K4" s="12"/>
      <c r="L4" s="12"/>
      <c r="M4" s="2"/>
      <c r="O4" s="9"/>
      <c r="P4" s="9"/>
      <c r="Q4" s="2"/>
      <c r="S4" s="17">
        <v>0.8</v>
      </c>
      <c r="T4" s="17">
        <v>763.8</v>
      </c>
      <c r="U4" s="17" t="s">
        <v>34</v>
      </c>
      <c r="V4" s="49"/>
    </row>
    <row r="5" ht="16" hidden="1" customHeight="1" spans="1:22">
      <c r="A5" s="1" t="s">
        <v>32</v>
      </c>
      <c r="B5" s="7" t="s">
        <v>35</v>
      </c>
      <c r="C5" s="17">
        <v>78.4</v>
      </c>
      <c r="D5" s="17">
        <v>37.4</v>
      </c>
      <c r="E5" s="69">
        <f t="shared" si="0"/>
        <v>63.6</v>
      </c>
      <c r="F5" s="65">
        <f t="shared" si="1"/>
        <v>0.37029702970297</v>
      </c>
      <c r="G5" s="17">
        <v>5.8</v>
      </c>
      <c r="H5" s="18">
        <f t="shared" si="2"/>
        <v>0.155080213903743</v>
      </c>
      <c r="I5" s="17">
        <v>101</v>
      </c>
      <c r="J5" s="18">
        <f t="shared" si="3"/>
        <v>0.776237623762376</v>
      </c>
      <c r="K5" s="12"/>
      <c r="L5" s="12"/>
      <c r="M5" s="2"/>
      <c r="O5" s="9"/>
      <c r="P5" s="9"/>
      <c r="Q5" s="2"/>
      <c r="S5" s="17">
        <v>2.6</v>
      </c>
      <c r="T5" s="17">
        <v>615.2</v>
      </c>
      <c r="U5" s="17" t="s">
        <v>34</v>
      </c>
      <c r="V5" s="49"/>
    </row>
    <row r="6" ht="16" customHeight="1" spans="1:22">
      <c r="A6" s="1" t="s">
        <v>32</v>
      </c>
      <c r="B6" s="7" t="s">
        <v>36</v>
      </c>
      <c r="C6" s="9">
        <f>C4+C5</f>
        <v>142.6</v>
      </c>
      <c r="D6" s="9">
        <f>D4+D5</f>
        <v>95.4</v>
      </c>
      <c r="E6" s="69">
        <f t="shared" si="0"/>
        <v>128.6</v>
      </c>
      <c r="F6" s="65">
        <f t="shared" si="1"/>
        <v>0.425892857142857</v>
      </c>
      <c r="G6" s="9">
        <f>G4+G5</f>
        <v>12.8</v>
      </c>
      <c r="H6" s="18">
        <f t="shared" si="2"/>
        <v>0.134171907756813</v>
      </c>
      <c r="I6" s="9">
        <f>I4+I5</f>
        <v>224</v>
      </c>
      <c r="J6" s="18">
        <f t="shared" si="3"/>
        <v>0.636607142857143</v>
      </c>
      <c r="K6" s="12"/>
      <c r="L6" s="12"/>
      <c r="M6" s="2"/>
      <c r="O6" s="9"/>
      <c r="P6" s="9"/>
      <c r="Q6" s="2"/>
      <c r="S6" s="9">
        <f>S4+S5</f>
        <v>3.4</v>
      </c>
      <c r="T6" s="9">
        <f>T4+T5</f>
        <v>1379</v>
      </c>
      <c r="U6" s="9"/>
      <c r="V6" s="49"/>
    </row>
    <row r="7" ht="16" hidden="1" customHeight="1" spans="1:22">
      <c r="A7" s="1" t="s">
        <v>37</v>
      </c>
      <c r="B7" s="7" t="s">
        <v>33</v>
      </c>
      <c r="C7" s="9">
        <v>75</v>
      </c>
      <c r="D7" s="9">
        <v>60</v>
      </c>
      <c r="E7" s="69">
        <f t="shared" si="0"/>
        <v>67.2</v>
      </c>
      <c r="F7" s="65">
        <f t="shared" si="1"/>
        <v>0.471698113207547</v>
      </c>
      <c r="G7" s="9">
        <v>6.6</v>
      </c>
      <c r="H7" s="18">
        <f t="shared" si="2"/>
        <v>0.11</v>
      </c>
      <c r="I7" s="9">
        <v>127.2</v>
      </c>
      <c r="J7" s="18">
        <f t="shared" si="3"/>
        <v>0.589622641509434</v>
      </c>
      <c r="K7" s="12"/>
      <c r="L7" s="12"/>
      <c r="M7" s="2"/>
      <c r="O7" s="9"/>
      <c r="P7" s="9"/>
      <c r="Q7" s="2"/>
      <c r="S7" s="9">
        <v>1.4</v>
      </c>
      <c r="T7" s="9">
        <v>795</v>
      </c>
      <c r="U7" s="17" t="s">
        <v>34</v>
      </c>
      <c r="V7" s="49"/>
    </row>
    <row r="8" ht="16" hidden="1" customHeight="1" spans="1:22">
      <c r="A8" s="1" t="s">
        <v>37</v>
      </c>
      <c r="B8" s="7" t="s">
        <v>35</v>
      </c>
      <c r="C8" s="9">
        <v>96.2</v>
      </c>
      <c r="D8" s="9">
        <v>46.6</v>
      </c>
      <c r="E8" s="69">
        <f t="shared" si="0"/>
        <v>61.4</v>
      </c>
      <c r="F8" s="65">
        <f t="shared" si="1"/>
        <v>0.431481481481482</v>
      </c>
      <c r="G8" s="9">
        <v>10.8</v>
      </c>
      <c r="H8" s="18">
        <f t="shared" si="2"/>
        <v>0.231759656652361</v>
      </c>
      <c r="I8" s="9">
        <v>108</v>
      </c>
      <c r="J8" s="18">
        <f t="shared" si="3"/>
        <v>0.890740740740741</v>
      </c>
      <c r="K8" s="12"/>
      <c r="L8" s="12"/>
      <c r="M8" s="2"/>
      <c r="O8" s="9"/>
      <c r="P8" s="9"/>
      <c r="Q8" s="2"/>
      <c r="S8" s="9">
        <v>1</v>
      </c>
      <c r="T8" s="9">
        <v>555.4</v>
      </c>
      <c r="U8" s="17" t="s">
        <v>34</v>
      </c>
      <c r="V8" s="49"/>
    </row>
    <row r="9" ht="16" customHeight="1" spans="1:22">
      <c r="A9" s="1" t="s">
        <v>37</v>
      </c>
      <c r="B9" s="7" t="s">
        <v>36</v>
      </c>
      <c r="C9" s="9">
        <f>C7+C8</f>
        <v>171.2</v>
      </c>
      <c r="D9" s="9">
        <f>D7+D8</f>
        <v>106.6</v>
      </c>
      <c r="E9" s="69">
        <f t="shared" si="0"/>
        <v>128.6</v>
      </c>
      <c r="F9" s="65">
        <f t="shared" si="1"/>
        <v>0.453231292517007</v>
      </c>
      <c r="G9" s="9">
        <f>G7+G8</f>
        <v>17.4</v>
      </c>
      <c r="H9" s="18">
        <f t="shared" si="2"/>
        <v>0.163227016885553</v>
      </c>
      <c r="I9" s="9">
        <f>I7+I8</f>
        <v>235.2</v>
      </c>
      <c r="J9" s="18">
        <f t="shared" si="3"/>
        <v>0.727891156462585</v>
      </c>
      <c r="K9" s="12"/>
      <c r="L9" s="12"/>
      <c r="M9" s="2"/>
      <c r="O9" s="9"/>
      <c r="P9" s="9"/>
      <c r="Q9" s="2"/>
      <c r="S9" s="9">
        <f>S7+S8</f>
        <v>2.4</v>
      </c>
      <c r="T9" s="9">
        <f>T7+T8</f>
        <v>1350.4</v>
      </c>
      <c r="U9" s="9"/>
      <c r="V9" s="49"/>
    </row>
    <row r="10" ht="16" hidden="1" customHeight="1" spans="1:22">
      <c r="A10" s="1" t="s">
        <v>38</v>
      </c>
      <c r="B10" s="7" t="s">
        <v>33</v>
      </c>
      <c r="C10" s="9">
        <v>102</v>
      </c>
      <c r="D10" s="9">
        <v>64.4</v>
      </c>
      <c r="E10" s="69">
        <f t="shared" si="0"/>
        <v>76.6</v>
      </c>
      <c r="F10" s="65">
        <f t="shared" si="1"/>
        <v>0.456737588652482</v>
      </c>
      <c r="G10" s="9">
        <v>6</v>
      </c>
      <c r="H10" s="18">
        <f t="shared" si="2"/>
        <v>0.093167701863354</v>
      </c>
      <c r="I10" s="9">
        <v>141</v>
      </c>
      <c r="J10" s="18">
        <f t="shared" si="3"/>
        <v>0.723404255319149</v>
      </c>
      <c r="K10" s="12"/>
      <c r="L10" s="12"/>
      <c r="M10" s="2"/>
      <c r="O10" s="9"/>
      <c r="P10" s="9"/>
      <c r="Q10" s="2"/>
      <c r="S10" s="9">
        <v>0.4</v>
      </c>
      <c r="T10" s="9">
        <v>802.6</v>
      </c>
      <c r="U10" s="17" t="s">
        <v>34</v>
      </c>
      <c r="V10" s="49"/>
    </row>
    <row r="11" ht="16" hidden="1" customHeight="1" spans="1:22">
      <c r="A11" s="1" t="s">
        <v>38</v>
      </c>
      <c r="B11" s="7" t="s">
        <v>35</v>
      </c>
      <c r="C11" s="9">
        <v>109.2</v>
      </c>
      <c r="D11" s="9">
        <v>59.6</v>
      </c>
      <c r="E11" s="69">
        <f t="shared" si="0"/>
        <v>73.2</v>
      </c>
      <c r="F11" s="65">
        <f t="shared" si="1"/>
        <v>0.448795180722892</v>
      </c>
      <c r="G11" s="9">
        <v>8.4</v>
      </c>
      <c r="H11" s="18">
        <f t="shared" si="2"/>
        <v>0.140939597315436</v>
      </c>
      <c r="I11" s="9">
        <v>132.8</v>
      </c>
      <c r="J11" s="18">
        <f t="shared" si="3"/>
        <v>0.822289156626506</v>
      </c>
      <c r="K11" s="12"/>
      <c r="L11" s="12"/>
      <c r="M11" s="2"/>
      <c r="O11" s="9"/>
      <c r="P11" s="9"/>
      <c r="Q11" s="2"/>
      <c r="S11" s="9">
        <v>4</v>
      </c>
      <c r="T11" s="9">
        <v>649</v>
      </c>
      <c r="U11" s="17" t="s">
        <v>34</v>
      </c>
      <c r="V11" s="49"/>
    </row>
    <row r="12" ht="16" customHeight="1" spans="1:22">
      <c r="A12" s="1" t="s">
        <v>38</v>
      </c>
      <c r="B12" s="7" t="s">
        <v>36</v>
      </c>
      <c r="C12" s="9">
        <f>C10+C11</f>
        <v>211.2</v>
      </c>
      <c r="D12" s="9">
        <f>D10+D11</f>
        <v>124</v>
      </c>
      <c r="E12" s="69">
        <f t="shared" si="0"/>
        <v>149.8</v>
      </c>
      <c r="F12" s="65">
        <f t="shared" si="1"/>
        <v>0.452885317750183</v>
      </c>
      <c r="G12" s="9">
        <f>G10+G11</f>
        <v>14.4</v>
      </c>
      <c r="H12" s="18">
        <f t="shared" si="2"/>
        <v>0.116129032258065</v>
      </c>
      <c r="I12" s="9">
        <f>I10+I11</f>
        <v>273.8</v>
      </c>
      <c r="J12" s="18">
        <f t="shared" si="3"/>
        <v>0.77136596055515</v>
      </c>
      <c r="K12" s="12"/>
      <c r="L12" s="12"/>
      <c r="M12" s="2"/>
      <c r="O12" s="9"/>
      <c r="P12" s="9"/>
      <c r="Q12" s="2"/>
      <c r="S12" s="9">
        <f>S10+S11</f>
        <v>4.4</v>
      </c>
      <c r="T12" s="9">
        <f>T10+T11</f>
        <v>1451.6</v>
      </c>
      <c r="U12" s="9"/>
      <c r="V12" s="49"/>
    </row>
    <row r="13" ht="16" hidden="1" customHeight="1" spans="1:22">
      <c r="A13" s="1" t="s">
        <v>39</v>
      </c>
      <c r="B13" s="7" t="s">
        <v>33</v>
      </c>
      <c r="C13" s="9">
        <v>84.4</v>
      </c>
      <c r="D13" s="9">
        <v>60.2</v>
      </c>
      <c r="E13" s="69">
        <f t="shared" si="0"/>
        <v>74.6</v>
      </c>
      <c r="F13" s="65">
        <f t="shared" si="1"/>
        <v>0.446587537091988</v>
      </c>
      <c r="G13" s="9">
        <v>5.6</v>
      </c>
      <c r="H13" s="18">
        <f t="shared" si="2"/>
        <v>0.0930232558139535</v>
      </c>
      <c r="I13" s="9">
        <v>134.8</v>
      </c>
      <c r="J13" s="18">
        <f t="shared" si="3"/>
        <v>0.626112759643917</v>
      </c>
      <c r="K13" s="12"/>
      <c r="L13" s="12"/>
      <c r="M13" s="2"/>
      <c r="O13" s="9"/>
      <c r="P13" s="9"/>
      <c r="Q13" s="2"/>
      <c r="S13" s="9">
        <v>0.4</v>
      </c>
      <c r="T13" s="9">
        <v>842.8</v>
      </c>
      <c r="U13" s="17" t="s">
        <v>34</v>
      </c>
      <c r="V13" s="49"/>
    </row>
    <row r="14" ht="16" hidden="1" customHeight="1" spans="1:22">
      <c r="A14" s="1" t="s">
        <v>39</v>
      </c>
      <c r="B14" s="7" t="s">
        <v>35</v>
      </c>
      <c r="C14" s="9">
        <v>122.8</v>
      </c>
      <c r="D14" s="9">
        <v>35.8</v>
      </c>
      <c r="E14" s="69">
        <f t="shared" si="0"/>
        <v>78.4</v>
      </c>
      <c r="F14" s="65">
        <f t="shared" si="1"/>
        <v>0.313485113835376</v>
      </c>
      <c r="G14" s="9">
        <v>8.2</v>
      </c>
      <c r="H14" s="18">
        <f t="shared" si="2"/>
        <v>0.229050279329609</v>
      </c>
      <c r="I14" s="9">
        <v>114.2</v>
      </c>
      <c r="J14" s="18">
        <f t="shared" si="3"/>
        <v>1.07530647985989</v>
      </c>
      <c r="K14" s="12"/>
      <c r="L14" s="12"/>
      <c r="M14" s="2"/>
      <c r="O14" s="9"/>
      <c r="P14" s="9"/>
      <c r="Q14" s="2"/>
      <c r="S14" s="9">
        <v>1</v>
      </c>
      <c r="T14" s="9">
        <v>577</v>
      </c>
      <c r="U14" s="17" t="s">
        <v>34</v>
      </c>
      <c r="V14" s="49"/>
    </row>
    <row r="15" ht="16" customHeight="1" spans="1:22">
      <c r="A15" s="1" t="s">
        <v>39</v>
      </c>
      <c r="B15" s="7" t="s">
        <v>36</v>
      </c>
      <c r="C15" s="9">
        <f>C13+C14</f>
        <v>207.2</v>
      </c>
      <c r="D15" s="9">
        <f>D13+D14</f>
        <v>96</v>
      </c>
      <c r="E15" s="69">
        <f t="shared" si="0"/>
        <v>153</v>
      </c>
      <c r="F15" s="65">
        <f t="shared" si="1"/>
        <v>0.385542168674699</v>
      </c>
      <c r="G15" s="9">
        <f>G13+G14</f>
        <v>13.8</v>
      </c>
      <c r="H15" s="18">
        <f t="shared" si="2"/>
        <v>0.14375</v>
      </c>
      <c r="I15" s="9">
        <f>I13+I14</f>
        <v>249</v>
      </c>
      <c r="J15" s="18">
        <f t="shared" si="3"/>
        <v>0.832128514056225</v>
      </c>
      <c r="K15" s="12"/>
      <c r="L15" s="12"/>
      <c r="M15" s="2"/>
      <c r="O15" s="9"/>
      <c r="P15" s="9"/>
      <c r="Q15" s="2"/>
      <c r="S15" s="9">
        <f>S13+S14</f>
        <v>1.4</v>
      </c>
      <c r="T15" s="9">
        <f>T13+T14</f>
        <v>1419.8</v>
      </c>
      <c r="U15" s="9"/>
      <c r="V15" s="49"/>
    </row>
    <row r="16" ht="16" hidden="1" customHeight="1" spans="1:22">
      <c r="A16" s="1" t="s">
        <v>40</v>
      </c>
      <c r="B16" s="7" t="s">
        <v>33</v>
      </c>
      <c r="C16" s="9">
        <v>107.4</v>
      </c>
      <c r="D16" s="9">
        <v>75</v>
      </c>
      <c r="E16" s="69">
        <f t="shared" si="0"/>
        <v>77.4</v>
      </c>
      <c r="F16" s="65">
        <f t="shared" si="1"/>
        <v>0.492125984251968</v>
      </c>
      <c r="G16" s="9">
        <v>7</v>
      </c>
      <c r="H16" s="18">
        <f t="shared" si="2"/>
        <v>0.0933333333333333</v>
      </c>
      <c r="I16" s="9">
        <v>152.4</v>
      </c>
      <c r="J16" s="18">
        <f t="shared" si="3"/>
        <v>0.704724409448819</v>
      </c>
      <c r="K16" s="12"/>
      <c r="L16" s="12"/>
      <c r="M16" s="2"/>
      <c r="O16" s="9"/>
      <c r="P16" s="9"/>
      <c r="Q16" s="2"/>
      <c r="S16" s="9">
        <v>0.6</v>
      </c>
      <c r="T16" s="9">
        <v>982.6</v>
      </c>
      <c r="U16" s="17" t="s">
        <v>34</v>
      </c>
      <c r="V16" s="49"/>
    </row>
    <row r="17" ht="16" hidden="1" customHeight="1" spans="1:22">
      <c r="A17" s="1" t="s">
        <v>40</v>
      </c>
      <c r="B17" s="7" t="s">
        <v>35</v>
      </c>
      <c r="C17" s="9">
        <v>109.2</v>
      </c>
      <c r="D17" s="9">
        <v>35.6</v>
      </c>
      <c r="E17" s="69">
        <f t="shared" si="0"/>
        <v>69.6</v>
      </c>
      <c r="F17" s="65">
        <f t="shared" si="1"/>
        <v>0.338403041825095</v>
      </c>
      <c r="G17" s="9">
        <v>6.8</v>
      </c>
      <c r="H17" s="18">
        <f t="shared" si="2"/>
        <v>0.191011235955056</v>
      </c>
      <c r="I17" s="9">
        <v>105.2</v>
      </c>
      <c r="J17" s="18">
        <f t="shared" si="3"/>
        <v>1.03802281368821</v>
      </c>
      <c r="K17" s="12"/>
      <c r="L17" s="12"/>
      <c r="M17" s="2"/>
      <c r="O17" s="9"/>
      <c r="P17" s="9"/>
      <c r="Q17" s="2"/>
      <c r="S17" s="9">
        <v>1.6</v>
      </c>
      <c r="T17" s="9">
        <v>535.4</v>
      </c>
      <c r="U17" s="17" t="s">
        <v>34</v>
      </c>
      <c r="V17" s="49"/>
    </row>
    <row r="18" ht="16" customHeight="1" spans="1:22">
      <c r="A18" s="1" t="s">
        <v>40</v>
      </c>
      <c r="B18" s="7" t="s">
        <v>36</v>
      </c>
      <c r="C18" s="9">
        <f>C16+C17</f>
        <v>216.6</v>
      </c>
      <c r="D18" s="9">
        <f>D16+D17</f>
        <v>110.6</v>
      </c>
      <c r="E18" s="69">
        <f t="shared" si="0"/>
        <v>147</v>
      </c>
      <c r="F18" s="65">
        <f t="shared" si="1"/>
        <v>0.429347826086956</v>
      </c>
      <c r="G18" s="9">
        <f>G16+G17</f>
        <v>13.8</v>
      </c>
      <c r="H18" s="18">
        <f t="shared" si="2"/>
        <v>0.124773960216998</v>
      </c>
      <c r="I18" s="9">
        <f>I16+I17</f>
        <v>257.6</v>
      </c>
      <c r="J18" s="18">
        <f t="shared" si="3"/>
        <v>0.84083850931677</v>
      </c>
      <c r="K18" s="12"/>
      <c r="L18" s="12"/>
      <c r="M18" s="2"/>
      <c r="O18" s="9"/>
      <c r="P18" s="9"/>
      <c r="Q18" s="2"/>
      <c r="S18" s="9">
        <f>S16+S17</f>
        <v>2.2</v>
      </c>
      <c r="T18" s="9">
        <f>T16+T17</f>
        <v>1518</v>
      </c>
      <c r="U18" s="9"/>
      <c r="V18" s="49"/>
    </row>
    <row r="19" ht="16" hidden="1" customHeight="1" spans="1:22">
      <c r="A19" s="1" t="s">
        <v>41</v>
      </c>
      <c r="B19" s="7" t="s">
        <v>33</v>
      </c>
      <c r="C19" s="9">
        <v>104.6</v>
      </c>
      <c r="D19" s="9">
        <v>59.8</v>
      </c>
      <c r="E19" s="69">
        <f t="shared" si="0"/>
        <v>75.2</v>
      </c>
      <c r="F19" s="65">
        <f t="shared" si="1"/>
        <v>0.442962962962963</v>
      </c>
      <c r="G19" s="9">
        <v>6.2</v>
      </c>
      <c r="H19" s="18">
        <f t="shared" si="2"/>
        <v>0.103678929765886</v>
      </c>
      <c r="I19" s="9">
        <v>135</v>
      </c>
      <c r="J19" s="18">
        <f t="shared" si="3"/>
        <v>0.774814814814815</v>
      </c>
      <c r="K19" s="12"/>
      <c r="L19" s="12"/>
      <c r="M19" s="2"/>
      <c r="O19" s="9"/>
      <c r="P19" s="9"/>
      <c r="Q19" s="2"/>
      <c r="S19" s="9">
        <v>1.2</v>
      </c>
      <c r="T19" s="9">
        <v>812</v>
      </c>
      <c r="U19" s="17" t="s">
        <v>34</v>
      </c>
      <c r="V19" s="49"/>
    </row>
    <row r="20" ht="16" hidden="1" customHeight="1" spans="1:22">
      <c r="A20" s="1" t="s">
        <v>41</v>
      </c>
      <c r="B20" s="7" t="s">
        <v>35</v>
      </c>
      <c r="C20" s="9">
        <v>121.4</v>
      </c>
      <c r="D20" s="9">
        <v>42.4</v>
      </c>
      <c r="E20" s="69">
        <f t="shared" si="0"/>
        <v>76.8</v>
      </c>
      <c r="F20" s="65">
        <f t="shared" si="1"/>
        <v>0.355704697986577</v>
      </c>
      <c r="G20" s="9">
        <v>10</v>
      </c>
      <c r="H20" s="18">
        <f t="shared" si="2"/>
        <v>0.235849056603774</v>
      </c>
      <c r="I20" s="9">
        <v>119.2</v>
      </c>
      <c r="J20" s="18">
        <f t="shared" si="3"/>
        <v>1.01845637583893</v>
      </c>
      <c r="K20" s="12"/>
      <c r="L20" s="12"/>
      <c r="M20" s="2"/>
      <c r="O20" s="9"/>
      <c r="P20" s="9"/>
      <c r="Q20" s="2"/>
      <c r="S20" s="9">
        <v>2</v>
      </c>
      <c r="T20" s="9">
        <v>530.8</v>
      </c>
      <c r="U20" s="17" t="s">
        <v>34</v>
      </c>
      <c r="V20" s="49"/>
    </row>
    <row r="21" ht="16" customHeight="1" spans="1:22">
      <c r="A21" s="1" t="s">
        <v>41</v>
      </c>
      <c r="B21" s="7" t="s">
        <v>36</v>
      </c>
      <c r="C21" s="9">
        <f>C19+C20</f>
        <v>226</v>
      </c>
      <c r="D21" s="9">
        <f>D19+D20</f>
        <v>102.2</v>
      </c>
      <c r="E21" s="69">
        <f t="shared" si="0"/>
        <v>152</v>
      </c>
      <c r="F21" s="65">
        <f t="shared" si="1"/>
        <v>0.402045633359559</v>
      </c>
      <c r="G21" s="9">
        <f>G19+G20</f>
        <v>16.2</v>
      </c>
      <c r="H21" s="18">
        <f t="shared" si="2"/>
        <v>0.158512720156556</v>
      </c>
      <c r="I21" s="9">
        <f>I19+I20</f>
        <v>254.2</v>
      </c>
      <c r="J21" s="18">
        <f t="shared" si="3"/>
        <v>0.889063729346971</v>
      </c>
      <c r="K21" s="12"/>
      <c r="L21" s="12"/>
      <c r="M21" s="2"/>
      <c r="O21" s="9"/>
      <c r="P21" s="9"/>
      <c r="Q21" s="2"/>
      <c r="S21" s="9">
        <f>S19+S20</f>
        <v>3.2</v>
      </c>
      <c r="T21" s="9">
        <f>T19+T20</f>
        <v>1342.8</v>
      </c>
      <c r="U21" s="9"/>
      <c r="V21" s="49"/>
    </row>
    <row r="22" ht="16" hidden="1" customHeight="1" spans="1:22">
      <c r="A22" s="1" t="s">
        <v>42</v>
      </c>
      <c r="B22" s="7" t="s">
        <v>33</v>
      </c>
      <c r="C22" s="9">
        <v>98</v>
      </c>
      <c r="D22" s="9">
        <v>38.8</v>
      </c>
      <c r="E22" s="69">
        <f t="shared" si="0"/>
        <v>77.8</v>
      </c>
      <c r="F22" s="65">
        <f t="shared" si="1"/>
        <v>0.332761578044597</v>
      </c>
      <c r="G22" s="9">
        <v>6.4</v>
      </c>
      <c r="H22" s="18">
        <f t="shared" si="2"/>
        <v>0.164948453608247</v>
      </c>
      <c r="I22" s="9">
        <v>116.6</v>
      </c>
      <c r="J22" s="18">
        <f t="shared" si="3"/>
        <v>0.840480274442539</v>
      </c>
      <c r="K22" s="12"/>
      <c r="L22" s="12"/>
      <c r="M22" s="2"/>
      <c r="O22" s="9"/>
      <c r="P22" s="9"/>
      <c r="Q22" s="2"/>
      <c r="S22" s="9">
        <v>0.4</v>
      </c>
      <c r="T22" s="9">
        <v>840.8</v>
      </c>
      <c r="U22" s="17" t="s">
        <v>34</v>
      </c>
      <c r="V22" s="49"/>
    </row>
    <row r="23" ht="16" hidden="1" customHeight="1" spans="1:22">
      <c r="A23" s="1" t="s">
        <v>42</v>
      </c>
      <c r="B23" s="7" t="s">
        <v>35</v>
      </c>
      <c r="C23" s="9">
        <v>128.4</v>
      </c>
      <c r="D23" s="9">
        <v>59.4</v>
      </c>
      <c r="E23" s="69">
        <f t="shared" si="0"/>
        <v>74.4</v>
      </c>
      <c r="F23" s="65">
        <f t="shared" si="1"/>
        <v>0.443946188340807</v>
      </c>
      <c r="G23" s="9">
        <v>14.8</v>
      </c>
      <c r="H23" s="18">
        <f t="shared" si="2"/>
        <v>0.249158249158249</v>
      </c>
      <c r="I23" s="9">
        <v>133.8</v>
      </c>
      <c r="J23" s="18">
        <f t="shared" si="3"/>
        <v>0.959641255605381</v>
      </c>
      <c r="K23" s="12"/>
      <c r="L23" s="12"/>
      <c r="M23" s="2"/>
      <c r="O23" s="9"/>
      <c r="P23" s="9"/>
      <c r="Q23" s="2"/>
      <c r="S23" s="9">
        <v>3</v>
      </c>
      <c r="T23" s="9">
        <v>538.2</v>
      </c>
      <c r="U23" s="17" t="s">
        <v>34</v>
      </c>
      <c r="V23" s="49"/>
    </row>
    <row r="24" ht="16" customHeight="1" spans="1:22">
      <c r="A24" s="1" t="s">
        <v>42</v>
      </c>
      <c r="B24" s="7" t="s">
        <v>36</v>
      </c>
      <c r="C24" s="9">
        <f>C22+C23</f>
        <v>226.4</v>
      </c>
      <c r="D24" s="9">
        <f>D22+D23</f>
        <v>98.2</v>
      </c>
      <c r="E24" s="69">
        <f t="shared" si="0"/>
        <v>152.2</v>
      </c>
      <c r="F24" s="65">
        <f t="shared" si="1"/>
        <v>0.392172523961661</v>
      </c>
      <c r="G24" s="9">
        <f>G22+G23</f>
        <v>21.2</v>
      </c>
      <c r="H24" s="18">
        <f t="shared" si="2"/>
        <v>0.215885947046843</v>
      </c>
      <c r="I24" s="9">
        <f>I22+I23</f>
        <v>250.4</v>
      </c>
      <c r="J24" s="18">
        <f t="shared" si="3"/>
        <v>0.904153354632588</v>
      </c>
      <c r="K24" s="12"/>
      <c r="L24" s="12"/>
      <c r="M24" s="2"/>
      <c r="O24" s="9"/>
      <c r="P24" s="9"/>
      <c r="Q24" s="2"/>
      <c r="S24" s="9">
        <f>S22+S23</f>
        <v>3.4</v>
      </c>
      <c r="T24" s="9">
        <f>T22+T23</f>
        <v>1379</v>
      </c>
      <c r="U24" s="9"/>
      <c r="V24" s="49"/>
    </row>
    <row r="25" ht="16" hidden="1" customHeight="1" spans="1:22">
      <c r="A25" s="1" t="s">
        <v>43</v>
      </c>
      <c r="B25" s="7" t="s">
        <v>33</v>
      </c>
      <c r="C25" s="9">
        <v>105.8</v>
      </c>
      <c r="D25" s="9">
        <v>54.8</v>
      </c>
      <c r="E25" s="69">
        <f t="shared" si="0"/>
        <v>83</v>
      </c>
      <c r="F25" s="65">
        <f t="shared" si="1"/>
        <v>0.397677793904209</v>
      </c>
      <c r="G25" s="9">
        <v>5.8</v>
      </c>
      <c r="H25" s="18">
        <f t="shared" si="2"/>
        <v>0.105839416058394</v>
      </c>
      <c r="I25" s="9">
        <v>137.8</v>
      </c>
      <c r="J25" s="18">
        <f t="shared" si="3"/>
        <v>0.7677793904209</v>
      </c>
      <c r="K25" s="12"/>
      <c r="L25" s="12"/>
      <c r="M25" s="2"/>
      <c r="O25" s="9"/>
      <c r="P25" s="9"/>
      <c r="Q25" s="2"/>
      <c r="S25" s="9">
        <v>0.2</v>
      </c>
      <c r="T25" s="9">
        <v>756</v>
      </c>
      <c r="U25" s="17" t="s">
        <v>34</v>
      </c>
      <c r="V25" s="49"/>
    </row>
    <row r="26" ht="16" hidden="1" customHeight="1" spans="1:22">
      <c r="A26" s="1" t="s">
        <v>43</v>
      </c>
      <c r="B26" s="7" t="s">
        <v>35</v>
      </c>
      <c r="C26" s="9">
        <v>171</v>
      </c>
      <c r="D26" s="9">
        <v>72.2</v>
      </c>
      <c r="E26" s="69">
        <f t="shared" si="0"/>
        <v>95.2</v>
      </c>
      <c r="F26" s="65">
        <f t="shared" si="1"/>
        <v>0.431302270011947</v>
      </c>
      <c r="G26" s="9">
        <v>19.2</v>
      </c>
      <c r="H26" s="18">
        <f t="shared" si="2"/>
        <v>0.265927977839335</v>
      </c>
      <c r="I26" s="9">
        <v>167.4</v>
      </c>
      <c r="J26" s="18">
        <f t="shared" si="3"/>
        <v>1.02150537634409</v>
      </c>
      <c r="K26" s="12"/>
      <c r="L26" s="12"/>
      <c r="M26" s="2"/>
      <c r="O26" s="9"/>
      <c r="P26" s="9"/>
      <c r="Q26" s="2"/>
      <c r="S26" s="9">
        <v>5.8</v>
      </c>
      <c r="T26" s="9">
        <v>600</v>
      </c>
      <c r="U26" s="17" t="s">
        <v>34</v>
      </c>
      <c r="V26" s="49"/>
    </row>
    <row r="27" ht="16" customHeight="1" spans="1:22">
      <c r="A27" s="1" t="s">
        <v>43</v>
      </c>
      <c r="B27" s="7" t="s">
        <v>36</v>
      </c>
      <c r="C27" s="9">
        <f>C25+C26</f>
        <v>276.8</v>
      </c>
      <c r="D27" s="9">
        <f>D25+D26</f>
        <v>127</v>
      </c>
      <c r="E27" s="69">
        <f t="shared" si="0"/>
        <v>178.2</v>
      </c>
      <c r="F27" s="65">
        <f t="shared" si="1"/>
        <v>0.416120576671035</v>
      </c>
      <c r="G27" s="9">
        <f>G25+G26</f>
        <v>25</v>
      </c>
      <c r="H27" s="18">
        <f t="shared" si="2"/>
        <v>0.196850393700787</v>
      </c>
      <c r="I27" s="9">
        <f>I25+I26</f>
        <v>305.2</v>
      </c>
      <c r="J27" s="18">
        <f t="shared" si="3"/>
        <v>0.90694626474443</v>
      </c>
      <c r="K27" s="12"/>
      <c r="L27" s="12"/>
      <c r="M27" s="2"/>
      <c r="O27" s="9"/>
      <c r="P27" s="9"/>
      <c r="Q27" s="2"/>
      <c r="S27" s="9">
        <f>S25+S26</f>
        <v>6</v>
      </c>
      <c r="T27" s="9">
        <f>T25+T26</f>
        <v>1356</v>
      </c>
      <c r="U27" s="9"/>
      <c r="V27" s="49"/>
    </row>
    <row r="28" ht="16" hidden="1" customHeight="1" spans="1:22">
      <c r="A28" s="1" t="s">
        <v>44</v>
      </c>
      <c r="B28" s="7" t="s">
        <v>33</v>
      </c>
      <c r="C28" s="9">
        <v>116.8</v>
      </c>
      <c r="D28" s="9">
        <v>51.2</v>
      </c>
      <c r="E28" s="69">
        <f t="shared" si="0"/>
        <v>80.2</v>
      </c>
      <c r="F28" s="65">
        <f t="shared" si="1"/>
        <v>0.389649923896499</v>
      </c>
      <c r="G28" s="9">
        <v>6.2</v>
      </c>
      <c r="H28" s="18">
        <f t="shared" si="2"/>
        <v>0.12109375</v>
      </c>
      <c r="I28" s="9">
        <v>131.4</v>
      </c>
      <c r="J28" s="18">
        <f t="shared" si="3"/>
        <v>0.888888888888889</v>
      </c>
      <c r="K28" s="12"/>
      <c r="L28" s="12"/>
      <c r="M28" s="2"/>
      <c r="O28" s="9"/>
      <c r="P28" s="9"/>
      <c r="Q28" s="2"/>
      <c r="S28" s="9">
        <v>0.4</v>
      </c>
      <c r="T28" s="9">
        <v>875</v>
      </c>
      <c r="U28" s="17" t="s">
        <v>34</v>
      </c>
      <c r="V28" s="49"/>
    </row>
    <row r="29" ht="16" hidden="1" customHeight="1" spans="1:22">
      <c r="A29" s="1" t="s">
        <v>44</v>
      </c>
      <c r="B29" s="7" t="s">
        <v>35</v>
      </c>
      <c r="C29" s="9">
        <v>146</v>
      </c>
      <c r="D29" s="9">
        <v>67.2</v>
      </c>
      <c r="E29" s="69">
        <f t="shared" si="0"/>
        <v>98.8</v>
      </c>
      <c r="F29" s="65">
        <f t="shared" si="1"/>
        <v>0.404819277108434</v>
      </c>
      <c r="G29" s="9">
        <v>13.4</v>
      </c>
      <c r="H29" s="18">
        <f t="shared" si="2"/>
        <v>0.199404761904762</v>
      </c>
      <c r="I29" s="9">
        <v>166</v>
      </c>
      <c r="J29" s="18">
        <f t="shared" si="3"/>
        <v>0.879518072289157</v>
      </c>
      <c r="K29" s="12"/>
      <c r="L29" s="12"/>
      <c r="M29" s="2"/>
      <c r="O29" s="9"/>
      <c r="P29" s="9"/>
      <c r="Q29" s="2"/>
      <c r="S29" s="9">
        <v>3.6</v>
      </c>
      <c r="T29" s="9">
        <v>602.2</v>
      </c>
      <c r="U29" s="17" t="s">
        <v>34</v>
      </c>
      <c r="V29" s="49"/>
    </row>
    <row r="30" ht="16" customHeight="1" spans="1:22">
      <c r="A30" s="1" t="s">
        <v>44</v>
      </c>
      <c r="B30" s="7" t="s">
        <v>36</v>
      </c>
      <c r="C30" s="9">
        <f>C28+C29</f>
        <v>262.8</v>
      </c>
      <c r="D30" s="9">
        <f>D28+D29</f>
        <v>118.4</v>
      </c>
      <c r="E30" s="69">
        <f t="shared" si="0"/>
        <v>179</v>
      </c>
      <c r="F30" s="65">
        <f t="shared" si="1"/>
        <v>0.398117014122394</v>
      </c>
      <c r="G30" s="9">
        <f>G28+G29</f>
        <v>19.6</v>
      </c>
      <c r="H30" s="18">
        <f t="shared" si="2"/>
        <v>0.165540540540541</v>
      </c>
      <c r="I30" s="9">
        <f>I28+I29</f>
        <v>297.4</v>
      </c>
      <c r="J30" s="18">
        <f t="shared" si="3"/>
        <v>0.883658372562206</v>
      </c>
      <c r="K30" s="12"/>
      <c r="L30" s="12"/>
      <c r="M30" s="2"/>
      <c r="O30" s="9"/>
      <c r="P30" s="9"/>
      <c r="Q30" s="2"/>
      <c r="S30" s="9">
        <f>S28+S29</f>
        <v>4</v>
      </c>
      <c r="T30" s="9">
        <f>T28+T29</f>
        <v>1477.2</v>
      </c>
      <c r="U30" s="9"/>
      <c r="V30" s="49"/>
    </row>
    <row r="31" ht="16" hidden="1" customHeight="1" spans="1:22">
      <c r="A31" s="1" t="s">
        <v>45</v>
      </c>
      <c r="B31" s="7" t="s">
        <v>33</v>
      </c>
      <c r="C31" s="9">
        <v>89.2</v>
      </c>
      <c r="D31" s="9">
        <v>59.8</v>
      </c>
      <c r="E31" s="69">
        <f t="shared" si="0"/>
        <v>75</v>
      </c>
      <c r="F31" s="65">
        <f t="shared" si="1"/>
        <v>0.443620178041543</v>
      </c>
      <c r="G31" s="9">
        <v>6.6</v>
      </c>
      <c r="H31" s="18">
        <f t="shared" si="2"/>
        <v>0.110367892976589</v>
      </c>
      <c r="I31" s="9">
        <v>134.8</v>
      </c>
      <c r="J31" s="18">
        <f t="shared" si="3"/>
        <v>0.661721068249258</v>
      </c>
      <c r="K31" s="12"/>
      <c r="L31" s="12"/>
      <c r="M31" s="2"/>
      <c r="O31" s="9"/>
      <c r="P31" s="9"/>
      <c r="Q31" s="2"/>
      <c r="S31" s="9">
        <v>0.6</v>
      </c>
      <c r="T31" s="9">
        <v>835</v>
      </c>
      <c r="U31" s="17" t="s">
        <v>34</v>
      </c>
      <c r="V31" s="49"/>
    </row>
    <row r="32" ht="16" hidden="1" customHeight="1" spans="1:22">
      <c r="A32" s="1" t="s">
        <v>45</v>
      </c>
      <c r="B32" s="7" t="s">
        <v>35</v>
      </c>
      <c r="C32" s="9">
        <v>281</v>
      </c>
      <c r="D32" s="9">
        <v>91.6</v>
      </c>
      <c r="E32" s="69">
        <f t="shared" si="0"/>
        <v>162.6</v>
      </c>
      <c r="F32" s="65">
        <f t="shared" si="1"/>
        <v>0.360346184107002</v>
      </c>
      <c r="G32" s="9">
        <v>24.6</v>
      </c>
      <c r="H32" s="18">
        <f t="shared" si="2"/>
        <v>0.268558951965066</v>
      </c>
      <c r="I32" s="9">
        <v>254.2</v>
      </c>
      <c r="J32" s="18">
        <f t="shared" si="3"/>
        <v>1.10542879622345</v>
      </c>
      <c r="K32" s="12"/>
      <c r="L32" s="12"/>
      <c r="M32" s="2"/>
      <c r="O32" s="9"/>
      <c r="P32" s="9"/>
      <c r="Q32" s="2"/>
      <c r="S32" s="9">
        <v>7.2</v>
      </c>
      <c r="T32" s="9">
        <v>2296.8</v>
      </c>
      <c r="U32" s="17" t="s">
        <v>34</v>
      </c>
      <c r="V32" s="49"/>
    </row>
    <row r="33" ht="16" customHeight="1" spans="1:22">
      <c r="A33" s="1" t="s">
        <v>45</v>
      </c>
      <c r="B33" s="7" t="s">
        <v>36</v>
      </c>
      <c r="C33" s="9">
        <f>C31+C32</f>
        <v>370.2</v>
      </c>
      <c r="D33" s="9">
        <f>D31+D32</f>
        <v>151.4</v>
      </c>
      <c r="E33" s="69">
        <f t="shared" si="0"/>
        <v>237.6</v>
      </c>
      <c r="F33" s="65">
        <f t="shared" si="1"/>
        <v>0.389203084832905</v>
      </c>
      <c r="G33" s="9">
        <f>G31+G32</f>
        <v>31.2</v>
      </c>
      <c r="H33" s="18">
        <f t="shared" si="2"/>
        <v>0.206076618229855</v>
      </c>
      <c r="I33" s="9">
        <f>I31+I32</f>
        <v>389</v>
      </c>
      <c r="J33" s="18">
        <f t="shared" si="3"/>
        <v>0.951670951156812</v>
      </c>
      <c r="K33" s="12"/>
      <c r="L33" s="12"/>
      <c r="M33" s="2"/>
      <c r="O33" s="9"/>
      <c r="P33" s="9"/>
      <c r="Q33" s="2"/>
      <c r="S33" s="9">
        <f>S31+S32</f>
        <v>7.8</v>
      </c>
      <c r="T33" s="9">
        <f>T31+T32</f>
        <v>3131.8</v>
      </c>
      <c r="U33" s="9"/>
      <c r="V33" s="49"/>
    </row>
    <row r="34" ht="16" hidden="1" customHeight="1" spans="1:22">
      <c r="A34" s="1" t="s">
        <v>46</v>
      </c>
      <c r="B34" s="7" t="s">
        <v>33</v>
      </c>
      <c r="C34" s="9">
        <v>129.6</v>
      </c>
      <c r="D34" s="9">
        <v>81.8</v>
      </c>
      <c r="E34" s="69">
        <f t="shared" si="0"/>
        <v>94.6</v>
      </c>
      <c r="F34" s="65">
        <f t="shared" si="1"/>
        <v>0.463718820861678</v>
      </c>
      <c r="G34" s="9">
        <v>10.4</v>
      </c>
      <c r="H34" s="18">
        <f t="shared" si="2"/>
        <v>0.127139364303178</v>
      </c>
      <c r="I34" s="9">
        <v>176.4</v>
      </c>
      <c r="J34" s="18">
        <f t="shared" si="3"/>
        <v>0.73469387755102</v>
      </c>
      <c r="K34" s="12"/>
      <c r="L34" s="12"/>
      <c r="M34" s="2"/>
      <c r="O34" s="9"/>
      <c r="P34" s="9"/>
      <c r="Q34" s="2"/>
      <c r="S34" s="9">
        <v>0.8</v>
      </c>
      <c r="T34" s="9">
        <v>858</v>
      </c>
      <c r="U34" s="17" t="s">
        <v>34</v>
      </c>
      <c r="V34" s="49"/>
    </row>
    <row r="35" ht="16" hidden="1" customHeight="1" spans="1:22">
      <c r="A35" s="1" t="s">
        <v>46</v>
      </c>
      <c r="B35" s="7" t="s">
        <v>35</v>
      </c>
      <c r="C35" s="9">
        <v>309.4</v>
      </c>
      <c r="D35" s="9">
        <v>145.8</v>
      </c>
      <c r="E35" s="69">
        <f t="shared" si="0"/>
        <v>145.4</v>
      </c>
      <c r="F35" s="65">
        <f t="shared" si="1"/>
        <v>0.500686813186813</v>
      </c>
      <c r="G35" s="9">
        <v>53.4</v>
      </c>
      <c r="H35" s="18">
        <f t="shared" si="2"/>
        <v>0.366255144032922</v>
      </c>
      <c r="I35" s="9">
        <v>291.2</v>
      </c>
      <c r="J35" s="18">
        <f t="shared" si="3"/>
        <v>1.0625</v>
      </c>
      <c r="K35" s="12"/>
      <c r="L35" s="12"/>
      <c r="M35" s="2"/>
      <c r="O35" s="9"/>
      <c r="P35" s="9"/>
      <c r="Q35" s="2"/>
      <c r="S35" s="9">
        <v>11.8</v>
      </c>
      <c r="T35" s="9">
        <v>1298.4</v>
      </c>
      <c r="U35" s="17" t="s">
        <v>34</v>
      </c>
      <c r="V35" s="49"/>
    </row>
    <row r="36" ht="16" customHeight="1" spans="1:22">
      <c r="A36" s="1" t="s">
        <v>46</v>
      </c>
      <c r="B36" s="7" t="s">
        <v>36</v>
      </c>
      <c r="C36" s="9">
        <f>C34+C35</f>
        <v>439</v>
      </c>
      <c r="D36" s="9">
        <f>D34+D35</f>
        <v>227.6</v>
      </c>
      <c r="E36" s="69">
        <f t="shared" si="0"/>
        <v>240</v>
      </c>
      <c r="F36" s="65">
        <f t="shared" si="1"/>
        <v>0.486740804106074</v>
      </c>
      <c r="G36" s="9">
        <f>G34+G35</f>
        <v>63.8</v>
      </c>
      <c r="H36" s="18">
        <f t="shared" si="2"/>
        <v>0.280316344463972</v>
      </c>
      <c r="I36" s="9">
        <f>I34+I35</f>
        <v>467.6</v>
      </c>
      <c r="J36" s="18">
        <f t="shared" si="3"/>
        <v>0.938836612489307</v>
      </c>
      <c r="K36" s="12"/>
      <c r="L36" s="12"/>
      <c r="M36" s="2"/>
      <c r="O36" s="9"/>
      <c r="P36" s="9"/>
      <c r="Q36" s="2"/>
      <c r="S36" s="9">
        <f>S34+S35</f>
        <v>12.6</v>
      </c>
      <c r="T36" s="9">
        <f>T34+T35</f>
        <v>2156.4</v>
      </c>
      <c r="U36" s="9"/>
      <c r="V36" s="49"/>
    </row>
    <row r="37" ht="16" hidden="1" customHeight="1" spans="1:22">
      <c r="A37" s="1" t="s">
        <v>47</v>
      </c>
      <c r="B37" s="7" t="s">
        <v>33</v>
      </c>
      <c r="C37" s="9">
        <v>146.4</v>
      </c>
      <c r="D37" s="9">
        <v>79.4</v>
      </c>
      <c r="E37" s="69">
        <f t="shared" si="0"/>
        <v>102.8</v>
      </c>
      <c r="F37" s="65">
        <f t="shared" si="1"/>
        <v>0.435784851811197</v>
      </c>
      <c r="G37" s="9">
        <v>9.6</v>
      </c>
      <c r="H37" s="18">
        <f t="shared" si="2"/>
        <v>0.120906801007557</v>
      </c>
      <c r="I37" s="9">
        <v>182.2</v>
      </c>
      <c r="J37" s="18">
        <f t="shared" si="3"/>
        <v>0.80351262349067</v>
      </c>
      <c r="K37" s="12"/>
      <c r="L37" s="12"/>
      <c r="M37" s="2"/>
      <c r="O37" s="9"/>
      <c r="P37" s="9"/>
      <c r="Q37" s="2"/>
      <c r="S37" s="9">
        <v>1.4</v>
      </c>
      <c r="T37" s="9">
        <v>807.8</v>
      </c>
      <c r="U37" s="17" t="s">
        <v>34</v>
      </c>
      <c r="V37" s="49"/>
    </row>
    <row r="38" ht="16" hidden="1" customHeight="1" spans="1:22">
      <c r="A38" s="1" t="s">
        <v>47</v>
      </c>
      <c r="B38" s="7" t="s">
        <v>35</v>
      </c>
      <c r="C38" s="9">
        <v>217.8</v>
      </c>
      <c r="D38" s="9">
        <v>65.2</v>
      </c>
      <c r="E38" s="69">
        <f t="shared" si="0"/>
        <v>169.8</v>
      </c>
      <c r="F38" s="65">
        <f t="shared" si="1"/>
        <v>0.277446808510638</v>
      </c>
      <c r="G38" s="9">
        <v>15</v>
      </c>
      <c r="H38" s="18">
        <f t="shared" si="2"/>
        <v>0.230061349693252</v>
      </c>
      <c r="I38" s="9">
        <v>235</v>
      </c>
      <c r="J38" s="18">
        <f t="shared" si="3"/>
        <v>0.926808510638298</v>
      </c>
      <c r="K38" s="12"/>
      <c r="L38" s="12"/>
      <c r="M38" s="2"/>
      <c r="O38" s="9"/>
      <c r="P38" s="9"/>
      <c r="Q38" s="2"/>
      <c r="S38" s="9">
        <v>5.8</v>
      </c>
      <c r="T38" s="9">
        <v>1100.6</v>
      </c>
      <c r="U38" s="17" t="s">
        <v>34</v>
      </c>
      <c r="V38" s="49"/>
    </row>
    <row r="39" ht="16" customHeight="1" spans="1:22">
      <c r="A39" s="1" t="s">
        <v>47</v>
      </c>
      <c r="B39" s="7" t="s">
        <v>36</v>
      </c>
      <c r="C39" s="9">
        <f>C37+C38</f>
        <v>364.2</v>
      </c>
      <c r="D39" s="9">
        <f>D37+D38</f>
        <v>144.6</v>
      </c>
      <c r="E39" s="69">
        <f t="shared" si="0"/>
        <v>272.6</v>
      </c>
      <c r="F39" s="65">
        <f t="shared" si="1"/>
        <v>0.346596356663471</v>
      </c>
      <c r="G39" s="9">
        <f>G37+G38</f>
        <v>24.6</v>
      </c>
      <c r="H39" s="18">
        <f t="shared" si="2"/>
        <v>0.170124481327801</v>
      </c>
      <c r="I39" s="9">
        <f>I37+I38</f>
        <v>417.2</v>
      </c>
      <c r="J39" s="18">
        <f t="shared" si="3"/>
        <v>0.872962607861937</v>
      </c>
      <c r="K39" s="12"/>
      <c r="L39" s="12"/>
      <c r="M39" s="2"/>
      <c r="O39" s="9"/>
      <c r="P39" s="9"/>
      <c r="Q39" s="2"/>
      <c r="S39" s="9">
        <f>S37+S38</f>
        <v>7.2</v>
      </c>
      <c r="T39" s="9">
        <f>T37+T38</f>
        <v>1908.4</v>
      </c>
      <c r="U39" s="9"/>
      <c r="V39" s="49"/>
    </row>
    <row r="40" ht="16" hidden="1" customHeight="1" spans="1:22">
      <c r="A40" s="1" t="s">
        <v>48</v>
      </c>
      <c r="B40" s="7" t="s">
        <v>33</v>
      </c>
      <c r="C40" s="9">
        <v>135.8</v>
      </c>
      <c r="D40" s="9">
        <v>91.8</v>
      </c>
      <c r="E40" s="69">
        <f t="shared" si="0"/>
        <v>106</v>
      </c>
      <c r="F40" s="65">
        <f t="shared" si="1"/>
        <v>0.464105156723964</v>
      </c>
      <c r="G40" s="9">
        <v>11.8</v>
      </c>
      <c r="H40" s="18">
        <f t="shared" si="2"/>
        <v>0.128540305010893</v>
      </c>
      <c r="I40" s="9">
        <v>197.8</v>
      </c>
      <c r="J40" s="18">
        <f t="shared" si="3"/>
        <v>0.686552072800809</v>
      </c>
      <c r="K40" s="12"/>
      <c r="L40" s="12"/>
      <c r="M40" s="2"/>
      <c r="O40" s="9"/>
      <c r="P40" s="9"/>
      <c r="Q40" s="2"/>
      <c r="S40" s="9">
        <v>0.6</v>
      </c>
      <c r="T40" s="9">
        <v>783.8</v>
      </c>
      <c r="U40" s="17" t="s">
        <v>34</v>
      </c>
      <c r="V40" s="49"/>
    </row>
    <row r="41" ht="16" hidden="1" customHeight="1" spans="1:22">
      <c r="A41" s="1" t="s">
        <v>48</v>
      </c>
      <c r="B41" s="7" t="s">
        <v>35</v>
      </c>
      <c r="C41" s="9">
        <v>241</v>
      </c>
      <c r="D41" s="9">
        <v>87.6</v>
      </c>
      <c r="E41" s="69">
        <f t="shared" si="0"/>
        <v>157.6</v>
      </c>
      <c r="F41" s="65">
        <f t="shared" si="1"/>
        <v>0.357259380097879</v>
      </c>
      <c r="G41" s="9">
        <v>18.2</v>
      </c>
      <c r="H41" s="18">
        <f t="shared" si="2"/>
        <v>0.207762557077626</v>
      </c>
      <c r="I41" s="9">
        <v>245.2</v>
      </c>
      <c r="J41" s="18">
        <f t="shared" si="3"/>
        <v>0.982871125611746</v>
      </c>
      <c r="K41" s="12"/>
      <c r="L41" s="12"/>
      <c r="M41" s="2"/>
      <c r="O41" s="9"/>
      <c r="P41" s="9"/>
      <c r="Q41" s="2"/>
      <c r="S41" s="9">
        <v>13</v>
      </c>
      <c r="T41" s="9">
        <v>904</v>
      </c>
      <c r="U41" s="17" t="s">
        <v>34</v>
      </c>
      <c r="V41" s="49"/>
    </row>
    <row r="42" ht="16" customHeight="1" spans="1:22">
      <c r="A42" s="1" t="s">
        <v>48</v>
      </c>
      <c r="B42" s="7" t="s">
        <v>36</v>
      </c>
      <c r="C42" s="9">
        <f>C40+C41</f>
        <v>376.8</v>
      </c>
      <c r="D42" s="9">
        <f>D40+D41</f>
        <v>179.4</v>
      </c>
      <c r="E42" s="69">
        <f t="shared" si="0"/>
        <v>263.6</v>
      </c>
      <c r="F42" s="65">
        <f t="shared" si="1"/>
        <v>0.404966139954853</v>
      </c>
      <c r="G42" s="9">
        <f>G40+G41</f>
        <v>30</v>
      </c>
      <c r="H42" s="18">
        <f t="shared" si="2"/>
        <v>0.167224080267559</v>
      </c>
      <c r="I42" s="9">
        <f>I40+I41</f>
        <v>443</v>
      </c>
      <c r="J42" s="18">
        <f t="shared" si="3"/>
        <v>0.850564334085779</v>
      </c>
      <c r="K42" s="12"/>
      <c r="L42" s="12"/>
      <c r="M42" s="2"/>
      <c r="O42" s="9"/>
      <c r="P42" s="9"/>
      <c r="Q42" s="2"/>
      <c r="S42" s="9">
        <f>S40+S41</f>
        <v>13.6</v>
      </c>
      <c r="T42" s="9">
        <f>T40+T41</f>
        <v>1687.8</v>
      </c>
      <c r="U42" s="9"/>
      <c r="V42" s="49"/>
    </row>
    <row r="43" ht="16" hidden="1" customHeight="1" spans="1:22">
      <c r="A43" s="1" t="s">
        <v>49</v>
      </c>
      <c r="B43" s="7" t="s">
        <v>33</v>
      </c>
      <c r="C43" s="9">
        <v>104</v>
      </c>
      <c r="D43" s="9">
        <v>71.6</v>
      </c>
      <c r="E43" s="69">
        <f t="shared" si="0"/>
        <v>94.4</v>
      </c>
      <c r="F43" s="65">
        <f t="shared" si="1"/>
        <v>0.431325301204819</v>
      </c>
      <c r="G43" s="9">
        <v>7.8</v>
      </c>
      <c r="H43" s="18">
        <f t="shared" si="2"/>
        <v>0.108938547486034</v>
      </c>
      <c r="I43" s="9">
        <v>166</v>
      </c>
      <c r="J43" s="18">
        <f t="shared" si="3"/>
        <v>0.626506024096386</v>
      </c>
      <c r="K43" s="12"/>
      <c r="L43" s="12"/>
      <c r="M43" s="2"/>
      <c r="O43" s="9"/>
      <c r="P43" s="9"/>
      <c r="Q43" s="2"/>
      <c r="S43" s="9">
        <v>1</v>
      </c>
      <c r="T43" s="9">
        <v>670.8</v>
      </c>
      <c r="U43" s="17" t="s">
        <v>34</v>
      </c>
      <c r="V43" s="49"/>
    </row>
    <row r="44" ht="16" hidden="1" customHeight="1" spans="1:22">
      <c r="A44" s="1" t="s">
        <v>49</v>
      </c>
      <c r="B44" s="7" t="s">
        <v>35</v>
      </c>
      <c r="C44" s="9">
        <v>248.4</v>
      </c>
      <c r="D44" s="9">
        <v>108</v>
      </c>
      <c r="E44" s="69">
        <f t="shared" si="0"/>
        <v>164</v>
      </c>
      <c r="F44" s="65">
        <f t="shared" si="1"/>
        <v>0.397058823529412</v>
      </c>
      <c r="G44" s="9">
        <v>21.2</v>
      </c>
      <c r="H44" s="18">
        <f t="shared" si="2"/>
        <v>0.196296296296296</v>
      </c>
      <c r="I44" s="9">
        <v>272</v>
      </c>
      <c r="J44" s="18">
        <f t="shared" si="3"/>
        <v>0.913235294117647</v>
      </c>
      <c r="K44" s="12"/>
      <c r="L44" s="12"/>
      <c r="M44" s="2"/>
      <c r="O44" s="9"/>
      <c r="P44" s="9"/>
      <c r="Q44" s="2"/>
      <c r="S44" s="9">
        <v>8.2</v>
      </c>
      <c r="T44" s="9">
        <v>886.6</v>
      </c>
      <c r="U44" s="17" t="s">
        <v>34</v>
      </c>
      <c r="V44" s="49"/>
    </row>
    <row r="45" ht="16" customHeight="1" spans="1:22">
      <c r="A45" s="1" t="s">
        <v>49</v>
      </c>
      <c r="B45" s="7" t="s">
        <v>36</v>
      </c>
      <c r="C45" s="9">
        <f>C43+C44</f>
        <v>352.4</v>
      </c>
      <c r="D45" s="9">
        <f>D43+D44</f>
        <v>179.6</v>
      </c>
      <c r="E45" s="69">
        <f t="shared" si="0"/>
        <v>258.4</v>
      </c>
      <c r="F45" s="65">
        <f t="shared" si="1"/>
        <v>0.410045662100457</v>
      </c>
      <c r="G45" s="9">
        <f>G43+G44</f>
        <v>29</v>
      </c>
      <c r="H45" s="18">
        <f t="shared" si="2"/>
        <v>0.161469933184855</v>
      </c>
      <c r="I45" s="9">
        <f>I43+I44</f>
        <v>438</v>
      </c>
      <c r="J45" s="18">
        <f t="shared" si="3"/>
        <v>0.804566210045662</v>
      </c>
      <c r="K45" s="12"/>
      <c r="L45" s="12"/>
      <c r="M45" s="2"/>
      <c r="O45" s="9"/>
      <c r="P45" s="9"/>
      <c r="Q45" s="2"/>
      <c r="S45" s="9">
        <f>S43+S44</f>
        <v>9.2</v>
      </c>
      <c r="T45" s="9">
        <f>T43+T44</f>
        <v>1557.4</v>
      </c>
      <c r="U45" s="9"/>
      <c r="V45" s="49"/>
    </row>
    <row r="46" ht="16" hidden="1" customHeight="1" spans="1:22">
      <c r="A46" s="1" t="s">
        <v>50</v>
      </c>
      <c r="B46" s="7" t="s">
        <v>33</v>
      </c>
      <c r="C46" s="9">
        <v>159.8</v>
      </c>
      <c r="D46" s="9">
        <v>76</v>
      </c>
      <c r="E46" s="69">
        <f t="shared" si="0"/>
        <v>112</v>
      </c>
      <c r="F46" s="65">
        <f t="shared" si="1"/>
        <v>0.404255319148936</v>
      </c>
      <c r="G46" s="9">
        <v>9.2</v>
      </c>
      <c r="H46" s="18">
        <f t="shared" si="2"/>
        <v>0.121052631578947</v>
      </c>
      <c r="I46" s="9">
        <v>188</v>
      </c>
      <c r="J46" s="18">
        <f t="shared" si="3"/>
        <v>0.85</v>
      </c>
      <c r="K46" s="12"/>
      <c r="L46" s="12"/>
      <c r="M46" s="2"/>
      <c r="O46" s="9"/>
      <c r="P46" s="9"/>
      <c r="Q46" s="2"/>
      <c r="S46" s="9">
        <v>1</v>
      </c>
      <c r="T46" s="9">
        <v>750.6</v>
      </c>
      <c r="U46" s="17" t="s">
        <v>34</v>
      </c>
      <c r="V46" s="49"/>
    </row>
    <row r="47" ht="16" hidden="1" customHeight="1" spans="1:22">
      <c r="A47" s="1" t="s">
        <v>50</v>
      </c>
      <c r="B47" s="7" t="s">
        <v>35</v>
      </c>
      <c r="C47" s="9">
        <v>220.8</v>
      </c>
      <c r="D47" s="9">
        <v>72.2</v>
      </c>
      <c r="E47" s="69">
        <f t="shared" si="0"/>
        <v>162.6</v>
      </c>
      <c r="F47" s="65">
        <f t="shared" si="1"/>
        <v>0.307495741056218</v>
      </c>
      <c r="G47" s="9">
        <v>13.2</v>
      </c>
      <c r="H47" s="18">
        <f t="shared" si="2"/>
        <v>0.182825484764543</v>
      </c>
      <c r="I47" s="9">
        <v>234.8</v>
      </c>
      <c r="J47" s="18">
        <f t="shared" si="3"/>
        <v>0.940374787052811</v>
      </c>
      <c r="K47" s="12"/>
      <c r="L47" s="12"/>
      <c r="M47" s="2"/>
      <c r="O47" s="9"/>
      <c r="P47" s="9"/>
      <c r="Q47" s="2"/>
      <c r="S47" s="9">
        <v>5.6</v>
      </c>
      <c r="T47" s="9">
        <v>921.2</v>
      </c>
      <c r="U47" s="17" t="s">
        <v>34</v>
      </c>
      <c r="V47" s="49"/>
    </row>
    <row r="48" ht="16" customHeight="1" spans="1:22">
      <c r="A48" s="1" t="s">
        <v>50</v>
      </c>
      <c r="B48" s="7" t="s">
        <v>36</v>
      </c>
      <c r="C48" s="9">
        <f>C46+C47</f>
        <v>380.6</v>
      </c>
      <c r="D48" s="9">
        <f>D46+D47</f>
        <v>148.2</v>
      </c>
      <c r="E48" s="69">
        <f t="shared" si="0"/>
        <v>274.6</v>
      </c>
      <c r="F48" s="65">
        <f t="shared" si="1"/>
        <v>0.350520340586566</v>
      </c>
      <c r="G48" s="9">
        <f>G46+G47</f>
        <v>22.4</v>
      </c>
      <c r="H48" s="18">
        <f t="shared" si="2"/>
        <v>0.15114709851552</v>
      </c>
      <c r="I48" s="9">
        <f>I46+I47</f>
        <v>422.8</v>
      </c>
      <c r="J48" s="18">
        <f t="shared" si="3"/>
        <v>0.900189214758751</v>
      </c>
      <c r="K48" s="12"/>
      <c r="L48" s="12"/>
      <c r="M48" s="2"/>
      <c r="O48" s="9"/>
      <c r="P48" s="9"/>
      <c r="Q48" s="2"/>
      <c r="S48" s="9">
        <f>S46+S47</f>
        <v>6.6</v>
      </c>
      <c r="T48" s="9">
        <f>T46+T47</f>
        <v>1671.8</v>
      </c>
      <c r="U48" s="9"/>
      <c r="V48" s="49"/>
    </row>
    <row r="49" ht="16" hidden="1" customHeight="1" spans="1:22">
      <c r="A49" s="1" t="s">
        <v>51</v>
      </c>
      <c r="B49" s="7" t="s">
        <v>33</v>
      </c>
      <c r="C49" s="9">
        <v>116.4</v>
      </c>
      <c r="D49" s="9">
        <v>69.8</v>
      </c>
      <c r="E49" s="69">
        <f t="shared" si="0"/>
        <v>114.6</v>
      </c>
      <c r="F49" s="65">
        <f t="shared" si="1"/>
        <v>0.378524945770065</v>
      </c>
      <c r="G49" s="9">
        <v>8</v>
      </c>
      <c r="H49" s="18">
        <f t="shared" si="2"/>
        <v>0.114613180515759</v>
      </c>
      <c r="I49" s="9">
        <v>184.4</v>
      </c>
      <c r="J49" s="18">
        <f t="shared" si="3"/>
        <v>0.631236442516269</v>
      </c>
      <c r="K49" s="12"/>
      <c r="L49" s="12"/>
      <c r="M49" s="2"/>
      <c r="O49" s="9"/>
      <c r="P49" s="9"/>
      <c r="Q49" s="2"/>
      <c r="S49" s="9">
        <v>1.2</v>
      </c>
      <c r="T49" s="9">
        <v>706.8</v>
      </c>
      <c r="U49" s="17" t="s">
        <v>34</v>
      </c>
      <c r="V49" s="49"/>
    </row>
    <row r="50" ht="16" hidden="1" customHeight="1" spans="1:22">
      <c r="A50" s="1" t="s">
        <v>51</v>
      </c>
      <c r="B50" s="7" t="s">
        <v>35</v>
      </c>
      <c r="C50" s="9">
        <v>230.2</v>
      </c>
      <c r="D50" s="9">
        <v>72.8</v>
      </c>
      <c r="E50" s="69">
        <f t="shared" si="0"/>
        <v>160</v>
      </c>
      <c r="F50" s="65">
        <f t="shared" si="1"/>
        <v>0.312714776632302</v>
      </c>
      <c r="G50" s="9">
        <v>12.8</v>
      </c>
      <c r="H50" s="18">
        <f t="shared" si="2"/>
        <v>0.175824175824176</v>
      </c>
      <c r="I50" s="9">
        <v>232.8</v>
      </c>
      <c r="J50" s="18">
        <f t="shared" si="3"/>
        <v>0.988831615120275</v>
      </c>
      <c r="K50" s="12"/>
      <c r="L50" s="12"/>
      <c r="M50" s="2"/>
      <c r="O50" s="9"/>
      <c r="P50" s="9"/>
      <c r="Q50" s="2"/>
      <c r="S50" s="9">
        <v>7.2</v>
      </c>
      <c r="T50" s="9">
        <v>871.4</v>
      </c>
      <c r="U50" s="9">
        <v>2</v>
      </c>
      <c r="V50" s="49"/>
    </row>
    <row r="51" ht="16" customHeight="1" spans="1:36">
      <c r="A51" s="1" t="s">
        <v>51</v>
      </c>
      <c r="B51" s="7" t="s">
        <v>36</v>
      </c>
      <c r="C51" s="9">
        <f>C49+C50</f>
        <v>346.6</v>
      </c>
      <c r="D51" s="9">
        <f>D49+D50</f>
        <v>142.6</v>
      </c>
      <c r="E51" s="69">
        <f t="shared" si="0"/>
        <v>274.6</v>
      </c>
      <c r="F51" s="65">
        <f t="shared" si="1"/>
        <v>0.341802492809204</v>
      </c>
      <c r="G51" s="9">
        <f>G49+G50</f>
        <v>20.8</v>
      </c>
      <c r="H51" s="18">
        <f t="shared" si="2"/>
        <v>0.14586255259467</v>
      </c>
      <c r="I51" s="9">
        <f>I49+I50</f>
        <v>417.2</v>
      </c>
      <c r="J51" s="18">
        <f t="shared" si="3"/>
        <v>0.830776605944391</v>
      </c>
      <c r="K51" s="12"/>
      <c r="L51" s="12"/>
      <c r="M51" s="2"/>
      <c r="O51" s="9"/>
      <c r="P51" s="9"/>
      <c r="Q51" s="2"/>
      <c r="S51" s="9">
        <f>S49+S50</f>
        <v>8.4</v>
      </c>
      <c r="T51" s="9">
        <f>T49+T50</f>
        <v>1578.2</v>
      </c>
      <c r="U51" s="9"/>
      <c r="V51" s="49"/>
      <c r="X51" s="2" t="s">
        <v>52</v>
      </c>
      <c r="AJ51" s="2" t="s">
        <v>53</v>
      </c>
    </row>
    <row r="52" ht="16" hidden="1" customHeight="1" spans="1:22">
      <c r="A52" s="1" t="s">
        <v>54</v>
      </c>
      <c r="B52" s="7" t="s">
        <v>33</v>
      </c>
      <c r="C52" s="9">
        <v>105.8</v>
      </c>
      <c r="D52" s="9">
        <v>75.8</v>
      </c>
      <c r="E52" s="69">
        <f t="shared" si="0"/>
        <v>102</v>
      </c>
      <c r="F52" s="65">
        <f t="shared" si="1"/>
        <v>0.426321709786277</v>
      </c>
      <c r="G52" s="9">
        <v>9.6</v>
      </c>
      <c r="H52" s="18">
        <f t="shared" si="2"/>
        <v>0.12664907651715</v>
      </c>
      <c r="I52" s="9">
        <v>177.8</v>
      </c>
      <c r="J52" s="18">
        <f t="shared" si="3"/>
        <v>0.595050618672666</v>
      </c>
      <c r="K52" s="12"/>
      <c r="L52" s="12"/>
      <c r="M52" s="2"/>
      <c r="O52" s="9"/>
      <c r="P52" s="9"/>
      <c r="Q52" s="2"/>
      <c r="S52" s="9">
        <v>1.2</v>
      </c>
      <c r="T52" s="9">
        <v>637.2</v>
      </c>
      <c r="U52" s="17" t="s">
        <v>34</v>
      </c>
      <c r="V52" s="49"/>
    </row>
    <row r="53" ht="16" hidden="1" customHeight="1" spans="1:22">
      <c r="A53" s="1" t="s">
        <v>54</v>
      </c>
      <c r="B53" s="7" t="s">
        <v>35</v>
      </c>
      <c r="C53" s="9">
        <v>205</v>
      </c>
      <c r="D53" s="9">
        <v>72.4</v>
      </c>
      <c r="E53" s="69">
        <f t="shared" si="0"/>
        <v>146.6</v>
      </c>
      <c r="F53" s="65">
        <f t="shared" si="1"/>
        <v>0.330593607305936</v>
      </c>
      <c r="G53" s="9">
        <v>12.4</v>
      </c>
      <c r="H53" s="18">
        <f t="shared" si="2"/>
        <v>0.171270718232044</v>
      </c>
      <c r="I53" s="9">
        <v>219</v>
      </c>
      <c r="J53" s="18">
        <f t="shared" si="3"/>
        <v>0.936073059360731</v>
      </c>
      <c r="K53" s="12"/>
      <c r="L53" s="12"/>
      <c r="M53" s="2"/>
      <c r="O53" s="9"/>
      <c r="P53" s="9"/>
      <c r="Q53" s="2"/>
      <c r="S53" s="9">
        <v>4.6</v>
      </c>
      <c r="T53" s="9">
        <v>770.2</v>
      </c>
      <c r="U53" s="9">
        <v>2</v>
      </c>
      <c r="V53" s="49"/>
    </row>
    <row r="54" ht="16" customHeight="1" spans="1:22">
      <c r="A54" s="1" t="s">
        <v>54</v>
      </c>
      <c r="B54" s="7" t="s">
        <v>36</v>
      </c>
      <c r="C54" s="9">
        <f>C52+C53</f>
        <v>310.8</v>
      </c>
      <c r="D54" s="9">
        <f>D52+D53</f>
        <v>148.2</v>
      </c>
      <c r="E54" s="69">
        <f t="shared" si="0"/>
        <v>248.6</v>
      </c>
      <c r="F54" s="65">
        <f t="shared" si="1"/>
        <v>0.373487903225806</v>
      </c>
      <c r="G54" s="9">
        <f>G52+G53</f>
        <v>22</v>
      </c>
      <c r="H54" s="18">
        <f t="shared" si="2"/>
        <v>0.148448043184885</v>
      </c>
      <c r="I54" s="9">
        <f>I52+I53</f>
        <v>396.8</v>
      </c>
      <c r="J54" s="18">
        <f t="shared" si="3"/>
        <v>0.783266129032258</v>
      </c>
      <c r="K54" s="12"/>
      <c r="L54" s="12"/>
      <c r="M54" s="2"/>
      <c r="O54" s="9"/>
      <c r="P54" s="9"/>
      <c r="Q54" s="2"/>
      <c r="S54" s="9">
        <f>S52+S53</f>
        <v>5.8</v>
      </c>
      <c r="T54" s="9">
        <f>T52+T53</f>
        <v>1407.4</v>
      </c>
      <c r="U54" s="9"/>
      <c r="V54" s="49"/>
    </row>
    <row r="55" ht="16" hidden="1" customHeight="1" spans="1:22">
      <c r="A55" s="1" t="s">
        <v>55</v>
      </c>
      <c r="B55" s="7" t="s">
        <v>33</v>
      </c>
      <c r="C55" s="9">
        <v>127.6</v>
      </c>
      <c r="D55" s="9">
        <v>76.6</v>
      </c>
      <c r="E55" s="69">
        <f t="shared" si="0"/>
        <v>117.4</v>
      </c>
      <c r="F55" s="65">
        <f t="shared" si="1"/>
        <v>0.394845360824742</v>
      </c>
      <c r="G55" s="9">
        <v>7.6</v>
      </c>
      <c r="H55" s="18">
        <f t="shared" si="2"/>
        <v>0.0992167101827676</v>
      </c>
      <c r="I55" s="9">
        <v>194</v>
      </c>
      <c r="J55" s="18">
        <f t="shared" si="3"/>
        <v>0.657731958762887</v>
      </c>
      <c r="K55" s="12"/>
      <c r="L55" s="12"/>
      <c r="M55" s="2"/>
      <c r="O55" s="9"/>
      <c r="P55" s="9"/>
      <c r="Q55" s="2"/>
      <c r="S55" s="9">
        <v>0.4</v>
      </c>
      <c r="T55" s="9">
        <v>783</v>
      </c>
      <c r="U55" s="17" t="s">
        <v>34</v>
      </c>
      <c r="V55" s="49"/>
    </row>
    <row r="56" ht="16" hidden="1" customHeight="1" spans="1:22">
      <c r="A56" s="1" t="s">
        <v>55</v>
      </c>
      <c r="B56" s="7" t="s">
        <v>35</v>
      </c>
      <c r="C56" s="9">
        <v>235.4</v>
      </c>
      <c r="D56" s="9">
        <v>105.8</v>
      </c>
      <c r="E56" s="69">
        <f t="shared" si="0"/>
        <v>161</v>
      </c>
      <c r="F56" s="65">
        <f t="shared" si="1"/>
        <v>0.396551724137931</v>
      </c>
      <c r="G56" s="9">
        <v>16.8</v>
      </c>
      <c r="H56" s="18">
        <f t="shared" si="2"/>
        <v>0.158790170132325</v>
      </c>
      <c r="I56" s="9">
        <v>266.8</v>
      </c>
      <c r="J56" s="18">
        <f t="shared" si="3"/>
        <v>0.882308845577211</v>
      </c>
      <c r="K56" s="12"/>
      <c r="L56" s="12"/>
      <c r="M56" s="2"/>
      <c r="O56" s="9"/>
      <c r="P56" s="9"/>
      <c r="Q56" s="2"/>
      <c r="S56" s="9">
        <v>8</v>
      </c>
      <c r="T56" s="9">
        <v>975.2</v>
      </c>
      <c r="U56" s="9">
        <v>3</v>
      </c>
      <c r="V56" s="49"/>
    </row>
    <row r="57" ht="16" customHeight="1" spans="1:22">
      <c r="A57" s="1" t="s">
        <v>55</v>
      </c>
      <c r="B57" s="7" t="s">
        <v>36</v>
      </c>
      <c r="C57" s="9">
        <f>C55+C56</f>
        <v>363</v>
      </c>
      <c r="D57" s="9">
        <f>D55+D56</f>
        <v>182.4</v>
      </c>
      <c r="E57" s="69">
        <f t="shared" si="0"/>
        <v>278.4</v>
      </c>
      <c r="F57" s="65">
        <f t="shared" si="1"/>
        <v>0.395833333333333</v>
      </c>
      <c r="G57" s="9">
        <f>G55+G56</f>
        <v>24.4</v>
      </c>
      <c r="H57" s="18">
        <f t="shared" si="2"/>
        <v>0.133771929824561</v>
      </c>
      <c r="I57" s="9">
        <f>I55+I56</f>
        <v>460.8</v>
      </c>
      <c r="J57" s="18">
        <f t="shared" si="3"/>
        <v>0.787760416666667</v>
      </c>
      <c r="K57" s="12"/>
      <c r="L57" s="12"/>
      <c r="M57" s="2"/>
      <c r="O57" s="9"/>
      <c r="P57" s="9"/>
      <c r="Q57" s="2"/>
      <c r="S57" s="9">
        <f>S55+S56</f>
        <v>8.4</v>
      </c>
      <c r="T57" s="9">
        <f>T55+T56</f>
        <v>1758.2</v>
      </c>
      <c r="U57" s="9"/>
      <c r="V57" s="49"/>
    </row>
    <row r="58" ht="16" hidden="1" customHeight="1" spans="1:22">
      <c r="A58" s="1" t="s">
        <v>56</v>
      </c>
      <c r="B58" s="7" t="s">
        <v>33</v>
      </c>
      <c r="C58" s="9">
        <v>166.8</v>
      </c>
      <c r="D58" s="9">
        <v>141.8</v>
      </c>
      <c r="E58" s="69">
        <f t="shared" si="0"/>
        <v>111.6</v>
      </c>
      <c r="F58" s="65">
        <f t="shared" si="1"/>
        <v>0.559589581689029</v>
      </c>
      <c r="G58" s="9">
        <v>12.8</v>
      </c>
      <c r="H58" s="18">
        <f t="shared" si="2"/>
        <v>0.0902679830747532</v>
      </c>
      <c r="I58" s="9">
        <v>253.4</v>
      </c>
      <c r="J58" s="18">
        <f t="shared" si="3"/>
        <v>0.658247829518548</v>
      </c>
      <c r="K58" s="12"/>
      <c r="L58" s="12"/>
      <c r="M58" s="2"/>
      <c r="O58" s="9"/>
      <c r="P58" s="9"/>
      <c r="Q58" s="2"/>
      <c r="S58" s="9">
        <v>0.4</v>
      </c>
      <c r="T58" s="9">
        <v>817.2</v>
      </c>
      <c r="U58" s="17" t="s">
        <v>34</v>
      </c>
      <c r="V58" s="49"/>
    </row>
    <row r="59" ht="16" hidden="1" customHeight="1" spans="1:22">
      <c r="A59" s="1" t="s">
        <v>56</v>
      </c>
      <c r="B59" s="7" t="s">
        <v>35</v>
      </c>
      <c r="C59" s="9">
        <v>224.2</v>
      </c>
      <c r="D59" s="9">
        <v>102</v>
      </c>
      <c r="E59" s="69">
        <f t="shared" si="0"/>
        <v>148.6</v>
      </c>
      <c r="F59" s="65">
        <f t="shared" si="1"/>
        <v>0.407023144453312</v>
      </c>
      <c r="G59" s="9">
        <v>15.4</v>
      </c>
      <c r="H59" s="18">
        <f t="shared" si="2"/>
        <v>0.150980392156863</v>
      </c>
      <c r="I59" s="9">
        <v>250.6</v>
      </c>
      <c r="J59" s="18">
        <f t="shared" si="3"/>
        <v>0.894652833200319</v>
      </c>
      <c r="K59" s="12"/>
      <c r="L59" s="12"/>
      <c r="M59" s="2"/>
      <c r="O59" s="9"/>
      <c r="P59" s="9"/>
      <c r="Q59" s="2"/>
      <c r="S59" s="9">
        <v>11.2</v>
      </c>
      <c r="T59" s="9">
        <v>884.8</v>
      </c>
      <c r="U59" s="9">
        <v>1</v>
      </c>
      <c r="V59" s="49"/>
    </row>
    <row r="60" ht="16" customHeight="1" spans="1:22">
      <c r="A60" s="1" t="s">
        <v>56</v>
      </c>
      <c r="B60" s="7" t="s">
        <v>36</v>
      </c>
      <c r="C60" s="9">
        <f>C58+C59</f>
        <v>391</v>
      </c>
      <c r="D60" s="9">
        <f>D58+D59</f>
        <v>243.8</v>
      </c>
      <c r="E60" s="69">
        <f t="shared" si="0"/>
        <v>260.2</v>
      </c>
      <c r="F60" s="65">
        <f t="shared" si="1"/>
        <v>0.483730158730159</v>
      </c>
      <c r="G60" s="9">
        <f>G58+G59</f>
        <v>28.2</v>
      </c>
      <c r="H60" s="18">
        <f t="shared" si="2"/>
        <v>0.115668580803938</v>
      </c>
      <c r="I60" s="9">
        <f>I58+I59</f>
        <v>504</v>
      </c>
      <c r="J60" s="18">
        <f t="shared" si="3"/>
        <v>0.775793650793651</v>
      </c>
      <c r="K60" s="12"/>
      <c r="L60" s="12"/>
      <c r="M60" s="2"/>
      <c r="O60" s="9"/>
      <c r="P60" s="9"/>
      <c r="Q60" s="2"/>
      <c r="S60" s="9">
        <f>S58+S59</f>
        <v>11.6</v>
      </c>
      <c r="T60" s="9">
        <f>T58+T59</f>
        <v>1702</v>
      </c>
      <c r="U60" s="9"/>
      <c r="V60" s="49"/>
    </row>
    <row r="61" ht="16" hidden="1" customHeight="1" spans="1:22">
      <c r="A61" s="1" t="s">
        <v>57</v>
      </c>
      <c r="B61" s="7" t="s">
        <v>33</v>
      </c>
      <c r="C61" s="9">
        <v>168.4</v>
      </c>
      <c r="D61" s="9">
        <v>158.6</v>
      </c>
      <c r="E61" s="69">
        <f t="shared" si="0"/>
        <v>141.6</v>
      </c>
      <c r="F61" s="65">
        <f t="shared" si="1"/>
        <v>0.528314457028648</v>
      </c>
      <c r="G61" s="9">
        <v>13.6</v>
      </c>
      <c r="H61" s="18">
        <f t="shared" si="2"/>
        <v>0.085750315258512</v>
      </c>
      <c r="I61" s="9">
        <v>300.2</v>
      </c>
      <c r="J61" s="18">
        <f t="shared" si="3"/>
        <v>0.560959360426383</v>
      </c>
      <c r="K61" s="12"/>
      <c r="L61" s="12"/>
      <c r="M61" s="2"/>
      <c r="O61" s="9"/>
      <c r="P61" s="9"/>
      <c r="Q61" s="2"/>
      <c r="S61" s="9">
        <v>0.6</v>
      </c>
      <c r="T61" s="9">
        <v>751</v>
      </c>
      <c r="U61" s="17" t="s">
        <v>34</v>
      </c>
      <c r="V61" s="49"/>
    </row>
    <row r="62" ht="16" hidden="1" customHeight="1" spans="1:22">
      <c r="A62" s="1" t="s">
        <v>57</v>
      </c>
      <c r="B62" s="7" t="s">
        <v>35</v>
      </c>
      <c r="C62" s="9">
        <v>268.4</v>
      </c>
      <c r="D62" s="9">
        <v>101.6</v>
      </c>
      <c r="E62" s="69">
        <f t="shared" si="0"/>
        <v>168.6</v>
      </c>
      <c r="F62" s="65">
        <f t="shared" si="1"/>
        <v>0.376017764618801</v>
      </c>
      <c r="G62" s="9">
        <v>14.8</v>
      </c>
      <c r="H62" s="18">
        <f t="shared" si="2"/>
        <v>0.145669291338583</v>
      </c>
      <c r="I62" s="9">
        <v>270.2</v>
      </c>
      <c r="J62" s="18">
        <f t="shared" si="3"/>
        <v>0.993338267949667</v>
      </c>
      <c r="K62" s="12"/>
      <c r="L62" s="12"/>
      <c r="M62" s="2"/>
      <c r="O62" s="9"/>
      <c r="P62" s="9"/>
      <c r="Q62" s="2"/>
      <c r="S62" s="9">
        <v>9.2</v>
      </c>
      <c r="T62" s="9">
        <v>987.6</v>
      </c>
      <c r="U62" s="9">
        <v>3.4</v>
      </c>
      <c r="V62" s="49"/>
    </row>
    <row r="63" ht="16" customHeight="1" spans="1:22">
      <c r="A63" s="1" t="s">
        <v>57</v>
      </c>
      <c r="B63" s="7" t="s">
        <v>36</v>
      </c>
      <c r="C63" s="9">
        <f>C61+C62</f>
        <v>436.8</v>
      </c>
      <c r="D63" s="9">
        <f>D61+D62</f>
        <v>260.2</v>
      </c>
      <c r="E63" s="69">
        <f t="shared" si="0"/>
        <v>310.2</v>
      </c>
      <c r="F63" s="65">
        <f t="shared" si="1"/>
        <v>0.45617110799439</v>
      </c>
      <c r="G63" s="9">
        <f>G61+G62</f>
        <v>28.4</v>
      </c>
      <c r="H63" s="18">
        <f t="shared" si="2"/>
        <v>0.109146810146042</v>
      </c>
      <c r="I63" s="9">
        <f>I61+I62</f>
        <v>570.4</v>
      </c>
      <c r="J63" s="18">
        <f t="shared" si="3"/>
        <v>0.76577840112202</v>
      </c>
      <c r="K63" s="12"/>
      <c r="L63" s="12"/>
      <c r="M63" s="2"/>
      <c r="O63" s="9"/>
      <c r="P63" s="9"/>
      <c r="Q63" s="2"/>
      <c r="S63" s="9">
        <f>S61+S62</f>
        <v>9.8</v>
      </c>
      <c r="T63" s="9">
        <f>T61+T62</f>
        <v>1738.6</v>
      </c>
      <c r="U63" s="9"/>
      <c r="V63" s="49"/>
    </row>
    <row r="64" ht="16" hidden="1" customHeight="1" spans="1:22">
      <c r="A64" s="1" t="s">
        <v>58</v>
      </c>
      <c r="B64" s="7" t="s">
        <v>33</v>
      </c>
      <c r="C64" s="9">
        <v>196.6</v>
      </c>
      <c r="D64" s="9">
        <v>112.2</v>
      </c>
      <c r="E64" s="69">
        <f t="shared" si="0"/>
        <v>141.4</v>
      </c>
      <c r="F64" s="65">
        <f t="shared" si="1"/>
        <v>0.442429022082019</v>
      </c>
      <c r="G64" s="9">
        <v>13.4</v>
      </c>
      <c r="H64" s="18">
        <f t="shared" si="2"/>
        <v>0.119429590017825</v>
      </c>
      <c r="I64" s="9">
        <v>253.6</v>
      </c>
      <c r="J64" s="18">
        <f t="shared" si="3"/>
        <v>0.775236593059937</v>
      </c>
      <c r="K64" s="12"/>
      <c r="L64" s="12"/>
      <c r="M64" s="2"/>
      <c r="O64" s="9"/>
      <c r="P64" s="9"/>
      <c r="Q64" s="2"/>
      <c r="S64" s="9">
        <v>0.6</v>
      </c>
      <c r="T64" s="9">
        <v>950.6</v>
      </c>
      <c r="U64" s="17" t="s">
        <v>34</v>
      </c>
      <c r="V64" s="49"/>
    </row>
    <row r="65" ht="16" hidden="1" customHeight="1" spans="1:22">
      <c r="A65" s="1" t="s">
        <v>58</v>
      </c>
      <c r="B65" s="7" t="s">
        <v>35</v>
      </c>
      <c r="C65" s="9">
        <v>335.8</v>
      </c>
      <c r="D65" s="9">
        <v>120</v>
      </c>
      <c r="E65" s="69">
        <f t="shared" si="0"/>
        <v>208.4</v>
      </c>
      <c r="F65" s="65">
        <f t="shared" si="1"/>
        <v>0.365408038976858</v>
      </c>
      <c r="G65" s="9">
        <v>24.8</v>
      </c>
      <c r="H65" s="18">
        <f t="shared" si="2"/>
        <v>0.206666666666667</v>
      </c>
      <c r="I65" s="9">
        <v>328.4</v>
      </c>
      <c r="J65" s="18">
        <f t="shared" si="3"/>
        <v>1.02253349573691</v>
      </c>
      <c r="K65" s="12"/>
      <c r="L65" s="12"/>
      <c r="M65" s="2"/>
      <c r="O65" s="9"/>
      <c r="P65" s="9"/>
      <c r="Q65" s="2"/>
      <c r="S65" s="9">
        <v>8.6</v>
      </c>
      <c r="T65" s="9">
        <v>1604.2</v>
      </c>
      <c r="U65" s="9">
        <v>3.4</v>
      </c>
      <c r="V65" s="49"/>
    </row>
    <row r="66" ht="16" customHeight="1" spans="1:22">
      <c r="A66" s="1" t="s">
        <v>58</v>
      </c>
      <c r="B66" s="7" t="s">
        <v>36</v>
      </c>
      <c r="C66" s="9">
        <f>C64+C65</f>
        <v>532.4</v>
      </c>
      <c r="D66" s="9">
        <f>D64+D65</f>
        <v>232.2</v>
      </c>
      <c r="E66" s="69">
        <f t="shared" si="0"/>
        <v>349.8</v>
      </c>
      <c r="F66" s="65">
        <f t="shared" si="1"/>
        <v>0.398969072164948</v>
      </c>
      <c r="G66" s="9">
        <f>G64+G65</f>
        <v>38.2</v>
      </c>
      <c r="H66" s="18">
        <f t="shared" si="2"/>
        <v>0.164513350559862</v>
      </c>
      <c r="I66" s="9">
        <f>I64+I65</f>
        <v>582</v>
      </c>
      <c r="J66" s="18">
        <f t="shared" si="3"/>
        <v>0.914776632302405</v>
      </c>
      <c r="K66" s="12"/>
      <c r="L66" s="12"/>
      <c r="M66" s="2"/>
      <c r="O66" s="9"/>
      <c r="P66" s="9"/>
      <c r="Q66" s="2"/>
      <c r="S66" s="9">
        <f>S64+S65</f>
        <v>9.2</v>
      </c>
      <c r="T66" s="9">
        <f>T64+T65</f>
        <v>2554.8</v>
      </c>
      <c r="U66" s="9"/>
      <c r="V66" s="49"/>
    </row>
    <row r="67" ht="16" hidden="1" customHeight="1" spans="1:22">
      <c r="A67" s="1" t="s">
        <v>59</v>
      </c>
      <c r="B67" s="7" t="s">
        <v>33</v>
      </c>
      <c r="C67" s="9">
        <v>168.4</v>
      </c>
      <c r="D67" s="9">
        <v>88</v>
      </c>
      <c r="E67" s="69">
        <f t="shared" si="0"/>
        <v>139.8</v>
      </c>
      <c r="F67" s="65">
        <f t="shared" si="1"/>
        <v>0.38630377524144</v>
      </c>
      <c r="G67" s="9">
        <v>11.4</v>
      </c>
      <c r="H67" s="18">
        <f t="shared" si="2"/>
        <v>0.129545454545455</v>
      </c>
      <c r="I67" s="9">
        <v>227.8</v>
      </c>
      <c r="J67" s="18">
        <f t="shared" si="3"/>
        <v>0.739244951712028</v>
      </c>
      <c r="K67" s="12"/>
      <c r="L67" s="12"/>
      <c r="M67" s="2"/>
      <c r="O67" s="9"/>
      <c r="P67" s="9"/>
      <c r="Q67" s="2"/>
      <c r="S67" s="9">
        <v>0.6</v>
      </c>
      <c r="T67" s="9">
        <v>837.6</v>
      </c>
      <c r="U67" s="17" t="s">
        <v>34</v>
      </c>
      <c r="V67" s="49"/>
    </row>
    <row r="68" ht="16" hidden="1" customHeight="1" spans="1:22">
      <c r="A68" s="1" t="s">
        <v>59</v>
      </c>
      <c r="B68" s="7" t="s">
        <v>35</v>
      </c>
      <c r="C68" s="9">
        <v>323.6</v>
      </c>
      <c r="D68" s="9">
        <v>100.2</v>
      </c>
      <c r="E68" s="69">
        <f t="shared" si="0"/>
        <v>217.8</v>
      </c>
      <c r="F68" s="65">
        <f t="shared" si="1"/>
        <v>0.315094339622641</v>
      </c>
      <c r="G68" s="9">
        <v>19.4</v>
      </c>
      <c r="H68" s="18">
        <f t="shared" si="2"/>
        <v>0.193612774451098</v>
      </c>
      <c r="I68" s="9">
        <v>318</v>
      </c>
      <c r="J68" s="18">
        <f t="shared" si="3"/>
        <v>1.01761006289308</v>
      </c>
      <c r="K68" s="12"/>
      <c r="L68" s="12"/>
      <c r="M68" s="2"/>
      <c r="O68" s="9"/>
      <c r="P68" s="9"/>
      <c r="Q68" s="2"/>
      <c r="S68" s="9">
        <v>6.2</v>
      </c>
      <c r="T68" s="9">
        <v>1268.8</v>
      </c>
      <c r="U68" s="9">
        <v>5.6</v>
      </c>
      <c r="V68" s="49"/>
    </row>
    <row r="69" ht="16" customHeight="1" spans="1:22">
      <c r="A69" s="1" t="s">
        <v>59</v>
      </c>
      <c r="B69" s="7" t="s">
        <v>36</v>
      </c>
      <c r="C69" s="9">
        <f>C67+C68</f>
        <v>492</v>
      </c>
      <c r="D69" s="9">
        <f>D67+D68</f>
        <v>188.2</v>
      </c>
      <c r="E69" s="69">
        <f t="shared" si="0"/>
        <v>357.6</v>
      </c>
      <c r="F69" s="65">
        <f t="shared" si="1"/>
        <v>0.34481495053133</v>
      </c>
      <c r="G69" s="9">
        <f>G67+G68</f>
        <v>30.8</v>
      </c>
      <c r="H69" s="18">
        <f t="shared" si="2"/>
        <v>0.16365568544102</v>
      </c>
      <c r="I69" s="9">
        <f>I67+I68</f>
        <v>545.8</v>
      </c>
      <c r="J69" s="18">
        <f t="shared" si="3"/>
        <v>0.901429094906559</v>
      </c>
      <c r="K69" s="12"/>
      <c r="L69" s="12"/>
      <c r="M69" s="2"/>
      <c r="O69" s="9"/>
      <c r="P69" s="9"/>
      <c r="Q69" s="2"/>
      <c r="S69" s="9">
        <f>S67+S68</f>
        <v>6.8</v>
      </c>
      <c r="T69" s="9">
        <f>T67+T68</f>
        <v>2106.4</v>
      </c>
      <c r="U69" s="9"/>
      <c r="V69" s="49"/>
    </row>
    <row r="70" ht="16" hidden="1" customHeight="1" spans="1:22">
      <c r="A70" s="1" t="s">
        <v>60</v>
      </c>
      <c r="B70" s="7" t="s">
        <v>33</v>
      </c>
      <c r="C70" s="9">
        <v>186.6</v>
      </c>
      <c r="D70" s="9">
        <v>91</v>
      </c>
      <c r="E70" s="69">
        <f t="shared" si="0"/>
        <v>149.2</v>
      </c>
      <c r="F70" s="65">
        <f t="shared" si="1"/>
        <v>0.378850957535387</v>
      </c>
      <c r="G70" s="9">
        <v>15.6</v>
      </c>
      <c r="H70" s="18">
        <f t="shared" si="2"/>
        <v>0.171428571428571</v>
      </c>
      <c r="I70" s="9">
        <v>240.2</v>
      </c>
      <c r="J70" s="18">
        <f t="shared" si="3"/>
        <v>0.776852622814321</v>
      </c>
      <c r="K70" s="12"/>
      <c r="L70" s="12"/>
      <c r="M70" s="2"/>
      <c r="O70" s="9"/>
      <c r="P70" s="9"/>
      <c r="Q70" s="2"/>
      <c r="S70" s="9">
        <v>0.4</v>
      </c>
      <c r="T70" s="9">
        <v>778.8</v>
      </c>
      <c r="U70" s="9">
        <v>1.2</v>
      </c>
      <c r="V70" s="49">
        <f t="shared" ref="V70:V159" si="4">U70/T70</f>
        <v>0.00154083204930663</v>
      </c>
    </row>
    <row r="71" ht="16" hidden="1" customHeight="1" spans="1:22">
      <c r="A71" s="1" t="s">
        <v>60</v>
      </c>
      <c r="B71" s="7" t="s">
        <v>35</v>
      </c>
      <c r="C71" s="9">
        <v>245.2</v>
      </c>
      <c r="D71" s="9">
        <v>70.4</v>
      </c>
      <c r="E71" s="69">
        <f t="shared" si="0"/>
        <v>204</v>
      </c>
      <c r="F71" s="65">
        <f t="shared" si="1"/>
        <v>0.256559766763848</v>
      </c>
      <c r="G71" s="9">
        <v>16.8</v>
      </c>
      <c r="H71" s="18">
        <f t="shared" si="2"/>
        <v>0.238636363636364</v>
      </c>
      <c r="I71" s="9">
        <v>274.4</v>
      </c>
      <c r="J71" s="18">
        <f t="shared" si="3"/>
        <v>0.893586005830904</v>
      </c>
      <c r="K71" s="12"/>
      <c r="L71" s="12"/>
      <c r="M71" s="2"/>
      <c r="O71" s="9"/>
      <c r="P71" s="9"/>
      <c r="Q71" s="2"/>
      <c r="S71" s="9">
        <v>5.6</v>
      </c>
      <c r="T71" s="9">
        <v>1264.8</v>
      </c>
      <c r="U71" s="9">
        <v>3.6</v>
      </c>
      <c r="V71" s="49">
        <f t="shared" si="4"/>
        <v>0.00284629981024668</v>
      </c>
    </row>
    <row r="72" ht="16" customHeight="1" spans="1:22">
      <c r="A72" s="1" t="s">
        <v>60</v>
      </c>
      <c r="B72" s="7" t="s">
        <v>36</v>
      </c>
      <c r="C72" s="9">
        <f>C70+C71</f>
        <v>431.8</v>
      </c>
      <c r="D72" s="9">
        <f>D70+D71</f>
        <v>161.4</v>
      </c>
      <c r="E72" s="69">
        <f t="shared" si="0"/>
        <v>353.2</v>
      </c>
      <c r="F72" s="65">
        <f t="shared" si="1"/>
        <v>0.313641663427905</v>
      </c>
      <c r="G72" s="9">
        <f>G70+G71</f>
        <v>32.4</v>
      </c>
      <c r="H72" s="18">
        <f t="shared" si="2"/>
        <v>0.200743494423792</v>
      </c>
      <c r="I72" s="9">
        <f>I70+I71</f>
        <v>514.6</v>
      </c>
      <c r="J72" s="18">
        <f t="shared" si="3"/>
        <v>0.839098328799067</v>
      </c>
      <c r="K72" s="12"/>
      <c r="L72" s="12"/>
      <c r="M72" s="2"/>
      <c r="O72" s="9"/>
      <c r="P72" s="9"/>
      <c r="Q72" s="2"/>
      <c r="S72" s="9">
        <f>S70+S71</f>
        <v>6</v>
      </c>
      <c r="T72" s="9">
        <f>T70+T71</f>
        <v>2043.6</v>
      </c>
      <c r="U72" s="9">
        <f>U70+U71</f>
        <v>4.8</v>
      </c>
      <c r="V72" s="49">
        <f t="shared" si="4"/>
        <v>0.00234879624192601</v>
      </c>
    </row>
    <row r="73" ht="16" hidden="1" customHeight="1" spans="1:22">
      <c r="A73" s="1" t="s">
        <v>61</v>
      </c>
      <c r="B73" s="7" t="s">
        <v>33</v>
      </c>
      <c r="C73" s="9">
        <v>172.6</v>
      </c>
      <c r="D73" s="9">
        <v>86.8</v>
      </c>
      <c r="E73" s="69">
        <f t="shared" si="0"/>
        <v>150.6</v>
      </c>
      <c r="F73" s="65">
        <f t="shared" si="1"/>
        <v>0.365627632687447</v>
      </c>
      <c r="G73" s="9">
        <v>8.4</v>
      </c>
      <c r="H73" s="18">
        <f t="shared" si="2"/>
        <v>0.0967741935483871</v>
      </c>
      <c r="I73" s="9">
        <v>237.4</v>
      </c>
      <c r="J73" s="18">
        <f t="shared" si="3"/>
        <v>0.727042965459141</v>
      </c>
      <c r="K73" s="12"/>
      <c r="L73" s="12"/>
      <c r="M73" s="2"/>
      <c r="O73" s="9"/>
      <c r="P73" s="9"/>
      <c r="Q73" s="2"/>
      <c r="S73" s="9">
        <v>1</v>
      </c>
      <c r="T73" s="9">
        <v>720.4</v>
      </c>
      <c r="U73" s="9">
        <v>2.2</v>
      </c>
      <c r="V73" s="49">
        <f t="shared" si="4"/>
        <v>0.00305385896724042</v>
      </c>
    </row>
    <row r="74" ht="16" hidden="1" customHeight="1" spans="1:22">
      <c r="A74" s="1" t="s">
        <v>61</v>
      </c>
      <c r="B74" s="7" t="s">
        <v>35</v>
      </c>
      <c r="C74" s="9">
        <v>189.6</v>
      </c>
      <c r="D74" s="9">
        <v>78.2</v>
      </c>
      <c r="E74" s="69">
        <f t="shared" si="0"/>
        <v>201.4</v>
      </c>
      <c r="F74" s="65">
        <f t="shared" si="1"/>
        <v>0.279685264663805</v>
      </c>
      <c r="G74" s="9">
        <v>14</v>
      </c>
      <c r="H74" s="18">
        <f t="shared" si="2"/>
        <v>0.179028132992327</v>
      </c>
      <c r="I74" s="9">
        <v>279.6</v>
      </c>
      <c r="J74" s="18">
        <f t="shared" si="3"/>
        <v>0.678111587982833</v>
      </c>
      <c r="K74" s="12"/>
      <c r="L74" s="12"/>
      <c r="M74" s="2"/>
      <c r="O74" s="9"/>
      <c r="P74" s="9"/>
      <c r="Q74" s="2"/>
      <c r="S74" s="9">
        <v>7.2</v>
      </c>
      <c r="T74" s="9">
        <v>1018.8</v>
      </c>
      <c r="U74" s="9">
        <v>2.4</v>
      </c>
      <c r="V74" s="49">
        <f t="shared" si="4"/>
        <v>0.00235571260306243</v>
      </c>
    </row>
    <row r="75" ht="16" customHeight="1" spans="1:22">
      <c r="A75" s="1" t="s">
        <v>61</v>
      </c>
      <c r="B75" s="7" t="s">
        <v>36</v>
      </c>
      <c r="C75" s="9">
        <f>C73+C74</f>
        <v>362.2</v>
      </c>
      <c r="D75" s="9">
        <f>D73+D74</f>
        <v>165</v>
      </c>
      <c r="E75" s="69">
        <f t="shared" si="0"/>
        <v>352</v>
      </c>
      <c r="F75" s="65">
        <f t="shared" si="1"/>
        <v>0.319148936170213</v>
      </c>
      <c r="G75" s="9">
        <f>G73+G74</f>
        <v>22.4</v>
      </c>
      <c r="H75" s="18">
        <f t="shared" si="2"/>
        <v>0.135757575757576</v>
      </c>
      <c r="I75" s="9">
        <f>I73+I74</f>
        <v>517</v>
      </c>
      <c r="J75" s="18">
        <f t="shared" si="3"/>
        <v>0.700580270793037</v>
      </c>
      <c r="K75" s="12"/>
      <c r="L75" s="12"/>
      <c r="M75" s="2"/>
      <c r="O75" s="9"/>
      <c r="P75" s="9"/>
      <c r="Q75" s="2"/>
      <c r="S75" s="9">
        <f>S73+S74</f>
        <v>8.2</v>
      </c>
      <c r="T75" s="9">
        <f>T73+T74</f>
        <v>1739.2</v>
      </c>
      <c r="U75" s="9">
        <f>U73+U74</f>
        <v>4.6</v>
      </c>
      <c r="V75" s="49">
        <f t="shared" si="4"/>
        <v>0.00264489420423183</v>
      </c>
    </row>
    <row r="76" ht="16" hidden="1" customHeight="1" spans="1:22">
      <c r="A76" s="1" t="s">
        <v>62</v>
      </c>
      <c r="B76" s="7" t="s">
        <v>33</v>
      </c>
      <c r="C76" s="9">
        <v>171</v>
      </c>
      <c r="D76" s="9">
        <v>93.6</v>
      </c>
      <c r="E76" s="69">
        <f t="shared" si="0"/>
        <v>155</v>
      </c>
      <c r="F76" s="65">
        <f t="shared" si="1"/>
        <v>0.376508447304907</v>
      </c>
      <c r="G76" s="9">
        <v>14.6</v>
      </c>
      <c r="H76" s="18">
        <f t="shared" si="2"/>
        <v>0.155982905982906</v>
      </c>
      <c r="I76" s="9">
        <v>248.6</v>
      </c>
      <c r="J76" s="18">
        <f t="shared" si="3"/>
        <v>0.687851971037812</v>
      </c>
      <c r="K76" s="12"/>
      <c r="L76" s="12"/>
      <c r="M76" s="2"/>
      <c r="O76" s="9"/>
      <c r="P76" s="9"/>
      <c r="Q76" s="2"/>
      <c r="S76" s="9">
        <v>0.8</v>
      </c>
      <c r="T76" s="9">
        <v>795.6</v>
      </c>
      <c r="U76" s="9">
        <v>2.8</v>
      </c>
      <c r="V76" s="49">
        <f t="shared" si="4"/>
        <v>0.00351935646053293</v>
      </c>
    </row>
    <row r="77" ht="16" hidden="1" customHeight="1" spans="1:22">
      <c r="A77" s="1" t="s">
        <v>62</v>
      </c>
      <c r="B77" s="7" t="s">
        <v>35</v>
      </c>
      <c r="C77" s="9">
        <v>271.4</v>
      </c>
      <c r="D77" s="9">
        <v>76.4</v>
      </c>
      <c r="E77" s="69">
        <f t="shared" si="0"/>
        <v>181</v>
      </c>
      <c r="F77" s="65">
        <f t="shared" si="1"/>
        <v>0.296814296814297</v>
      </c>
      <c r="G77" s="9">
        <v>15</v>
      </c>
      <c r="H77" s="18">
        <f t="shared" si="2"/>
        <v>0.196335078534031</v>
      </c>
      <c r="I77" s="9">
        <v>257.4</v>
      </c>
      <c r="J77" s="18">
        <f t="shared" si="3"/>
        <v>1.05439005439005</v>
      </c>
      <c r="K77" s="12"/>
      <c r="L77" s="12"/>
      <c r="M77" s="2"/>
      <c r="O77" s="9"/>
      <c r="P77" s="9"/>
      <c r="Q77" s="2"/>
      <c r="S77" s="9">
        <v>5.8</v>
      </c>
      <c r="T77" s="9">
        <v>1257.6</v>
      </c>
      <c r="U77" s="9">
        <v>3.4</v>
      </c>
      <c r="V77" s="49">
        <f t="shared" si="4"/>
        <v>0.00270356234096692</v>
      </c>
    </row>
    <row r="78" ht="16" customHeight="1" spans="1:22">
      <c r="A78" s="1" t="s">
        <v>62</v>
      </c>
      <c r="B78" s="7" t="s">
        <v>36</v>
      </c>
      <c r="C78" s="9">
        <f>C76+C77</f>
        <v>442.4</v>
      </c>
      <c r="D78" s="9">
        <f>D76+D77</f>
        <v>170</v>
      </c>
      <c r="E78" s="69">
        <f t="shared" si="0"/>
        <v>336</v>
      </c>
      <c r="F78" s="65">
        <f t="shared" si="1"/>
        <v>0.33596837944664</v>
      </c>
      <c r="G78" s="9">
        <f>G76+G77</f>
        <v>29.6</v>
      </c>
      <c r="H78" s="18">
        <f t="shared" si="2"/>
        <v>0.174117647058824</v>
      </c>
      <c r="I78" s="9">
        <f>I76+I77</f>
        <v>506</v>
      </c>
      <c r="J78" s="18">
        <f t="shared" si="3"/>
        <v>0.874308300395257</v>
      </c>
      <c r="K78" s="12"/>
      <c r="L78" s="12"/>
      <c r="M78" s="2"/>
      <c r="O78" s="9"/>
      <c r="P78" s="9"/>
      <c r="Q78" s="2"/>
      <c r="S78" s="9">
        <f>S76+S77</f>
        <v>6.6</v>
      </c>
      <c r="T78" s="9">
        <f>T76+T77</f>
        <v>2053.2</v>
      </c>
      <c r="U78" s="9">
        <f>U76+U77</f>
        <v>6.2</v>
      </c>
      <c r="V78" s="49">
        <f t="shared" si="4"/>
        <v>0.00301967660237678</v>
      </c>
    </row>
    <row r="79" ht="16" hidden="1" customHeight="1" spans="1:22">
      <c r="A79" s="1" t="s">
        <v>63</v>
      </c>
      <c r="B79" s="7" t="s">
        <v>33</v>
      </c>
      <c r="C79" s="9">
        <v>163.6</v>
      </c>
      <c r="D79" s="9">
        <v>95.6</v>
      </c>
      <c r="E79" s="69">
        <f t="shared" si="0"/>
        <v>132.4</v>
      </c>
      <c r="F79" s="65">
        <f t="shared" si="1"/>
        <v>0.419298245614035</v>
      </c>
      <c r="G79" s="9">
        <v>11.2</v>
      </c>
      <c r="H79" s="18">
        <f t="shared" si="2"/>
        <v>0.117154811715481</v>
      </c>
      <c r="I79" s="9">
        <v>228</v>
      </c>
      <c r="J79" s="18">
        <f t="shared" si="3"/>
        <v>0.717543859649123</v>
      </c>
      <c r="K79" s="12"/>
      <c r="L79" s="12"/>
      <c r="M79" s="2"/>
      <c r="O79" s="9"/>
      <c r="P79" s="9"/>
      <c r="Q79" s="2"/>
      <c r="S79" s="9">
        <v>0.6</v>
      </c>
      <c r="T79" s="9">
        <v>766.8</v>
      </c>
      <c r="U79" s="9">
        <v>3.6</v>
      </c>
      <c r="V79" s="49">
        <f t="shared" si="4"/>
        <v>0.00469483568075117</v>
      </c>
    </row>
    <row r="80" ht="16" hidden="1" customHeight="1" spans="1:22">
      <c r="A80" s="1" t="s">
        <v>63</v>
      </c>
      <c r="B80" s="7" t="s">
        <v>35</v>
      </c>
      <c r="C80" s="9">
        <v>229.4</v>
      </c>
      <c r="D80" s="9">
        <v>69.8</v>
      </c>
      <c r="E80" s="69">
        <f t="shared" si="0"/>
        <v>167</v>
      </c>
      <c r="F80" s="65">
        <f t="shared" si="1"/>
        <v>0.294763513513513</v>
      </c>
      <c r="G80" s="9">
        <v>14.4</v>
      </c>
      <c r="H80" s="18">
        <f t="shared" si="2"/>
        <v>0.206303724928367</v>
      </c>
      <c r="I80" s="9">
        <v>236.8</v>
      </c>
      <c r="J80" s="18">
        <f t="shared" si="3"/>
        <v>0.96875</v>
      </c>
      <c r="K80" s="12"/>
      <c r="L80" s="12"/>
      <c r="M80" s="2"/>
      <c r="O80" s="9"/>
      <c r="P80" s="9"/>
      <c r="Q80" s="2"/>
      <c r="S80" s="9">
        <v>6</v>
      </c>
      <c r="T80" s="9">
        <v>1173.6</v>
      </c>
      <c r="U80" s="9">
        <v>1.4</v>
      </c>
      <c r="V80" s="49">
        <f t="shared" si="4"/>
        <v>0.00119291070211316</v>
      </c>
    </row>
    <row r="81" ht="16" customHeight="1" spans="1:22">
      <c r="A81" s="1" t="s">
        <v>63</v>
      </c>
      <c r="B81" s="7" t="s">
        <v>36</v>
      </c>
      <c r="C81" s="9">
        <f>C79+C80</f>
        <v>393</v>
      </c>
      <c r="D81" s="9">
        <f>D79+D80</f>
        <v>165.4</v>
      </c>
      <c r="E81" s="69">
        <f t="shared" si="0"/>
        <v>299.4</v>
      </c>
      <c r="F81" s="65">
        <f t="shared" si="1"/>
        <v>0.355851979345955</v>
      </c>
      <c r="G81" s="9">
        <f>G79+G80</f>
        <v>25.6</v>
      </c>
      <c r="H81" s="18">
        <f t="shared" si="2"/>
        <v>0.154776299879081</v>
      </c>
      <c r="I81" s="9">
        <f>I79+I80</f>
        <v>464.8</v>
      </c>
      <c r="J81" s="18">
        <f t="shared" si="3"/>
        <v>0.84552495697074</v>
      </c>
      <c r="K81" s="12"/>
      <c r="L81" s="12"/>
      <c r="M81" s="2"/>
      <c r="O81" s="9"/>
      <c r="P81" s="9"/>
      <c r="Q81" s="2"/>
      <c r="S81" s="9">
        <f>S79+S80</f>
        <v>6.6</v>
      </c>
      <c r="T81" s="9">
        <f>T79+T80</f>
        <v>1940.4</v>
      </c>
      <c r="U81" s="9">
        <f>U79+U80</f>
        <v>5</v>
      </c>
      <c r="V81" s="49">
        <f t="shared" si="4"/>
        <v>0.00257678829107401</v>
      </c>
    </row>
    <row r="82" ht="16" hidden="1" customHeight="1" spans="1:22">
      <c r="A82" s="1" t="s">
        <v>64</v>
      </c>
      <c r="B82" s="7" t="s">
        <v>33</v>
      </c>
      <c r="C82" s="9">
        <v>158.4</v>
      </c>
      <c r="D82" s="9">
        <v>75.2</v>
      </c>
      <c r="E82" s="69">
        <f t="shared" si="0"/>
        <v>131.6</v>
      </c>
      <c r="F82" s="65">
        <f t="shared" si="1"/>
        <v>0.363636363636364</v>
      </c>
      <c r="G82" s="9">
        <v>8.2</v>
      </c>
      <c r="H82" s="18">
        <f t="shared" si="2"/>
        <v>0.109042553191489</v>
      </c>
      <c r="I82" s="9">
        <v>206.8</v>
      </c>
      <c r="J82" s="18">
        <f t="shared" si="3"/>
        <v>0.765957446808511</v>
      </c>
      <c r="K82" s="12"/>
      <c r="L82" s="12"/>
      <c r="M82" s="2"/>
      <c r="O82" s="9"/>
      <c r="P82" s="9"/>
      <c r="Q82" s="2"/>
      <c r="S82" s="9">
        <v>0.4</v>
      </c>
      <c r="T82" s="9">
        <v>725</v>
      </c>
      <c r="U82" s="9">
        <v>1.4</v>
      </c>
      <c r="V82" s="49">
        <f t="shared" si="4"/>
        <v>0.00193103448275862</v>
      </c>
    </row>
    <row r="83" ht="16" hidden="1" customHeight="1" spans="1:22">
      <c r="A83" s="1" t="s">
        <v>64</v>
      </c>
      <c r="B83" s="7" t="s">
        <v>35</v>
      </c>
      <c r="C83" s="9">
        <v>247.2</v>
      </c>
      <c r="D83" s="9">
        <v>74.2</v>
      </c>
      <c r="E83" s="69">
        <f t="shared" si="0"/>
        <v>168</v>
      </c>
      <c r="F83" s="65">
        <f t="shared" si="1"/>
        <v>0.30635838150289</v>
      </c>
      <c r="G83" s="9">
        <v>17</v>
      </c>
      <c r="H83" s="18">
        <f t="shared" si="2"/>
        <v>0.22911051212938</v>
      </c>
      <c r="I83" s="9">
        <v>242.2</v>
      </c>
      <c r="J83" s="18">
        <f t="shared" si="3"/>
        <v>1.0206440957886</v>
      </c>
      <c r="K83" s="12"/>
      <c r="L83" s="12"/>
      <c r="M83" s="2"/>
      <c r="O83" s="9"/>
      <c r="P83" s="9"/>
      <c r="Q83" s="2"/>
      <c r="S83" s="9">
        <v>7.2</v>
      </c>
      <c r="T83" s="9">
        <v>1059</v>
      </c>
      <c r="U83" s="9">
        <v>4.6</v>
      </c>
      <c r="V83" s="49">
        <f t="shared" si="4"/>
        <v>0.00434372049102927</v>
      </c>
    </row>
    <row r="84" ht="16" customHeight="1" spans="1:22">
      <c r="A84" s="1" t="s">
        <v>64</v>
      </c>
      <c r="B84" s="7" t="s">
        <v>36</v>
      </c>
      <c r="C84" s="9">
        <f>C82+C83</f>
        <v>405.6</v>
      </c>
      <c r="D84" s="9">
        <f>D82+D83</f>
        <v>149.4</v>
      </c>
      <c r="E84" s="69">
        <f t="shared" si="0"/>
        <v>299.6</v>
      </c>
      <c r="F84" s="65">
        <f t="shared" si="1"/>
        <v>0.332739420935412</v>
      </c>
      <c r="G84" s="9">
        <f>G82+G83</f>
        <v>25.2</v>
      </c>
      <c r="H84" s="18">
        <f t="shared" si="2"/>
        <v>0.168674698795181</v>
      </c>
      <c r="I84" s="9">
        <f>I82+I83</f>
        <v>449</v>
      </c>
      <c r="J84" s="18">
        <f t="shared" si="3"/>
        <v>0.903340757238307</v>
      </c>
      <c r="K84" s="12"/>
      <c r="L84" s="12"/>
      <c r="M84" s="2"/>
      <c r="O84" s="9"/>
      <c r="P84" s="9"/>
      <c r="Q84" s="2"/>
      <c r="S84" s="9">
        <f>S82+S83</f>
        <v>7.6</v>
      </c>
      <c r="T84" s="9">
        <f>T82+T83</f>
        <v>1784</v>
      </c>
      <c r="U84" s="9">
        <f>U82+U83</f>
        <v>6</v>
      </c>
      <c r="V84" s="49">
        <f t="shared" si="4"/>
        <v>0.00336322869955157</v>
      </c>
    </row>
    <row r="85" ht="16" hidden="1" customHeight="1" spans="1:22">
      <c r="A85" s="1" t="s">
        <v>65</v>
      </c>
      <c r="B85" s="7" t="s">
        <v>33</v>
      </c>
      <c r="C85" s="9">
        <v>189.6</v>
      </c>
      <c r="D85" s="9">
        <v>77.2</v>
      </c>
      <c r="E85" s="69">
        <f t="shared" si="0"/>
        <v>158.8</v>
      </c>
      <c r="F85" s="65">
        <f t="shared" si="1"/>
        <v>0.327118644067797</v>
      </c>
      <c r="G85" s="9">
        <v>7</v>
      </c>
      <c r="H85" s="18">
        <f t="shared" si="2"/>
        <v>0.0906735751295337</v>
      </c>
      <c r="I85" s="9">
        <v>236</v>
      </c>
      <c r="J85" s="18">
        <f t="shared" si="3"/>
        <v>0.803389830508475</v>
      </c>
      <c r="K85" s="12"/>
      <c r="L85" s="12"/>
      <c r="M85" s="2"/>
      <c r="O85" s="9"/>
      <c r="P85" s="9"/>
      <c r="Q85" s="2"/>
      <c r="S85" s="9">
        <v>1</v>
      </c>
      <c r="T85" s="9">
        <v>979.2</v>
      </c>
      <c r="U85" s="9">
        <v>2.4</v>
      </c>
      <c r="V85" s="49">
        <f t="shared" si="4"/>
        <v>0.00245098039215686</v>
      </c>
    </row>
    <row r="86" ht="16" hidden="1" customHeight="1" spans="1:22">
      <c r="A86" s="1" t="s">
        <v>65</v>
      </c>
      <c r="B86" s="7" t="s">
        <v>35</v>
      </c>
      <c r="C86" s="9">
        <v>276</v>
      </c>
      <c r="D86" s="9">
        <v>76.8</v>
      </c>
      <c r="E86" s="69">
        <f t="shared" si="0"/>
        <v>191</v>
      </c>
      <c r="F86" s="65">
        <f t="shared" si="1"/>
        <v>0.286781179985063</v>
      </c>
      <c r="G86" s="9">
        <v>13.8</v>
      </c>
      <c r="H86" s="18">
        <f t="shared" si="2"/>
        <v>0.1796875</v>
      </c>
      <c r="I86" s="9">
        <v>267.8</v>
      </c>
      <c r="J86" s="18">
        <f t="shared" si="3"/>
        <v>1.03061986557132</v>
      </c>
      <c r="K86" s="12"/>
      <c r="L86" s="12"/>
      <c r="M86" s="2"/>
      <c r="O86" s="9"/>
      <c r="P86" s="9"/>
      <c r="Q86" s="2"/>
      <c r="S86" s="9">
        <v>5</v>
      </c>
      <c r="T86" s="9">
        <v>1054.6</v>
      </c>
      <c r="U86" s="9">
        <v>2.6</v>
      </c>
      <c r="V86" s="49">
        <f t="shared" si="4"/>
        <v>0.00246538972122132</v>
      </c>
    </row>
    <row r="87" ht="16" customHeight="1" spans="1:22">
      <c r="A87" s="1" t="s">
        <v>65</v>
      </c>
      <c r="B87" s="7" t="s">
        <v>36</v>
      </c>
      <c r="C87" s="9">
        <f>C85+C86</f>
        <v>465.6</v>
      </c>
      <c r="D87" s="9">
        <f>D85+D86</f>
        <v>154</v>
      </c>
      <c r="E87" s="69">
        <f t="shared" si="0"/>
        <v>349.8</v>
      </c>
      <c r="F87" s="65">
        <f t="shared" si="1"/>
        <v>0.305676855895196</v>
      </c>
      <c r="G87" s="9">
        <f>G85+G86</f>
        <v>20.8</v>
      </c>
      <c r="H87" s="18">
        <f t="shared" si="2"/>
        <v>0.135064935064935</v>
      </c>
      <c r="I87" s="9">
        <f>I85+I86</f>
        <v>503.8</v>
      </c>
      <c r="J87" s="18">
        <f t="shared" si="3"/>
        <v>0.924176260420802</v>
      </c>
      <c r="K87" s="12"/>
      <c r="L87" s="12"/>
      <c r="M87" s="2"/>
      <c r="O87" s="9"/>
      <c r="P87" s="9"/>
      <c r="Q87" s="2"/>
      <c r="S87" s="9">
        <f>S85+S86</f>
        <v>6</v>
      </c>
      <c r="T87" s="9">
        <f>T85+T86</f>
        <v>2033.8</v>
      </c>
      <c r="U87" s="9">
        <f>U85+U86</f>
        <v>5</v>
      </c>
      <c r="V87" s="49">
        <f t="shared" si="4"/>
        <v>0.002458452158521</v>
      </c>
    </row>
    <row r="88" ht="16" hidden="1" customHeight="1" spans="1:22">
      <c r="A88" s="1" t="s">
        <v>66</v>
      </c>
      <c r="B88" s="7" t="s">
        <v>33</v>
      </c>
      <c r="C88" s="9">
        <v>174.8</v>
      </c>
      <c r="D88" s="9">
        <v>80.8</v>
      </c>
      <c r="E88" s="69">
        <f t="shared" si="0"/>
        <v>171.2</v>
      </c>
      <c r="F88" s="65">
        <f t="shared" si="1"/>
        <v>0.320634920634921</v>
      </c>
      <c r="G88" s="9">
        <v>10.6</v>
      </c>
      <c r="H88" s="18">
        <f t="shared" si="2"/>
        <v>0.131188118811881</v>
      </c>
      <c r="I88" s="9">
        <v>252</v>
      </c>
      <c r="J88" s="18">
        <f t="shared" si="3"/>
        <v>0.693650793650794</v>
      </c>
      <c r="K88" s="12"/>
      <c r="L88" s="12"/>
      <c r="M88" s="2"/>
      <c r="O88" s="9"/>
      <c r="P88" s="9"/>
      <c r="Q88" s="2"/>
      <c r="S88" s="9">
        <v>1.2</v>
      </c>
      <c r="T88" s="9">
        <v>868.4</v>
      </c>
      <c r="U88" s="9">
        <v>2.2</v>
      </c>
      <c r="V88" s="49">
        <f t="shared" si="4"/>
        <v>0.00253339474896361</v>
      </c>
    </row>
    <row r="89" ht="16" hidden="1" customHeight="1" spans="1:22">
      <c r="A89" s="1" t="s">
        <v>66</v>
      </c>
      <c r="B89" s="7" t="s">
        <v>35</v>
      </c>
      <c r="C89" s="9">
        <v>265</v>
      </c>
      <c r="D89" s="9">
        <v>108.2</v>
      </c>
      <c r="E89" s="69">
        <f t="shared" si="0"/>
        <v>169.8</v>
      </c>
      <c r="F89" s="65">
        <f t="shared" si="1"/>
        <v>0.389208633093525</v>
      </c>
      <c r="G89" s="9">
        <v>13.6</v>
      </c>
      <c r="H89" s="18">
        <f t="shared" si="2"/>
        <v>0.125693160813309</v>
      </c>
      <c r="I89" s="9">
        <v>278</v>
      </c>
      <c r="J89" s="18">
        <f t="shared" si="3"/>
        <v>0.953237410071942</v>
      </c>
      <c r="K89" s="12"/>
      <c r="L89" s="12"/>
      <c r="M89" s="2"/>
      <c r="O89" s="9"/>
      <c r="P89" s="9"/>
      <c r="Q89" s="2"/>
      <c r="S89" s="9">
        <v>7</v>
      </c>
      <c r="T89" s="9">
        <v>1047.8</v>
      </c>
      <c r="U89" s="9">
        <v>1.8</v>
      </c>
      <c r="V89" s="49">
        <f t="shared" si="4"/>
        <v>0.00171788509257492</v>
      </c>
    </row>
    <row r="90" ht="16" customHeight="1" spans="1:22">
      <c r="A90" s="1" t="s">
        <v>66</v>
      </c>
      <c r="B90" s="7" t="s">
        <v>36</v>
      </c>
      <c r="C90" s="9">
        <f>C88+C89</f>
        <v>439.8</v>
      </c>
      <c r="D90" s="9">
        <f>D88+D89</f>
        <v>189</v>
      </c>
      <c r="E90" s="69">
        <f t="shared" si="0"/>
        <v>341</v>
      </c>
      <c r="F90" s="65">
        <f t="shared" si="1"/>
        <v>0.356603773584906</v>
      </c>
      <c r="G90" s="9">
        <f>G88+G89</f>
        <v>24.2</v>
      </c>
      <c r="H90" s="18">
        <f t="shared" si="2"/>
        <v>0.128042328042328</v>
      </c>
      <c r="I90" s="9">
        <f>I88+I89</f>
        <v>530</v>
      </c>
      <c r="J90" s="18">
        <f t="shared" si="3"/>
        <v>0.829811320754717</v>
      </c>
      <c r="K90" s="12"/>
      <c r="L90" s="12"/>
      <c r="M90" s="2"/>
      <c r="O90" s="9"/>
      <c r="P90" s="9"/>
      <c r="Q90" s="2"/>
      <c r="S90" s="9">
        <f>S88+S89</f>
        <v>8.2</v>
      </c>
      <c r="T90" s="9">
        <f>T88+T89</f>
        <v>1916.2</v>
      </c>
      <c r="U90" s="9">
        <f>U88+U89</f>
        <v>4</v>
      </c>
      <c r="V90" s="49">
        <f t="shared" si="4"/>
        <v>0.00208746477403194</v>
      </c>
    </row>
    <row r="91" ht="16" hidden="1" customHeight="1" spans="1:22">
      <c r="A91" s="1" t="s">
        <v>67</v>
      </c>
      <c r="B91" s="7" t="s">
        <v>33</v>
      </c>
      <c r="C91" s="9">
        <v>200</v>
      </c>
      <c r="D91" s="9">
        <v>76.4</v>
      </c>
      <c r="E91" s="69">
        <f t="shared" si="0"/>
        <v>175.4</v>
      </c>
      <c r="F91" s="65">
        <f t="shared" si="1"/>
        <v>0.303415409054805</v>
      </c>
      <c r="G91" s="9">
        <v>8.6</v>
      </c>
      <c r="H91" s="18">
        <f t="shared" si="2"/>
        <v>0.112565445026178</v>
      </c>
      <c r="I91" s="9">
        <v>251.8</v>
      </c>
      <c r="J91" s="18">
        <f t="shared" si="3"/>
        <v>0.79428117553614</v>
      </c>
      <c r="K91" s="12"/>
      <c r="L91" s="12"/>
      <c r="M91" s="2"/>
      <c r="O91" s="9"/>
      <c r="P91" s="9"/>
      <c r="Q91" s="2"/>
      <c r="S91" s="9">
        <v>1.4</v>
      </c>
      <c r="T91" s="9">
        <v>910.2</v>
      </c>
      <c r="U91" s="9">
        <v>2.8</v>
      </c>
      <c r="V91" s="49">
        <f t="shared" si="4"/>
        <v>0.003076246978686</v>
      </c>
    </row>
    <row r="92" ht="16" hidden="1" customHeight="1" spans="1:22">
      <c r="A92" s="1" t="s">
        <v>67</v>
      </c>
      <c r="B92" s="7" t="s">
        <v>35</v>
      </c>
      <c r="C92" s="9">
        <v>270.6</v>
      </c>
      <c r="D92" s="9">
        <v>110.6</v>
      </c>
      <c r="E92" s="69">
        <f t="shared" si="0"/>
        <v>163</v>
      </c>
      <c r="F92" s="65">
        <f t="shared" si="1"/>
        <v>0.404239766081871</v>
      </c>
      <c r="G92" s="9">
        <v>12.6</v>
      </c>
      <c r="H92" s="18">
        <f t="shared" si="2"/>
        <v>0.113924050632911</v>
      </c>
      <c r="I92" s="9">
        <v>273.6</v>
      </c>
      <c r="J92" s="18">
        <f t="shared" si="3"/>
        <v>0.989035087719298</v>
      </c>
      <c r="K92" s="12"/>
      <c r="L92" s="12"/>
      <c r="M92" s="2"/>
      <c r="O92" s="9"/>
      <c r="P92" s="9"/>
      <c r="Q92" s="2"/>
      <c r="S92" s="9">
        <v>5.2</v>
      </c>
      <c r="T92" s="9">
        <v>1019</v>
      </c>
      <c r="U92" s="9">
        <v>1.8</v>
      </c>
      <c r="V92" s="49">
        <f t="shared" si="4"/>
        <v>0.00176643768400393</v>
      </c>
    </row>
    <row r="93" ht="16" customHeight="1" spans="1:22">
      <c r="A93" s="1" t="s">
        <v>67</v>
      </c>
      <c r="B93" s="7" t="s">
        <v>36</v>
      </c>
      <c r="C93" s="9">
        <f>C91+C92</f>
        <v>470.6</v>
      </c>
      <c r="D93" s="9">
        <f>D91+D92</f>
        <v>187</v>
      </c>
      <c r="E93" s="69">
        <f t="shared" si="0"/>
        <v>338.4</v>
      </c>
      <c r="F93" s="65">
        <f t="shared" si="1"/>
        <v>0.355919299581271</v>
      </c>
      <c r="G93" s="9">
        <f>G91+G92</f>
        <v>21.2</v>
      </c>
      <c r="H93" s="18">
        <f t="shared" si="2"/>
        <v>0.113368983957219</v>
      </c>
      <c r="I93" s="9">
        <f>I91+I92</f>
        <v>525.4</v>
      </c>
      <c r="J93" s="18">
        <f t="shared" si="3"/>
        <v>0.895698515416825</v>
      </c>
      <c r="K93" s="12"/>
      <c r="L93" s="12"/>
      <c r="M93" s="2"/>
      <c r="O93" s="9"/>
      <c r="P93" s="9"/>
      <c r="Q93" s="2"/>
      <c r="S93" s="9">
        <f>S91+S92</f>
        <v>6.6</v>
      </c>
      <c r="T93" s="9">
        <f>T91+T92</f>
        <v>1929.2</v>
      </c>
      <c r="U93" s="9">
        <f>U91+U92</f>
        <v>4.6</v>
      </c>
      <c r="V93" s="49">
        <f t="shared" si="4"/>
        <v>0.0023844080447854</v>
      </c>
    </row>
    <row r="94" ht="16" hidden="1" customHeight="1" spans="1:22">
      <c r="A94" s="1" t="s">
        <v>68</v>
      </c>
      <c r="B94" s="7" t="s">
        <v>33</v>
      </c>
      <c r="C94" s="9">
        <v>179</v>
      </c>
      <c r="D94" s="9">
        <v>54</v>
      </c>
      <c r="E94" s="69">
        <f t="shared" si="0"/>
        <v>212.8</v>
      </c>
      <c r="F94" s="65">
        <f t="shared" si="1"/>
        <v>0.2023988005997</v>
      </c>
      <c r="G94" s="9">
        <v>7.2</v>
      </c>
      <c r="H94" s="18">
        <f t="shared" si="2"/>
        <v>0.133333333333333</v>
      </c>
      <c r="I94" s="9">
        <v>266.8</v>
      </c>
      <c r="J94" s="18">
        <f t="shared" si="3"/>
        <v>0.670914542728636</v>
      </c>
      <c r="K94" s="12"/>
      <c r="L94" s="12"/>
      <c r="M94" s="2"/>
      <c r="O94" s="9"/>
      <c r="P94" s="9"/>
      <c r="Q94" s="2"/>
      <c r="S94" s="9">
        <v>0.4</v>
      </c>
      <c r="T94" s="9">
        <v>954</v>
      </c>
      <c r="U94" s="9">
        <v>1.6</v>
      </c>
      <c r="V94" s="49">
        <f t="shared" si="4"/>
        <v>0.00167714884696017</v>
      </c>
    </row>
    <row r="95" ht="16" hidden="1" customHeight="1" spans="1:22">
      <c r="A95" s="1" t="s">
        <v>68</v>
      </c>
      <c r="B95" s="7" t="s">
        <v>35</v>
      </c>
      <c r="C95" s="9">
        <v>240.8</v>
      </c>
      <c r="D95" s="9">
        <v>106.2</v>
      </c>
      <c r="E95" s="69">
        <f t="shared" si="0"/>
        <v>156</v>
      </c>
      <c r="F95" s="65">
        <f t="shared" si="1"/>
        <v>0.405034324942792</v>
      </c>
      <c r="G95" s="9">
        <v>14</v>
      </c>
      <c r="H95" s="18">
        <f t="shared" si="2"/>
        <v>0.131826741996234</v>
      </c>
      <c r="I95" s="9">
        <v>262.2</v>
      </c>
      <c r="J95" s="18">
        <f t="shared" si="3"/>
        <v>0.918382913806255</v>
      </c>
      <c r="K95" s="12"/>
      <c r="L95" s="12"/>
      <c r="M95" s="2"/>
      <c r="O95" s="9"/>
      <c r="P95" s="9"/>
      <c r="Q95" s="2"/>
      <c r="S95" s="9">
        <v>5</v>
      </c>
      <c r="T95" s="9">
        <v>850.2</v>
      </c>
      <c r="U95" s="9">
        <v>2.4</v>
      </c>
      <c r="V95" s="49">
        <f t="shared" si="4"/>
        <v>0.00282286520818631</v>
      </c>
    </row>
    <row r="96" ht="16" customHeight="1" spans="1:22">
      <c r="A96" s="1" t="s">
        <v>68</v>
      </c>
      <c r="B96" s="7" t="s">
        <v>36</v>
      </c>
      <c r="C96" s="9">
        <f>C94+C95</f>
        <v>419.8</v>
      </c>
      <c r="D96" s="9">
        <f>D94+D95</f>
        <v>160.2</v>
      </c>
      <c r="E96" s="69">
        <f t="shared" si="0"/>
        <v>368.8</v>
      </c>
      <c r="F96" s="65">
        <f t="shared" si="1"/>
        <v>0.302835538752363</v>
      </c>
      <c r="G96" s="9">
        <f>G94+G95</f>
        <v>21.2</v>
      </c>
      <c r="H96" s="18">
        <f t="shared" si="2"/>
        <v>0.132334581772784</v>
      </c>
      <c r="I96" s="9">
        <f>I94+I95</f>
        <v>529</v>
      </c>
      <c r="J96" s="18">
        <f t="shared" si="3"/>
        <v>0.793572778827977</v>
      </c>
      <c r="K96" s="12"/>
      <c r="L96" s="12"/>
      <c r="M96" s="2"/>
      <c r="O96" s="9"/>
      <c r="P96" s="9"/>
      <c r="Q96" s="2"/>
      <c r="S96" s="9">
        <f>S94+S95</f>
        <v>5.4</v>
      </c>
      <c r="T96" s="9">
        <f>T94+T95</f>
        <v>1804.2</v>
      </c>
      <c r="U96" s="9">
        <f>U94+U95</f>
        <v>4</v>
      </c>
      <c r="V96" s="49">
        <f t="shared" si="4"/>
        <v>0.00221704910763773</v>
      </c>
    </row>
    <row r="97" ht="16" hidden="1" customHeight="1" spans="1:22">
      <c r="A97" s="1" t="s">
        <v>69</v>
      </c>
      <c r="B97" s="7" t="s">
        <v>33</v>
      </c>
      <c r="C97" s="9">
        <v>138.8</v>
      </c>
      <c r="D97" s="9">
        <v>59.2</v>
      </c>
      <c r="E97" s="69">
        <f t="shared" si="0"/>
        <v>198.4</v>
      </c>
      <c r="F97" s="65">
        <f t="shared" si="1"/>
        <v>0.229813664596273</v>
      </c>
      <c r="G97" s="9">
        <v>6.2</v>
      </c>
      <c r="H97" s="18">
        <f t="shared" si="2"/>
        <v>0.10472972972973</v>
      </c>
      <c r="I97" s="9">
        <v>257.6</v>
      </c>
      <c r="J97" s="18">
        <f t="shared" si="3"/>
        <v>0.538819875776398</v>
      </c>
      <c r="K97" s="12"/>
      <c r="L97" s="12"/>
      <c r="M97" s="2"/>
      <c r="O97" s="9"/>
      <c r="P97" s="9"/>
      <c r="Q97" s="2"/>
      <c r="S97" s="9">
        <v>0.6</v>
      </c>
      <c r="T97" s="9">
        <v>653.8</v>
      </c>
      <c r="U97" s="9">
        <v>2.2</v>
      </c>
      <c r="V97" s="49">
        <f t="shared" si="4"/>
        <v>0.00336494340776996</v>
      </c>
    </row>
    <row r="98" ht="16" hidden="1" customHeight="1" spans="1:22">
      <c r="A98" s="1" t="s">
        <v>69</v>
      </c>
      <c r="B98" s="7" t="s">
        <v>35</v>
      </c>
      <c r="C98" s="9">
        <v>234.2</v>
      </c>
      <c r="D98" s="9">
        <v>85.2</v>
      </c>
      <c r="E98" s="69">
        <f t="shared" si="0"/>
        <v>149.8</v>
      </c>
      <c r="F98" s="65">
        <f t="shared" si="1"/>
        <v>0.362553191489362</v>
      </c>
      <c r="G98" s="9">
        <v>12.6</v>
      </c>
      <c r="H98" s="18">
        <f t="shared" si="2"/>
        <v>0.147887323943662</v>
      </c>
      <c r="I98" s="9">
        <v>235</v>
      </c>
      <c r="J98" s="18">
        <f t="shared" si="3"/>
        <v>0.996595744680851</v>
      </c>
      <c r="K98" s="12"/>
      <c r="L98" s="12"/>
      <c r="M98" s="2"/>
      <c r="O98" s="9"/>
      <c r="P98" s="9"/>
      <c r="Q98" s="2"/>
      <c r="S98" s="9">
        <v>7.2</v>
      </c>
      <c r="T98" s="9">
        <v>894.6</v>
      </c>
      <c r="U98" s="9">
        <v>1.8</v>
      </c>
      <c r="V98" s="49">
        <f t="shared" si="4"/>
        <v>0.00201207243460765</v>
      </c>
    </row>
    <row r="99" ht="16" customHeight="1" spans="1:36">
      <c r="A99" s="1" t="s">
        <v>69</v>
      </c>
      <c r="B99" s="7" t="s">
        <v>36</v>
      </c>
      <c r="C99" s="9">
        <f>C97+C98</f>
        <v>373</v>
      </c>
      <c r="D99" s="9">
        <f>D97+D98</f>
        <v>144.4</v>
      </c>
      <c r="E99" s="69">
        <f t="shared" si="0"/>
        <v>348.2</v>
      </c>
      <c r="F99" s="65">
        <f t="shared" si="1"/>
        <v>0.293138449045879</v>
      </c>
      <c r="G99" s="9">
        <f>G97+G98</f>
        <v>18.8</v>
      </c>
      <c r="H99" s="18">
        <f t="shared" si="2"/>
        <v>0.130193905817175</v>
      </c>
      <c r="I99" s="9">
        <f>I97+I98</f>
        <v>492.6</v>
      </c>
      <c r="J99" s="18">
        <f t="shared" si="3"/>
        <v>0.757206658546488</v>
      </c>
      <c r="K99" s="12"/>
      <c r="L99" s="12"/>
      <c r="M99" s="2"/>
      <c r="O99" s="9"/>
      <c r="P99" s="9"/>
      <c r="Q99" s="2"/>
      <c r="S99" s="9">
        <f>S97+S98</f>
        <v>7.8</v>
      </c>
      <c r="T99" s="9">
        <f>T97+T98</f>
        <v>1548.4</v>
      </c>
      <c r="U99" s="9">
        <f>U97+U98</f>
        <v>4</v>
      </c>
      <c r="V99" s="49">
        <f t="shared" si="4"/>
        <v>0.00258331180573495</v>
      </c>
      <c r="X99" s="2" t="s">
        <v>70</v>
      </c>
      <c r="AJ99" s="2" t="s">
        <v>71</v>
      </c>
    </row>
    <row r="100" ht="16" hidden="1" customHeight="1" spans="1:22">
      <c r="A100" s="1" t="s">
        <v>72</v>
      </c>
      <c r="B100" s="7" t="s">
        <v>33</v>
      </c>
      <c r="C100" s="9">
        <v>187.4</v>
      </c>
      <c r="D100" s="9">
        <v>85.8</v>
      </c>
      <c r="E100" s="69">
        <f t="shared" si="0"/>
        <v>165.6</v>
      </c>
      <c r="F100" s="65">
        <f t="shared" si="1"/>
        <v>0.341288782816229</v>
      </c>
      <c r="G100" s="9">
        <v>10.2</v>
      </c>
      <c r="H100" s="18">
        <f t="shared" si="2"/>
        <v>0.118881118881119</v>
      </c>
      <c r="I100" s="9">
        <v>251.4</v>
      </c>
      <c r="J100" s="18">
        <f t="shared" si="3"/>
        <v>0.745425616547335</v>
      </c>
      <c r="K100" s="12"/>
      <c r="L100" s="12"/>
      <c r="M100" s="2"/>
      <c r="O100" s="9"/>
      <c r="P100" s="9"/>
      <c r="Q100" s="2"/>
      <c r="S100" s="9">
        <v>1</v>
      </c>
      <c r="T100" s="9">
        <v>998</v>
      </c>
      <c r="U100" s="9">
        <v>2.4</v>
      </c>
      <c r="V100" s="49">
        <f t="shared" si="4"/>
        <v>0.00240480961923848</v>
      </c>
    </row>
    <row r="101" ht="16" hidden="1" customHeight="1" spans="1:22">
      <c r="A101" s="1" t="s">
        <v>72</v>
      </c>
      <c r="B101" s="7" t="s">
        <v>35</v>
      </c>
      <c r="C101" s="9">
        <v>218.6</v>
      </c>
      <c r="D101" s="9">
        <v>69.6</v>
      </c>
      <c r="E101" s="69">
        <f t="shared" si="0"/>
        <v>154.8</v>
      </c>
      <c r="F101" s="65">
        <f t="shared" si="1"/>
        <v>0.310160427807487</v>
      </c>
      <c r="G101" s="9">
        <v>11.8</v>
      </c>
      <c r="H101" s="18">
        <f t="shared" si="2"/>
        <v>0.169540229885057</v>
      </c>
      <c r="I101" s="9">
        <v>224.4</v>
      </c>
      <c r="J101" s="18">
        <f t="shared" si="3"/>
        <v>0.974153297682709</v>
      </c>
      <c r="K101" s="12"/>
      <c r="L101" s="12"/>
      <c r="M101" s="2"/>
      <c r="O101" s="9"/>
      <c r="P101" s="9"/>
      <c r="Q101" s="2"/>
      <c r="S101" s="9">
        <v>5.6</v>
      </c>
      <c r="T101" s="9">
        <v>931.2</v>
      </c>
      <c r="U101" s="9">
        <v>2.6</v>
      </c>
      <c r="V101" s="49">
        <f t="shared" si="4"/>
        <v>0.00279209621993127</v>
      </c>
    </row>
    <row r="102" ht="16" customHeight="1" spans="1:22">
      <c r="A102" s="1" t="s">
        <v>72</v>
      </c>
      <c r="B102" s="7" t="s">
        <v>36</v>
      </c>
      <c r="C102" s="9">
        <f>C100+C101</f>
        <v>406</v>
      </c>
      <c r="D102" s="9">
        <f>D100+D101</f>
        <v>155.4</v>
      </c>
      <c r="E102" s="69">
        <f t="shared" si="0"/>
        <v>320.4</v>
      </c>
      <c r="F102" s="65">
        <f t="shared" si="1"/>
        <v>0.326607818411097</v>
      </c>
      <c r="G102" s="9">
        <f>G100+G101</f>
        <v>22</v>
      </c>
      <c r="H102" s="18">
        <f t="shared" si="2"/>
        <v>0.141570141570142</v>
      </c>
      <c r="I102" s="9">
        <f>I100+I101</f>
        <v>475.8</v>
      </c>
      <c r="J102" s="18">
        <f t="shared" si="3"/>
        <v>0.853299705758722</v>
      </c>
      <c r="K102" s="12"/>
      <c r="L102" s="12"/>
      <c r="M102" s="2"/>
      <c r="O102" s="9"/>
      <c r="P102" s="9"/>
      <c r="Q102" s="2"/>
      <c r="S102" s="9">
        <f>S100+S101</f>
        <v>6.6</v>
      </c>
      <c r="T102" s="9">
        <f>T100+T101</f>
        <v>1929.2</v>
      </c>
      <c r="U102" s="9">
        <f>U100+U101</f>
        <v>5</v>
      </c>
      <c r="V102" s="49">
        <f t="shared" si="4"/>
        <v>0.00259174787476674</v>
      </c>
    </row>
    <row r="103" ht="16" hidden="1" customHeight="1" spans="1:22">
      <c r="A103" s="1" t="s">
        <v>73</v>
      </c>
      <c r="B103" s="7" t="s">
        <v>33</v>
      </c>
      <c r="C103" s="9">
        <v>196.8</v>
      </c>
      <c r="D103" s="9">
        <v>88.2</v>
      </c>
      <c r="E103" s="69">
        <f t="shared" si="0"/>
        <v>180.2</v>
      </c>
      <c r="F103" s="65">
        <f t="shared" si="1"/>
        <v>0.328614008941878</v>
      </c>
      <c r="G103" s="9">
        <v>10.8</v>
      </c>
      <c r="H103" s="18">
        <f t="shared" si="2"/>
        <v>0.122448979591837</v>
      </c>
      <c r="I103" s="9">
        <v>268.4</v>
      </c>
      <c r="J103" s="18">
        <f t="shared" si="3"/>
        <v>0.733233979135619</v>
      </c>
      <c r="K103" s="12"/>
      <c r="L103" s="12"/>
      <c r="M103" s="2"/>
      <c r="O103" s="9"/>
      <c r="P103" s="9"/>
      <c r="Q103" s="2"/>
      <c r="S103" s="9">
        <v>0.6</v>
      </c>
      <c r="T103" s="9">
        <v>869.4</v>
      </c>
      <c r="U103" s="9">
        <v>2</v>
      </c>
      <c r="V103" s="49">
        <f t="shared" si="4"/>
        <v>0.00230043708304578</v>
      </c>
    </row>
    <row r="104" ht="16" hidden="1" customHeight="1" spans="1:22">
      <c r="A104" s="1" t="s">
        <v>73</v>
      </c>
      <c r="B104" s="7" t="s">
        <v>35</v>
      </c>
      <c r="C104" s="9">
        <v>219.2</v>
      </c>
      <c r="D104" s="9">
        <v>61.6</v>
      </c>
      <c r="E104" s="69">
        <f t="shared" si="0"/>
        <v>149.4</v>
      </c>
      <c r="F104" s="65">
        <f t="shared" si="1"/>
        <v>0.291943127962085</v>
      </c>
      <c r="G104" s="9">
        <v>7.8</v>
      </c>
      <c r="H104" s="18">
        <f t="shared" si="2"/>
        <v>0.126623376623377</v>
      </c>
      <c r="I104" s="9">
        <v>211</v>
      </c>
      <c r="J104" s="18">
        <f t="shared" si="3"/>
        <v>1.03886255924171</v>
      </c>
      <c r="K104" s="12"/>
      <c r="L104" s="12"/>
      <c r="M104" s="2"/>
      <c r="O104" s="9"/>
      <c r="P104" s="9"/>
      <c r="Q104" s="2"/>
      <c r="S104" s="9">
        <v>4.6</v>
      </c>
      <c r="T104" s="9">
        <v>932.2</v>
      </c>
      <c r="U104" s="9">
        <v>1.8</v>
      </c>
      <c r="V104" s="49">
        <f t="shared" si="4"/>
        <v>0.00193091611242223</v>
      </c>
    </row>
    <row r="105" ht="16" customHeight="1" spans="1:22">
      <c r="A105" s="1" t="s">
        <v>73</v>
      </c>
      <c r="B105" s="7" t="s">
        <v>36</v>
      </c>
      <c r="C105" s="9">
        <f>C103+C104</f>
        <v>416</v>
      </c>
      <c r="D105" s="9">
        <f>D103+D104</f>
        <v>149.8</v>
      </c>
      <c r="E105" s="69">
        <f t="shared" si="0"/>
        <v>329.6</v>
      </c>
      <c r="F105" s="65">
        <f t="shared" si="1"/>
        <v>0.312473925740509</v>
      </c>
      <c r="G105" s="9">
        <f>G103+G104</f>
        <v>18.6</v>
      </c>
      <c r="H105" s="18">
        <f t="shared" si="2"/>
        <v>0.124165554072096</v>
      </c>
      <c r="I105" s="9">
        <f>I103+I104</f>
        <v>479.4</v>
      </c>
      <c r="J105" s="18">
        <f t="shared" si="3"/>
        <v>0.867751355861494</v>
      </c>
      <c r="K105" s="12"/>
      <c r="L105" s="12"/>
      <c r="M105" s="2"/>
      <c r="O105" s="9"/>
      <c r="P105" s="9"/>
      <c r="Q105" s="2"/>
      <c r="S105" s="9">
        <f>S103+S104</f>
        <v>5.2</v>
      </c>
      <c r="T105" s="9">
        <f>T103+T104</f>
        <v>1801.6</v>
      </c>
      <c r="U105" s="9">
        <f>U103+U104</f>
        <v>3.8</v>
      </c>
      <c r="V105" s="49">
        <f t="shared" si="4"/>
        <v>0.00210923623445826</v>
      </c>
    </row>
    <row r="106" ht="16" hidden="1" customHeight="1" spans="1:22">
      <c r="A106" s="1" t="s">
        <v>74</v>
      </c>
      <c r="B106" s="7" t="s">
        <v>33</v>
      </c>
      <c r="C106" s="9">
        <v>198.2</v>
      </c>
      <c r="D106" s="9">
        <v>87</v>
      </c>
      <c r="E106" s="69">
        <f t="shared" si="0"/>
        <v>176.2</v>
      </c>
      <c r="F106" s="65">
        <f t="shared" si="1"/>
        <v>0.330547112462006</v>
      </c>
      <c r="G106" s="9">
        <v>12</v>
      </c>
      <c r="H106" s="18">
        <f t="shared" si="2"/>
        <v>0.137931034482759</v>
      </c>
      <c r="I106" s="9">
        <v>263.2</v>
      </c>
      <c r="J106" s="18">
        <f t="shared" si="3"/>
        <v>0.753039513677812</v>
      </c>
      <c r="K106" s="12"/>
      <c r="L106" s="12"/>
      <c r="M106" s="2"/>
      <c r="O106" s="9"/>
      <c r="P106" s="9"/>
      <c r="Q106" s="2"/>
      <c r="S106" s="9">
        <v>0.6</v>
      </c>
      <c r="T106" s="9">
        <v>928.8</v>
      </c>
      <c r="U106" s="9">
        <v>2.6</v>
      </c>
      <c r="V106" s="49">
        <f t="shared" si="4"/>
        <v>0.00279931093884582</v>
      </c>
    </row>
    <row r="107" ht="16" hidden="1" customHeight="1" spans="1:22">
      <c r="A107" s="1" t="s">
        <v>74</v>
      </c>
      <c r="B107" s="7" t="s">
        <v>35</v>
      </c>
      <c r="C107" s="9">
        <v>213.4</v>
      </c>
      <c r="D107" s="9">
        <v>56.2</v>
      </c>
      <c r="E107" s="69">
        <f t="shared" si="0"/>
        <v>148.2</v>
      </c>
      <c r="F107" s="65">
        <f t="shared" si="1"/>
        <v>0.274951076320939</v>
      </c>
      <c r="G107" s="9">
        <v>9.8</v>
      </c>
      <c r="H107" s="18">
        <f t="shared" si="2"/>
        <v>0.174377224199288</v>
      </c>
      <c r="I107" s="9">
        <v>204.4</v>
      </c>
      <c r="J107" s="18">
        <f t="shared" si="3"/>
        <v>1.0440313111546</v>
      </c>
      <c r="K107" s="12"/>
      <c r="L107" s="12"/>
      <c r="M107" s="2"/>
      <c r="O107" s="9"/>
      <c r="P107" s="9"/>
      <c r="Q107" s="2"/>
      <c r="S107" s="9">
        <v>4.6</v>
      </c>
      <c r="T107" s="9">
        <v>906.8</v>
      </c>
      <c r="U107" s="9">
        <v>2.6</v>
      </c>
      <c r="V107" s="49">
        <f t="shared" si="4"/>
        <v>0.00286722540802823</v>
      </c>
    </row>
    <row r="108" ht="16" customHeight="1" spans="1:22">
      <c r="A108" s="1" t="s">
        <v>74</v>
      </c>
      <c r="B108" s="7" t="s">
        <v>36</v>
      </c>
      <c r="C108" s="9">
        <f>C106+C107</f>
        <v>411.6</v>
      </c>
      <c r="D108" s="9">
        <f>D106+D107</f>
        <v>143.2</v>
      </c>
      <c r="E108" s="69">
        <f t="shared" si="0"/>
        <v>324.4</v>
      </c>
      <c r="F108" s="65">
        <f t="shared" si="1"/>
        <v>0.306244653550043</v>
      </c>
      <c r="G108" s="9">
        <f>G106+G107</f>
        <v>21.8</v>
      </c>
      <c r="H108" s="18">
        <f t="shared" si="2"/>
        <v>0.152234636871508</v>
      </c>
      <c r="I108" s="9">
        <f>I106+I107</f>
        <v>467.6</v>
      </c>
      <c r="J108" s="18">
        <f t="shared" si="3"/>
        <v>0.880239520958084</v>
      </c>
      <c r="K108" s="12"/>
      <c r="L108" s="12"/>
      <c r="M108" s="2"/>
      <c r="O108" s="9"/>
      <c r="P108" s="9"/>
      <c r="Q108" s="2"/>
      <c r="S108" s="9">
        <f>S106+S107</f>
        <v>5.2</v>
      </c>
      <c r="T108" s="9">
        <f>T106+T107</f>
        <v>1835.6</v>
      </c>
      <c r="U108" s="9">
        <f>U106+U107</f>
        <v>5.2</v>
      </c>
      <c r="V108" s="49">
        <f t="shared" si="4"/>
        <v>0.0028328611898017</v>
      </c>
    </row>
    <row r="109" ht="16" hidden="1" customHeight="1" spans="1:22">
      <c r="A109" s="1" t="s">
        <v>75</v>
      </c>
      <c r="B109" s="7" t="s">
        <v>33</v>
      </c>
      <c r="C109" s="9">
        <v>191.8</v>
      </c>
      <c r="D109" s="9">
        <v>113.8</v>
      </c>
      <c r="E109" s="69">
        <f t="shared" si="0"/>
        <v>146</v>
      </c>
      <c r="F109" s="65">
        <f t="shared" si="1"/>
        <v>0.438029253271747</v>
      </c>
      <c r="G109" s="9">
        <v>10.6</v>
      </c>
      <c r="H109" s="18">
        <f t="shared" si="2"/>
        <v>0.0931458699472759</v>
      </c>
      <c r="I109" s="9">
        <v>259.8</v>
      </c>
      <c r="J109" s="18">
        <f t="shared" si="3"/>
        <v>0.738260200153965</v>
      </c>
      <c r="K109" s="12"/>
      <c r="L109" s="12"/>
      <c r="M109" s="2"/>
      <c r="O109" s="9"/>
      <c r="P109" s="9"/>
      <c r="Q109" s="2"/>
      <c r="S109" s="9">
        <v>0.8</v>
      </c>
      <c r="T109" s="9">
        <v>718.6</v>
      </c>
      <c r="U109" s="9">
        <v>1.8</v>
      </c>
      <c r="V109" s="49">
        <f t="shared" si="4"/>
        <v>0.00250487058168661</v>
      </c>
    </row>
    <row r="110" ht="16" hidden="1" customHeight="1" spans="1:22">
      <c r="A110" s="1" t="s">
        <v>75</v>
      </c>
      <c r="B110" s="7" t="s">
        <v>35</v>
      </c>
      <c r="C110" s="9">
        <v>114.8</v>
      </c>
      <c r="D110" s="9">
        <v>57.2</v>
      </c>
      <c r="E110" s="69">
        <f t="shared" si="0"/>
        <v>75.2</v>
      </c>
      <c r="F110" s="65">
        <f t="shared" si="1"/>
        <v>0.43202416918429</v>
      </c>
      <c r="G110" s="9">
        <v>9.8</v>
      </c>
      <c r="H110" s="18">
        <f t="shared" si="2"/>
        <v>0.171328671328671</v>
      </c>
      <c r="I110" s="9">
        <v>132.4</v>
      </c>
      <c r="J110" s="18">
        <f t="shared" si="3"/>
        <v>0.867069486404834</v>
      </c>
      <c r="K110" s="12"/>
      <c r="L110" s="12"/>
      <c r="M110" s="2"/>
      <c r="O110" s="9"/>
      <c r="P110" s="9"/>
      <c r="Q110" s="2"/>
      <c r="S110" s="9">
        <v>0.6</v>
      </c>
      <c r="T110" s="9">
        <v>598.6</v>
      </c>
      <c r="U110" s="17" t="s">
        <v>34</v>
      </c>
      <c r="V110" s="49" t="e">
        <f t="shared" si="4"/>
        <v>#VALUE!</v>
      </c>
    </row>
    <row r="111" ht="16" customHeight="1" spans="1:22">
      <c r="A111" s="1" t="s">
        <v>75</v>
      </c>
      <c r="B111" s="7" t="s">
        <v>36</v>
      </c>
      <c r="C111" s="9">
        <f>C109+C110</f>
        <v>306.6</v>
      </c>
      <c r="D111" s="9">
        <f>D109+D110</f>
        <v>171</v>
      </c>
      <c r="E111" s="69">
        <f t="shared" si="0"/>
        <v>221.2</v>
      </c>
      <c r="F111" s="65">
        <f t="shared" si="1"/>
        <v>0.436002039775625</v>
      </c>
      <c r="G111" s="9">
        <f>G109+G110</f>
        <v>20.4</v>
      </c>
      <c r="H111" s="18">
        <f t="shared" si="2"/>
        <v>0.119298245614035</v>
      </c>
      <c r="I111" s="9">
        <f>I109+I110</f>
        <v>392.2</v>
      </c>
      <c r="J111" s="18">
        <f t="shared" si="3"/>
        <v>0.781744008159102</v>
      </c>
      <c r="K111" s="12"/>
      <c r="L111" s="12"/>
      <c r="M111" s="2"/>
      <c r="O111" s="9"/>
      <c r="P111" s="9"/>
      <c r="Q111" s="2"/>
      <c r="S111" s="9">
        <f>S109+S110</f>
        <v>1.4</v>
      </c>
      <c r="T111" s="9">
        <f>T109+T110</f>
        <v>1317.2</v>
      </c>
      <c r="U111" s="9" t="e">
        <f>U109+U110</f>
        <v>#VALUE!</v>
      </c>
      <c r="V111" s="49" t="e">
        <f t="shared" si="4"/>
        <v>#VALUE!</v>
      </c>
    </row>
    <row r="112" ht="16" hidden="1" customHeight="1" spans="1:22">
      <c r="A112" s="1" t="s">
        <v>76</v>
      </c>
      <c r="B112" s="7" t="s">
        <v>33</v>
      </c>
      <c r="C112" s="9">
        <v>191</v>
      </c>
      <c r="D112" s="9">
        <v>160.8</v>
      </c>
      <c r="E112" s="69">
        <f t="shared" si="0"/>
        <v>156.6</v>
      </c>
      <c r="F112" s="65">
        <f t="shared" si="1"/>
        <v>0.506616257088847</v>
      </c>
      <c r="G112" s="9">
        <v>13</v>
      </c>
      <c r="H112" s="18">
        <f t="shared" si="2"/>
        <v>0.0808457711442786</v>
      </c>
      <c r="I112" s="9">
        <v>317.4</v>
      </c>
      <c r="J112" s="18">
        <f t="shared" si="3"/>
        <v>0.601764335223693</v>
      </c>
      <c r="K112" s="12"/>
      <c r="L112" s="12"/>
      <c r="M112" s="2"/>
      <c r="O112" s="9"/>
      <c r="P112" s="9"/>
      <c r="Q112" s="2"/>
      <c r="S112" s="17" t="s">
        <v>34</v>
      </c>
      <c r="T112" s="9">
        <v>744.6</v>
      </c>
      <c r="U112" s="9">
        <v>1.6</v>
      </c>
      <c r="V112" s="49">
        <f t="shared" si="4"/>
        <v>0.0021488047273704</v>
      </c>
    </row>
    <row r="113" ht="16" hidden="1" customHeight="1" spans="1:22">
      <c r="A113" s="1" t="s">
        <v>76</v>
      </c>
      <c r="B113" s="7" t="s">
        <v>35</v>
      </c>
      <c r="C113" s="9">
        <v>98.6</v>
      </c>
      <c r="D113" s="9">
        <v>57</v>
      </c>
      <c r="E113" s="69">
        <f t="shared" si="0"/>
        <v>70.4</v>
      </c>
      <c r="F113" s="65">
        <f t="shared" si="1"/>
        <v>0.447409733124019</v>
      </c>
      <c r="G113" s="9">
        <v>7.4</v>
      </c>
      <c r="H113" s="18">
        <f t="shared" si="2"/>
        <v>0.129824561403509</v>
      </c>
      <c r="I113" s="9">
        <v>127.4</v>
      </c>
      <c r="J113" s="18">
        <f t="shared" si="3"/>
        <v>0.773940345368917</v>
      </c>
      <c r="K113" s="12"/>
      <c r="L113" s="12"/>
      <c r="M113" s="2"/>
      <c r="O113" s="9"/>
      <c r="P113" s="9"/>
      <c r="Q113" s="2"/>
      <c r="S113" s="9">
        <v>1.2</v>
      </c>
      <c r="T113" s="9">
        <v>592.2</v>
      </c>
      <c r="U113" s="17" t="s">
        <v>34</v>
      </c>
      <c r="V113" s="49" t="e">
        <f t="shared" si="4"/>
        <v>#VALUE!</v>
      </c>
    </row>
    <row r="114" ht="16" customHeight="1" spans="1:22">
      <c r="A114" s="1" t="s">
        <v>76</v>
      </c>
      <c r="B114" s="7" t="s">
        <v>36</v>
      </c>
      <c r="C114" s="9">
        <f>C112+C113</f>
        <v>289.6</v>
      </c>
      <c r="D114" s="9">
        <f>D112+D113</f>
        <v>217.8</v>
      </c>
      <c r="E114" s="69">
        <f t="shared" si="0"/>
        <v>227</v>
      </c>
      <c r="F114" s="65">
        <f t="shared" si="1"/>
        <v>0.489658273381295</v>
      </c>
      <c r="G114" s="9">
        <f>G112+G113</f>
        <v>20.4</v>
      </c>
      <c r="H114" s="18">
        <f t="shared" si="2"/>
        <v>0.09366391184573</v>
      </c>
      <c r="I114" s="9">
        <f>I112+I113</f>
        <v>444.8</v>
      </c>
      <c r="J114" s="18">
        <f t="shared" si="3"/>
        <v>0.651079136690648</v>
      </c>
      <c r="K114" s="12"/>
      <c r="L114" s="12"/>
      <c r="M114" s="2"/>
      <c r="O114" s="9"/>
      <c r="P114" s="9"/>
      <c r="Q114" s="2"/>
      <c r="S114" s="9" t="e">
        <f>S112+S113</f>
        <v>#VALUE!</v>
      </c>
      <c r="T114" s="9">
        <f>T112+T113</f>
        <v>1336.8</v>
      </c>
      <c r="U114" s="9" t="e">
        <f>U112+U113</f>
        <v>#VALUE!</v>
      </c>
      <c r="V114" s="49" t="e">
        <f t="shared" si="4"/>
        <v>#VALUE!</v>
      </c>
    </row>
    <row r="115" ht="34" hidden="1" spans="1:22">
      <c r="A115" s="1" t="s">
        <v>77</v>
      </c>
      <c r="B115" s="7" t="s">
        <v>33</v>
      </c>
      <c r="C115" s="9">
        <v>197.8</v>
      </c>
      <c r="D115" s="9">
        <v>139.8</v>
      </c>
      <c r="E115" s="69">
        <f t="shared" si="0"/>
        <v>147.4</v>
      </c>
      <c r="F115" s="65">
        <f t="shared" si="1"/>
        <v>0.486768802228412</v>
      </c>
      <c r="G115" s="9">
        <v>14</v>
      </c>
      <c r="H115" s="18">
        <f t="shared" si="2"/>
        <v>0.100143061516452</v>
      </c>
      <c r="I115" s="9">
        <v>287.2</v>
      </c>
      <c r="J115" s="18">
        <f t="shared" si="3"/>
        <v>0.688718662952646</v>
      </c>
      <c r="K115" s="12">
        <f>160/5</f>
        <v>32</v>
      </c>
      <c r="L115" s="12">
        <f>86/5</f>
        <v>17.2</v>
      </c>
      <c r="M115" s="2">
        <v>8</v>
      </c>
      <c r="N115">
        <f>666+190</f>
        <v>856</v>
      </c>
      <c r="O115" s="9">
        <f>29680/5</f>
        <v>5936</v>
      </c>
      <c r="P115" s="9">
        <f>53/5</f>
        <v>10.6</v>
      </c>
      <c r="Q115" s="2">
        <v>14</v>
      </c>
      <c r="R115">
        <f>159+160</f>
        <v>319</v>
      </c>
      <c r="S115" s="9">
        <v>0.4</v>
      </c>
      <c r="T115" s="9">
        <v>793.4</v>
      </c>
      <c r="U115" s="9">
        <v>2.8</v>
      </c>
      <c r="V115" s="49">
        <f t="shared" si="4"/>
        <v>0.00352911520040333</v>
      </c>
    </row>
    <row r="116" hidden="1" spans="1:22">
      <c r="A116" s="1" t="s">
        <v>77</v>
      </c>
      <c r="B116" s="7" t="s">
        <v>35</v>
      </c>
      <c r="C116" s="9">
        <v>117</v>
      </c>
      <c r="D116" s="9">
        <v>52.2</v>
      </c>
      <c r="E116" s="69">
        <f t="shared" si="0"/>
        <v>72</v>
      </c>
      <c r="F116" s="65">
        <f t="shared" si="1"/>
        <v>0.420289855072464</v>
      </c>
      <c r="G116" s="9">
        <v>8.4</v>
      </c>
      <c r="H116" s="18">
        <f t="shared" si="2"/>
        <v>0.160919540229885</v>
      </c>
      <c r="I116" s="9">
        <v>124.2</v>
      </c>
      <c r="J116" s="18">
        <f t="shared" si="3"/>
        <v>0.942028985507246</v>
      </c>
      <c r="K116" s="12">
        <f>274/5</f>
        <v>54.8</v>
      </c>
      <c r="L116" s="12">
        <f>141/5</f>
        <v>28.2</v>
      </c>
      <c r="M116" s="2">
        <v>0</v>
      </c>
      <c r="N116" s="2">
        <v>111</v>
      </c>
      <c r="O116" s="9">
        <f>5088/5</f>
        <v>1017.6</v>
      </c>
      <c r="P116" s="9">
        <f>48/5</f>
        <v>9.6</v>
      </c>
      <c r="Q116" s="2">
        <v>16</v>
      </c>
      <c r="R116" s="2">
        <v>175</v>
      </c>
      <c r="S116" s="9">
        <v>5</v>
      </c>
      <c r="T116" s="9">
        <v>605.8</v>
      </c>
      <c r="U116" s="17" t="s">
        <v>34</v>
      </c>
      <c r="V116" s="49" t="e">
        <f t="shared" si="4"/>
        <v>#VALUE!</v>
      </c>
    </row>
    <row r="117" spans="1:22">
      <c r="A117" s="1" t="s">
        <v>77</v>
      </c>
      <c r="B117" s="7" t="s">
        <v>36</v>
      </c>
      <c r="C117" s="9">
        <f>C115+C116</f>
        <v>314.8</v>
      </c>
      <c r="D117" s="9">
        <f>D115+D116</f>
        <v>192</v>
      </c>
      <c r="E117" s="69">
        <f t="shared" si="0"/>
        <v>219.4</v>
      </c>
      <c r="F117" s="65">
        <f t="shared" si="1"/>
        <v>0.466699076324745</v>
      </c>
      <c r="G117" s="9">
        <f>G115+G116</f>
        <v>22.4</v>
      </c>
      <c r="H117" s="18">
        <f t="shared" si="2"/>
        <v>0.116666666666667</v>
      </c>
      <c r="I117" s="9">
        <f>I115+I116</f>
        <v>411.4</v>
      </c>
      <c r="J117" s="18">
        <f t="shared" si="3"/>
        <v>0.765192027224113</v>
      </c>
      <c r="K117" s="12">
        <f t="shared" ref="K117:U117" si="5">K115+K116</f>
        <v>86.8</v>
      </c>
      <c r="L117" s="12">
        <f t="shared" si="5"/>
        <v>45.4</v>
      </c>
      <c r="M117" s="2">
        <f t="shared" si="5"/>
        <v>8</v>
      </c>
      <c r="N117" s="2">
        <f t="shared" si="5"/>
        <v>967</v>
      </c>
      <c r="O117" s="9">
        <f t="shared" si="5"/>
        <v>6953.6</v>
      </c>
      <c r="P117" s="9">
        <f t="shared" si="5"/>
        <v>20.2</v>
      </c>
      <c r="Q117" s="2">
        <f t="shared" si="5"/>
        <v>30</v>
      </c>
      <c r="R117" s="2">
        <f t="shared" si="5"/>
        <v>494</v>
      </c>
      <c r="S117" s="9">
        <f t="shared" si="5"/>
        <v>5.4</v>
      </c>
      <c r="T117" s="9">
        <f t="shared" si="5"/>
        <v>1399.2</v>
      </c>
      <c r="U117" s="9" t="e">
        <f t="shared" si="5"/>
        <v>#VALUE!</v>
      </c>
      <c r="V117" s="49" t="e">
        <f t="shared" si="4"/>
        <v>#VALUE!</v>
      </c>
    </row>
    <row r="118" ht="34" hidden="1" spans="1:22">
      <c r="A118" s="1" t="s">
        <v>78</v>
      </c>
      <c r="B118" s="7" t="s">
        <v>33</v>
      </c>
      <c r="C118" s="9">
        <v>241.8</v>
      </c>
      <c r="D118" s="9">
        <v>177.4</v>
      </c>
      <c r="E118" s="69">
        <f t="shared" si="0"/>
        <v>147.4</v>
      </c>
      <c r="F118" s="65">
        <f t="shared" si="1"/>
        <v>0.546182266009852</v>
      </c>
      <c r="G118" s="9">
        <v>13.4</v>
      </c>
      <c r="H118" s="18">
        <f t="shared" si="2"/>
        <v>0.0755355129650507</v>
      </c>
      <c r="I118" s="9">
        <v>324.8</v>
      </c>
      <c r="J118" s="18">
        <f t="shared" si="3"/>
        <v>0.744458128078818</v>
      </c>
      <c r="K118" s="12">
        <f>166/5</f>
        <v>33.2</v>
      </c>
      <c r="L118" s="12">
        <f>71/5</f>
        <v>14.2</v>
      </c>
      <c r="M118" s="2">
        <v>6</v>
      </c>
      <c r="N118">
        <f>731+192</f>
        <v>923</v>
      </c>
      <c r="O118" s="9">
        <f>28495/5</f>
        <v>5699</v>
      </c>
      <c r="P118" s="9">
        <f>45/5</f>
        <v>9</v>
      </c>
      <c r="Q118" s="2">
        <v>12</v>
      </c>
      <c r="R118">
        <f>113+165</f>
        <v>278</v>
      </c>
      <c r="S118" s="9">
        <v>0.8</v>
      </c>
      <c r="T118" s="9">
        <v>784.2</v>
      </c>
      <c r="U118" s="9">
        <v>4</v>
      </c>
      <c r="V118" s="49">
        <f t="shared" si="4"/>
        <v>0.00510073960724305</v>
      </c>
    </row>
    <row r="119" hidden="1" spans="1:22">
      <c r="A119" s="1" t="s">
        <v>78</v>
      </c>
      <c r="B119" s="7" t="s">
        <v>35</v>
      </c>
      <c r="C119" s="9">
        <v>110.2</v>
      </c>
      <c r="D119" s="9">
        <v>51</v>
      </c>
      <c r="E119" s="69">
        <f t="shared" si="0"/>
        <v>73.8</v>
      </c>
      <c r="F119" s="65">
        <f t="shared" si="1"/>
        <v>0.408653846153846</v>
      </c>
      <c r="G119" s="9">
        <v>10.6</v>
      </c>
      <c r="H119" s="18">
        <f t="shared" si="2"/>
        <v>0.207843137254902</v>
      </c>
      <c r="I119" s="9">
        <v>124.8</v>
      </c>
      <c r="J119" s="18">
        <f t="shared" si="3"/>
        <v>0.883012820512821</v>
      </c>
      <c r="K119" s="12">
        <f>333/5</f>
        <v>66.6</v>
      </c>
      <c r="L119" s="12">
        <f>144/5</f>
        <v>28.8</v>
      </c>
      <c r="M119" s="2">
        <v>0</v>
      </c>
      <c r="N119" s="2">
        <v>114</v>
      </c>
      <c r="O119" s="9">
        <f>3789/5</f>
        <v>757.8</v>
      </c>
      <c r="P119" s="9">
        <f>47/5</f>
        <v>9.4</v>
      </c>
      <c r="Q119" s="2">
        <v>17</v>
      </c>
      <c r="R119" s="2">
        <v>176</v>
      </c>
      <c r="S119" s="9">
        <v>2</v>
      </c>
      <c r="T119" s="9">
        <v>525</v>
      </c>
      <c r="U119" s="17" t="s">
        <v>34</v>
      </c>
      <c r="V119" s="49" t="e">
        <f t="shared" si="4"/>
        <v>#VALUE!</v>
      </c>
    </row>
    <row r="120" spans="1:22">
      <c r="A120" s="1" t="s">
        <v>78</v>
      </c>
      <c r="B120" s="7" t="s">
        <v>36</v>
      </c>
      <c r="C120" s="9">
        <f>C118+C119</f>
        <v>352</v>
      </c>
      <c r="D120" s="9">
        <f>D118+D119</f>
        <v>228.4</v>
      </c>
      <c r="E120" s="69">
        <f t="shared" si="0"/>
        <v>221.2</v>
      </c>
      <c r="F120" s="65">
        <f t="shared" si="1"/>
        <v>0.508007117437722</v>
      </c>
      <c r="G120" s="9">
        <f>G118+G119</f>
        <v>24</v>
      </c>
      <c r="H120" s="18">
        <f t="shared" si="2"/>
        <v>0.10507880910683</v>
      </c>
      <c r="I120" s="9">
        <f>I118+I119</f>
        <v>449.6</v>
      </c>
      <c r="J120" s="18">
        <f t="shared" si="3"/>
        <v>0.782918149466192</v>
      </c>
      <c r="K120" s="12">
        <f t="shared" ref="K120:U120" si="6">K118+K119</f>
        <v>99.8</v>
      </c>
      <c r="L120" s="12">
        <f t="shared" si="6"/>
        <v>43</v>
      </c>
      <c r="M120" s="2">
        <f t="shared" si="6"/>
        <v>6</v>
      </c>
      <c r="N120" s="2">
        <f t="shared" si="6"/>
        <v>1037</v>
      </c>
      <c r="O120" s="9">
        <f t="shared" si="6"/>
        <v>6456.8</v>
      </c>
      <c r="P120" s="9">
        <f t="shared" si="6"/>
        <v>18.4</v>
      </c>
      <c r="Q120" s="2">
        <f t="shared" si="6"/>
        <v>29</v>
      </c>
      <c r="R120" s="2">
        <f t="shared" si="6"/>
        <v>454</v>
      </c>
      <c r="S120" s="9">
        <f t="shared" si="6"/>
        <v>2.8</v>
      </c>
      <c r="T120" s="9">
        <f t="shared" si="6"/>
        <v>1309.2</v>
      </c>
      <c r="U120" s="9" t="e">
        <f t="shared" si="6"/>
        <v>#VALUE!</v>
      </c>
      <c r="V120" s="49" t="e">
        <f t="shared" si="4"/>
        <v>#VALUE!</v>
      </c>
    </row>
    <row r="121" ht="34" hidden="1" spans="1:22">
      <c r="A121" s="1" t="s">
        <v>79</v>
      </c>
      <c r="B121" s="7" t="s">
        <v>33</v>
      </c>
      <c r="C121" s="9">
        <v>229</v>
      </c>
      <c r="D121" s="9">
        <v>182.2</v>
      </c>
      <c r="E121" s="69">
        <f t="shared" si="0"/>
        <v>148.8</v>
      </c>
      <c r="F121" s="65">
        <f t="shared" si="1"/>
        <v>0.550453172205438</v>
      </c>
      <c r="G121" s="9">
        <v>15.2</v>
      </c>
      <c r="H121" s="18">
        <f t="shared" si="2"/>
        <v>0.0834248079034029</v>
      </c>
      <c r="I121" s="9">
        <v>331</v>
      </c>
      <c r="J121" s="18">
        <f t="shared" si="3"/>
        <v>0.691842900302115</v>
      </c>
      <c r="K121" s="12">
        <f>148/5</f>
        <v>29.6</v>
      </c>
      <c r="L121" s="12">
        <f>70/5</f>
        <v>14</v>
      </c>
      <c r="M121" s="2">
        <v>9</v>
      </c>
      <c r="N121">
        <f>760+194</f>
        <v>954</v>
      </c>
      <c r="O121" s="9">
        <f>92449/5</f>
        <v>18489.8</v>
      </c>
      <c r="P121" s="9">
        <f>101/5</f>
        <v>20.2</v>
      </c>
      <c r="Q121" s="2">
        <v>11</v>
      </c>
      <c r="R121">
        <f>152+166</f>
        <v>318</v>
      </c>
      <c r="S121" s="9">
        <v>0.4</v>
      </c>
      <c r="T121" s="9">
        <v>858.6</v>
      </c>
      <c r="U121" s="9">
        <v>2</v>
      </c>
      <c r="V121" s="49">
        <f t="shared" si="4"/>
        <v>0.00232937339855579</v>
      </c>
    </row>
    <row r="122" hidden="1" spans="1:22">
      <c r="A122" s="1" t="s">
        <v>79</v>
      </c>
      <c r="B122" s="7" t="s">
        <v>35</v>
      </c>
      <c r="C122" s="9">
        <v>145</v>
      </c>
      <c r="D122" s="9">
        <v>55</v>
      </c>
      <c r="E122" s="69">
        <f t="shared" si="0"/>
        <v>99.8</v>
      </c>
      <c r="F122" s="65">
        <f t="shared" si="1"/>
        <v>0.355297157622739</v>
      </c>
      <c r="G122" s="9">
        <v>10.2</v>
      </c>
      <c r="H122" s="18">
        <f t="shared" si="2"/>
        <v>0.185454545454545</v>
      </c>
      <c r="I122" s="9">
        <v>154.8</v>
      </c>
      <c r="J122" s="18">
        <f t="shared" si="3"/>
        <v>0.936692506459948</v>
      </c>
      <c r="K122" s="12">
        <f>249/5</f>
        <v>49.8</v>
      </c>
      <c r="L122" s="12">
        <f>125/5</f>
        <v>25</v>
      </c>
      <c r="M122" s="2">
        <v>0</v>
      </c>
      <c r="N122" s="2">
        <v>114</v>
      </c>
      <c r="O122" s="9">
        <f>6641/5</f>
        <v>1328.2</v>
      </c>
      <c r="P122" s="9">
        <f>51/5</f>
        <v>10.2</v>
      </c>
      <c r="Q122" s="2">
        <v>14</v>
      </c>
      <c r="R122" s="2">
        <v>185</v>
      </c>
      <c r="S122" s="9">
        <v>4.4</v>
      </c>
      <c r="T122" s="9">
        <v>615.4</v>
      </c>
      <c r="U122" s="17" t="s">
        <v>34</v>
      </c>
      <c r="V122" s="49" t="e">
        <f t="shared" si="4"/>
        <v>#VALUE!</v>
      </c>
    </row>
    <row r="123" spans="1:22">
      <c r="A123" s="1" t="s">
        <v>79</v>
      </c>
      <c r="B123" s="7" t="s">
        <v>36</v>
      </c>
      <c r="C123" s="9">
        <f>C121+C122</f>
        <v>374</v>
      </c>
      <c r="D123" s="9">
        <f>D121+D122</f>
        <v>237.2</v>
      </c>
      <c r="E123" s="69">
        <f t="shared" si="0"/>
        <v>248.6</v>
      </c>
      <c r="F123" s="65">
        <f t="shared" si="1"/>
        <v>0.488266776451214</v>
      </c>
      <c r="G123" s="9">
        <f>G121+G122</f>
        <v>25.4</v>
      </c>
      <c r="H123" s="18">
        <f t="shared" si="2"/>
        <v>0.1070826306914</v>
      </c>
      <c r="I123" s="9">
        <f>I121+I122</f>
        <v>485.8</v>
      </c>
      <c r="J123" s="18">
        <f t="shared" si="3"/>
        <v>0.769864141622067</v>
      </c>
      <c r="K123" s="12">
        <f t="shared" ref="K123:U123" si="7">K121+K122</f>
        <v>79.4</v>
      </c>
      <c r="L123" s="12">
        <f t="shared" si="7"/>
        <v>39</v>
      </c>
      <c r="M123" s="2">
        <f t="shared" si="7"/>
        <v>9</v>
      </c>
      <c r="N123" s="2">
        <f t="shared" si="7"/>
        <v>1068</v>
      </c>
      <c r="O123" s="9">
        <f t="shared" si="7"/>
        <v>19818</v>
      </c>
      <c r="P123" s="9">
        <f t="shared" si="7"/>
        <v>30.4</v>
      </c>
      <c r="Q123" s="2">
        <f t="shared" si="7"/>
        <v>25</v>
      </c>
      <c r="R123" s="2">
        <f t="shared" si="7"/>
        <v>503</v>
      </c>
      <c r="S123" s="9">
        <f t="shared" si="7"/>
        <v>4.8</v>
      </c>
      <c r="T123" s="9">
        <f t="shared" si="7"/>
        <v>1474</v>
      </c>
      <c r="U123" s="9" t="e">
        <f t="shared" si="7"/>
        <v>#VALUE!</v>
      </c>
      <c r="V123" s="49" t="e">
        <f t="shared" si="4"/>
        <v>#VALUE!</v>
      </c>
    </row>
    <row r="124" ht="34" hidden="1" spans="1:22">
      <c r="A124" s="7" t="s">
        <v>80</v>
      </c>
      <c r="B124" s="7" t="s">
        <v>33</v>
      </c>
      <c r="C124" s="9">
        <v>224.4</v>
      </c>
      <c r="D124" s="9">
        <v>133.6</v>
      </c>
      <c r="E124" s="69">
        <f t="shared" si="0"/>
        <v>166.4</v>
      </c>
      <c r="F124" s="65">
        <f t="shared" si="1"/>
        <v>0.445333333333333</v>
      </c>
      <c r="G124" s="9">
        <v>12.4</v>
      </c>
      <c r="H124" s="18">
        <f t="shared" si="2"/>
        <v>0.092814371257485</v>
      </c>
      <c r="I124" s="9">
        <v>300</v>
      </c>
      <c r="J124" s="18">
        <f t="shared" si="3"/>
        <v>0.748</v>
      </c>
      <c r="K124" s="12">
        <f>130/5</f>
        <v>26</v>
      </c>
      <c r="L124" s="12">
        <f>78/5</f>
        <v>15.6</v>
      </c>
      <c r="M124" s="2">
        <v>8</v>
      </c>
      <c r="N124">
        <f>750+201</f>
        <v>951</v>
      </c>
      <c r="O124" s="9">
        <f>39910/5</f>
        <v>7982</v>
      </c>
      <c r="P124" s="9">
        <f>61/5</f>
        <v>12.2</v>
      </c>
      <c r="Q124" s="2">
        <v>10</v>
      </c>
      <c r="R124">
        <f>139+190</f>
        <v>329</v>
      </c>
      <c r="S124" s="9">
        <v>1.2</v>
      </c>
      <c r="T124" s="9">
        <v>867</v>
      </c>
      <c r="U124" s="9">
        <v>1.4</v>
      </c>
      <c r="V124" s="49">
        <f t="shared" si="4"/>
        <v>0.00161476355247982</v>
      </c>
    </row>
    <row r="125" hidden="1" spans="1:22">
      <c r="A125" s="7" t="s">
        <v>80</v>
      </c>
      <c r="B125" s="7" t="s">
        <v>35</v>
      </c>
      <c r="C125" s="9">
        <v>166</v>
      </c>
      <c r="D125" s="9">
        <v>56.6</v>
      </c>
      <c r="E125" s="69">
        <f t="shared" si="0"/>
        <v>103.8</v>
      </c>
      <c r="F125" s="65">
        <f t="shared" si="1"/>
        <v>0.35286783042394</v>
      </c>
      <c r="G125" s="9">
        <v>12.2</v>
      </c>
      <c r="H125" s="18">
        <f t="shared" si="2"/>
        <v>0.215547703180212</v>
      </c>
      <c r="I125" s="9">
        <v>160.4</v>
      </c>
      <c r="J125" s="18">
        <f t="shared" si="3"/>
        <v>1.03491271820449</v>
      </c>
      <c r="K125" s="12">
        <f>207/5</f>
        <v>41.4</v>
      </c>
      <c r="L125" s="12">
        <f>105/5</f>
        <v>21</v>
      </c>
      <c r="M125" s="2">
        <v>0</v>
      </c>
      <c r="N125" s="2">
        <v>115</v>
      </c>
      <c r="O125" s="9">
        <f>6231/5</f>
        <v>1246.2</v>
      </c>
      <c r="P125" s="9">
        <f>39/5</f>
        <v>7.8</v>
      </c>
      <c r="Q125" s="2">
        <v>13</v>
      </c>
      <c r="R125" s="2">
        <v>209</v>
      </c>
      <c r="S125" s="9">
        <v>2.8</v>
      </c>
      <c r="T125" s="9">
        <v>625.6</v>
      </c>
      <c r="U125" s="17" t="s">
        <v>34</v>
      </c>
      <c r="V125" s="49" t="e">
        <f t="shared" si="4"/>
        <v>#VALUE!</v>
      </c>
    </row>
    <row r="126" spans="1:22">
      <c r="A126" s="7" t="s">
        <v>80</v>
      </c>
      <c r="B126" s="7" t="s">
        <v>36</v>
      </c>
      <c r="C126" s="9">
        <f>C124+C125</f>
        <v>390.4</v>
      </c>
      <c r="D126" s="9">
        <f>D124+D125</f>
        <v>190.2</v>
      </c>
      <c r="E126" s="69">
        <f t="shared" si="0"/>
        <v>270.2</v>
      </c>
      <c r="F126" s="65">
        <f t="shared" si="1"/>
        <v>0.413119026933102</v>
      </c>
      <c r="G126" s="9">
        <f>G124+G125</f>
        <v>24.6</v>
      </c>
      <c r="H126" s="18">
        <f t="shared" si="2"/>
        <v>0.129337539432177</v>
      </c>
      <c r="I126" s="9">
        <f>I124+I125</f>
        <v>460.4</v>
      </c>
      <c r="J126" s="18">
        <f t="shared" si="3"/>
        <v>0.847958297132928</v>
      </c>
      <c r="K126" s="12">
        <f t="shared" ref="K126:U126" si="8">K124+K125</f>
        <v>67.4</v>
      </c>
      <c r="L126" s="12">
        <f t="shared" si="8"/>
        <v>36.6</v>
      </c>
      <c r="M126" s="2">
        <f t="shared" si="8"/>
        <v>8</v>
      </c>
      <c r="N126" s="2">
        <f t="shared" si="8"/>
        <v>1066</v>
      </c>
      <c r="O126" s="9">
        <f t="shared" si="8"/>
        <v>9228.2</v>
      </c>
      <c r="P126" s="9">
        <f t="shared" si="8"/>
        <v>20</v>
      </c>
      <c r="Q126" s="2">
        <f t="shared" si="8"/>
        <v>23</v>
      </c>
      <c r="R126" s="2">
        <f t="shared" si="8"/>
        <v>538</v>
      </c>
      <c r="S126" s="9">
        <f t="shared" si="8"/>
        <v>4</v>
      </c>
      <c r="T126" s="9">
        <f t="shared" si="8"/>
        <v>1492.6</v>
      </c>
      <c r="U126" s="9" t="e">
        <f t="shared" si="8"/>
        <v>#VALUE!</v>
      </c>
      <c r="V126" s="49" t="e">
        <f t="shared" si="4"/>
        <v>#VALUE!</v>
      </c>
    </row>
    <row r="127" ht="34" hidden="1" spans="1:22">
      <c r="A127" s="7" t="s">
        <v>81</v>
      </c>
      <c r="B127" s="7" t="s">
        <v>33</v>
      </c>
      <c r="C127" s="9">
        <v>249.2</v>
      </c>
      <c r="D127" s="9">
        <v>137.8</v>
      </c>
      <c r="E127" s="69">
        <f t="shared" si="0"/>
        <v>164.8</v>
      </c>
      <c r="F127" s="65">
        <f t="shared" si="1"/>
        <v>0.455386649041639</v>
      </c>
      <c r="G127" s="9">
        <v>15.8</v>
      </c>
      <c r="H127" s="18">
        <f t="shared" si="2"/>
        <v>0.114658925979681</v>
      </c>
      <c r="I127" s="9">
        <v>302.6</v>
      </c>
      <c r="J127" s="18">
        <f t="shared" si="3"/>
        <v>0.823529411764706</v>
      </c>
      <c r="K127" s="12">
        <f>208/5</f>
        <v>41.6</v>
      </c>
      <c r="L127" s="12">
        <f>131/5</f>
        <v>26.2</v>
      </c>
      <c r="M127" s="2">
        <v>9</v>
      </c>
      <c r="N127">
        <f>811+242</f>
        <v>1053</v>
      </c>
      <c r="O127" s="9">
        <f>68482/5</f>
        <v>13696.4</v>
      </c>
      <c r="P127" s="9">
        <f>126/5</f>
        <v>25.2</v>
      </c>
      <c r="Q127" s="2">
        <v>10</v>
      </c>
      <c r="R127">
        <f>164+194</f>
        <v>358</v>
      </c>
      <c r="S127" s="9">
        <v>0.2</v>
      </c>
      <c r="T127" s="9">
        <v>854.8</v>
      </c>
      <c r="U127" s="9">
        <v>2.6</v>
      </c>
      <c r="V127" s="49">
        <f t="shared" si="4"/>
        <v>0.0030416471689284</v>
      </c>
    </row>
    <row r="128" hidden="1" spans="1:22">
      <c r="A128" s="7" t="s">
        <v>81</v>
      </c>
      <c r="B128" s="7" t="s">
        <v>35</v>
      </c>
      <c r="C128" s="9">
        <v>256.8</v>
      </c>
      <c r="D128" s="9">
        <v>80.8</v>
      </c>
      <c r="E128" s="69">
        <f t="shared" si="0"/>
        <v>166.2</v>
      </c>
      <c r="F128" s="65">
        <f t="shared" si="1"/>
        <v>0.327125506072874</v>
      </c>
      <c r="G128" s="9">
        <v>19.2</v>
      </c>
      <c r="H128" s="18">
        <f t="shared" si="2"/>
        <v>0.237623762376238</v>
      </c>
      <c r="I128" s="9">
        <v>247</v>
      </c>
      <c r="J128" s="18">
        <f t="shared" si="3"/>
        <v>1.03967611336032</v>
      </c>
      <c r="K128" s="12">
        <f>218/5</f>
        <v>43.6</v>
      </c>
      <c r="L128" s="12">
        <f>112/5</f>
        <v>22.4</v>
      </c>
      <c r="M128" s="2">
        <v>0</v>
      </c>
      <c r="N128" s="2">
        <v>118</v>
      </c>
      <c r="O128" s="9">
        <f>7908/5</f>
        <v>1581.6</v>
      </c>
      <c r="P128" s="9">
        <f>51/5</f>
        <v>10.2</v>
      </c>
      <c r="Q128" s="2">
        <v>14</v>
      </c>
      <c r="R128" s="2">
        <v>210</v>
      </c>
      <c r="S128" s="9">
        <v>9.2</v>
      </c>
      <c r="T128" s="9">
        <v>1001.4</v>
      </c>
      <c r="U128" s="17" t="s">
        <v>34</v>
      </c>
      <c r="V128" s="49" t="e">
        <f t="shared" si="4"/>
        <v>#VALUE!</v>
      </c>
    </row>
    <row r="129" spans="1:22">
      <c r="A129" s="7" t="s">
        <v>81</v>
      </c>
      <c r="B129" s="7" t="s">
        <v>36</v>
      </c>
      <c r="C129" s="9">
        <f>C127+C128</f>
        <v>506</v>
      </c>
      <c r="D129" s="9">
        <f>D127+D128</f>
        <v>218.6</v>
      </c>
      <c r="E129" s="69">
        <f t="shared" si="0"/>
        <v>331</v>
      </c>
      <c r="F129" s="65">
        <f t="shared" si="1"/>
        <v>0.397743813682678</v>
      </c>
      <c r="G129" s="9">
        <f>G127+G128</f>
        <v>35</v>
      </c>
      <c r="H129" s="18">
        <f t="shared" si="2"/>
        <v>0.160109789569991</v>
      </c>
      <c r="I129" s="9">
        <f>I127+I128</f>
        <v>549.6</v>
      </c>
      <c r="J129" s="18">
        <f t="shared" si="3"/>
        <v>0.920669577874818</v>
      </c>
      <c r="K129" s="12">
        <f t="shared" ref="K129:U129" si="9">K127+K128</f>
        <v>85.2</v>
      </c>
      <c r="L129" s="12">
        <f t="shared" si="9"/>
        <v>48.6</v>
      </c>
      <c r="M129" s="2">
        <f t="shared" si="9"/>
        <v>9</v>
      </c>
      <c r="N129" s="2">
        <f t="shared" si="9"/>
        <v>1171</v>
      </c>
      <c r="O129" s="9">
        <f t="shared" si="9"/>
        <v>15278</v>
      </c>
      <c r="P129" s="9">
        <f t="shared" si="9"/>
        <v>35.4</v>
      </c>
      <c r="Q129" s="2">
        <f t="shared" si="9"/>
        <v>24</v>
      </c>
      <c r="R129" s="2">
        <f t="shared" si="9"/>
        <v>568</v>
      </c>
      <c r="S129" s="9">
        <f t="shared" si="9"/>
        <v>9.4</v>
      </c>
      <c r="T129" s="9">
        <f t="shared" si="9"/>
        <v>1856.2</v>
      </c>
      <c r="U129" s="9" t="e">
        <f t="shared" si="9"/>
        <v>#VALUE!</v>
      </c>
      <c r="V129" s="49" t="e">
        <f t="shared" si="4"/>
        <v>#VALUE!</v>
      </c>
    </row>
    <row r="130" ht="34" hidden="1" spans="1:22">
      <c r="A130" s="7" t="s">
        <v>82</v>
      </c>
      <c r="B130" s="7" t="s">
        <v>33</v>
      </c>
      <c r="C130" s="9">
        <v>210.2</v>
      </c>
      <c r="D130" s="9">
        <v>119</v>
      </c>
      <c r="E130" s="69">
        <f t="shared" si="0"/>
        <v>161.4</v>
      </c>
      <c r="F130" s="65">
        <f t="shared" si="1"/>
        <v>0.424393723252496</v>
      </c>
      <c r="G130" s="9">
        <v>13.2</v>
      </c>
      <c r="H130" s="18">
        <f t="shared" si="2"/>
        <v>0.110924369747899</v>
      </c>
      <c r="I130" s="9">
        <v>280.4</v>
      </c>
      <c r="J130" s="18">
        <f t="shared" si="3"/>
        <v>0.749643366619116</v>
      </c>
      <c r="K130" s="73">
        <f>111/5</f>
        <v>22.2</v>
      </c>
      <c r="L130" s="73">
        <f>71/5</f>
        <v>14.2</v>
      </c>
      <c r="M130" s="74">
        <v>7</v>
      </c>
      <c r="N130">
        <f>816+245</f>
        <v>1061</v>
      </c>
      <c r="O130" s="13">
        <f>75090/5</f>
        <v>15018</v>
      </c>
      <c r="P130" s="13">
        <f>153/5</f>
        <v>30.6</v>
      </c>
      <c r="Q130" s="74">
        <v>10</v>
      </c>
      <c r="R130">
        <f>163+203</f>
        <v>366</v>
      </c>
      <c r="S130" s="9">
        <v>0.4</v>
      </c>
      <c r="T130" s="9">
        <v>760.4</v>
      </c>
      <c r="U130" s="9">
        <v>1.8</v>
      </c>
      <c r="V130" s="49">
        <f t="shared" si="4"/>
        <v>0.00236717517096265</v>
      </c>
    </row>
    <row r="131" hidden="1" spans="1:22">
      <c r="A131" s="7" t="s">
        <v>82</v>
      </c>
      <c r="B131" s="7" t="s">
        <v>35</v>
      </c>
      <c r="C131" s="9">
        <v>227.8</v>
      </c>
      <c r="D131" s="9">
        <v>75.6</v>
      </c>
      <c r="E131" s="69">
        <f t="shared" si="0"/>
        <v>140.2</v>
      </c>
      <c r="F131" s="65">
        <f t="shared" si="1"/>
        <v>0.35032437442076</v>
      </c>
      <c r="G131" s="9">
        <v>16.6</v>
      </c>
      <c r="H131" s="18">
        <f t="shared" si="2"/>
        <v>0.21957671957672</v>
      </c>
      <c r="I131" s="9">
        <v>215.8</v>
      </c>
      <c r="J131" s="18">
        <f t="shared" si="3"/>
        <v>1.05560704355885</v>
      </c>
      <c r="K131" s="73">
        <f>214/5</f>
        <v>42.8</v>
      </c>
      <c r="L131" s="73">
        <f>138/5</f>
        <v>27.6</v>
      </c>
      <c r="M131" s="74">
        <v>0</v>
      </c>
      <c r="N131" s="2">
        <v>118</v>
      </c>
      <c r="O131" s="13">
        <f>10028/5</f>
        <v>2005.6</v>
      </c>
      <c r="P131" s="13">
        <f>37/5</f>
        <v>7.4</v>
      </c>
      <c r="Q131" s="74">
        <v>14</v>
      </c>
      <c r="R131" s="2">
        <v>207</v>
      </c>
      <c r="S131" s="9">
        <v>7.4</v>
      </c>
      <c r="T131" s="9">
        <v>931.2</v>
      </c>
      <c r="U131" s="9">
        <v>4.6</v>
      </c>
      <c r="V131" s="49">
        <f t="shared" si="4"/>
        <v>0.00493986254295533</v>
      </c>
    </row>
    <row r="132" spans="1:22">
      <c r="A132" s="7" t="s">
        <v>82</v>
      </c>
      <c r="B132" s="7" t="s">
        <v>36</v>
      </c>
      <c r="C132" s="13">
        <f>C130+C131</f>
        <v>438</v>
      </c>
      <c r="D132" s="13">
        <f>D130+D131</f>
        <v>194.6</v>
      </c>
      <c r="E132" s="69">
        <f t="shared" si="0"/>
        <v>301.6</v>
      </c>
      <c r="F132" s="65">
        <f t="shared" si="1"/>
        <v>0.392180572349859</v>
      </c>
      <c r="G132" s="13">
        <f>G130+G131</f>
        <v>29.8</v>
      </c>
      <c r="H132" s="18">
        <f t="shared" si="2"/>
        <v>0.153134635149024</v>
      </c>
      <c r="I132" s="9">
        <f>I130+I131</f>
        <v>496.2</v>
      </c>
      <c r="J132" s="18">
        <f t="shared" si="3"/>
        <v>0.882708585247884</v>
      </c>
      <c r="K132" s="12">
        <f t="shared" ref="K132:U132" si="10">K130+K131</f>
        <v>65</v>
      </c>
      <c r="L132" s="12">
        <f t="shared" si="10"/>
        <v>41.8</v>
      </c>
      <c r="M132" s="74">
        <f t="shared" si="10"/>
        <v>7</v>
      </c>
      <c r="N132" s="74">
        <f t="shared" si="10"/>
        <v>1179</v>
      </c>
      <c r="O132" s="13">
        <f t="shared" si="10"/>
        <v>17023.6</v>
      </c>
      <c r="P132" s="13">
        <f t="shared" si="10"/>
        <v>38</v>
      </c>
      <c r="Q132" s="74">
        <f t="shared" si="10"/>
        <v>24</v>
      </c>
      <c r="R132" s="74">
        <f t="shared" si="10"/>
        <v>573</v>
      </c>
      <c r="S132" s="13">
        <f t="shared" si="10"/>
        <v>7.8</v>
      </c>
      <c r="T132" s="13">
        <f t="shared" si="10"/>
        <v>1691.6</v>
      </c>
      <c r="U132" s="13">
        <f t="shared" si="10"/>
        <v>6.4</v>
      </c>
      <c r="V132" s="49">
        <f t="shared" si="4"/>
        <v>0.00378340033104753</v>
      </c>
    </row>
    <row r="133" ht="34" hidden="1" spans="1:22">
      <c r="A133" s="1" t="s">
        <v>83</v>
      </c>
      <c r="B133" s="7" t="s">
        <v>33</v>
      </c>
      <c r="C133" s="9">
        <v>207</v>
      </c>
      <c r="D133" s="9">
        <v>114</v>
      </c>
      <c r="E133" s="69">
        <f t="shared" si="0"/>
        <v>166.6</v>
      </c>
      <c r="F133" s="65">
        <f t="shared" si="1"/>
        <v>0.406272273699216</v>
      </c>
      <c r="G133" s="9">
        <v>15.8</v>
      </c>
      <c r="H133" s="18">
        <f t="shared" si="2"/>
        <v>0.13859649122807</v>
      </c>
      <c r="I133" s="9">
        <v>280.6</v>
      </c>
      <c r="J133" s="18">
        <f t="shared" si="3"/>
        <v>0.737704918032787</v>
      </c>
      <c r="K133" s="9">
        <f>149/5</f>
        <v>29.8</v>
      </c>
      <c r="L133" s="9">
        <f>97/5</f>
        <v>19.4</v>
      </c>
      <c r="M133" s="2">
        <v>8</v>
      </c>
      <c r="N133">
        <f>785+283</f>
        <v>1068</v>
      </c>
      <c r="O133" s="9">
        <f>44863/5</f>
        <v>8972.6</v>
      </c>
      <c r="P133" s="9">
        <f>88/5</f>
        <v>17.6</v>
      </c>
      <c r="Q133" s="2">
        <v>9</v>
      </c>
      <c r="R133">
        <f>156+218</f>
        <v>374</v>
      </c>
      <c r="S133" s="9">
        <v>1.2</v>
      </c>
      <c r="T133" s="9">
        <v>757</v>
      </c>
      <c r="U133" s="9">
        <v>1.6</v>
      </c>
      <c r="V133" s="49">
        <f t="shared" si="4"/>
        <v>0.00211360634081902</v>
      </c>
    </row>
    <row r="134" hidden="1" spans="1:22">
      <c r="A134" s="1" t="s">
        <v>83</v>
      </c>
      <c r="B134" s="7" t="s">
        <v>35</v>
      </c>
      <c r="C134" s="9">
        <v>216.8</v>
      </c>
      <c r="D134" s="9">
        <v>91</v>
      </c>
      <c r="E134" s="69">
        <f t="shared" si="0"/>
        <v>150.8</v>
      </c>
      <c r="F134" s="65">
        <f t="shared" si="1"/>
        <v>0.376344086021505</v>
      </c>
      <c r="G134" s="9">
        <v>10.2</v>
      </c>
      <c r="H134" s="18">
        <f t="shared" si="2"/>
        <v>0.112087912087912</v>
      </c>
      <c r="I134" s="9">
        <v>241.8</v>
      </c>
      <c r="J134" s="18">
        <f t="shared" si="3"/>
        <v>0.89660876757651</v>
      </c>
      <c r="K134" s="9">
        <f>210/5</f>
        <v>42</v>
      </c>
      <c r="L134" s="9">
        <f>119/5</f>
        <v>23.8</v>
      </c>
      <c r="M134" s="2">
        <v>0</v>
      </c>
      <c r="N134" s="2">
        <v>124</v>
      </c>
      <c r="O134" s="9">
        <f>8345/5</f>
        <v>1669</v>
      </c>
      <c r="P134" s="9">
        <f>40/5</f>
        <v>8</v>
      </c>
      <c r="Q134" s="2">
        <v>16</v>
      </c>
      <c r="R134" s="2">
        <v>210</v>
      </c>
      <c r="S134" s="9">
        <v>7.4</v>
      </c>
      <c r="T134" s="9">
        <v>917.8</v>
      </c>
      <c r="U134" s="9">
        <v>2</v>
      </c>
      <c r="V134" s="49">
        <f t="shared" si="4"/>
        <v>0.00217912399215515</v>
      </c>
    </row>
    <row r="135" spans="1:22">
      <c r="A135" s="1" t="s">
        <v>83</v>
      </c>
      <c r="B135" s="7" t="s">
        <v>36</v>
      </c>
      <c r="C135" s="9">
        <f>C133+C134</f>
        <v>423.8</v>
      </c>
      <c r="D135" s="9">
        <f>D133+D134</f>
        <v>205</v>
      </c>
      <c r="E135" s="69">
        <f t="shared" si="0"/>
        <v>317.4</v>
      </c>
      <c r="F135" s="65">
        <f t="shared" si="1"/>
        <v>0.392419601837672</v>
      </c>
      <c r="G135" s="9">
        <f>G133+G134</f>
        <v>26</v>
      </c>
      <c r="H135" s="18">
        <f t="shared" si="2"/>
        <v>0.126829268292683</v>
      </c>
      <c r="I135" s="9">
        <f>I133+I134</f>
        <v>522.4</v>
      </c>
      <c r="J135" s="18">
        <f t="shared" si="3"/>
        <v>0.81125574272588</v>
      </c>
      <c r="K135" s="9">
        <f t="shared" ref="K135:U135" si="11">K133+K134</f>
        <v>71.8</v>
      </c>
      <c r="L135" s="9">
        <f t="shared" si="11"/>
        <v>43.2</v>
      </c>
      <c r="M135" s="2">
        <f t="shared" si="11"/>
        <v>8</v>
      </c>
      <c r="N135" s="2">
        <f t="shared" si="11"/>
        <v>1192</v>
      </c>
      <c r="O135" s="9">
        <f t="shared" si="11"/>
        <v>10641.6</v>
      </c>
      <c r="P135" s="9">
        <f t="shared" si="11"/>
        <v>25.6</v>
      </c>
      <c r="Q135" s="2">
        <f t="shared" si="11"/>
        <v>25</v>
      </c>
      <c r="R135" s="2">
        <f t="shared" si="11"/>
        <v>584</v>
      </c>
      <c r="S135" s="9">
        <f t="shared" si="11"/>
        <v>8.6</v>
      </c>
      <c r="T135" s="9">
        <f t="shared" si="11"/>
        <v>1674.8</v>
      </c>
      <c r="U135" s="9">
        <f t="shared" si="11"/>
        <v>3.6</v>
      </c>
      <c r="V135" s="49">
        <f t="shared" si="4"/>
        <v>0.00214951038930022</v>
      </c>
    </row>
    <row r="136" ht="34" hidden="1" spans="1:22">
      <c r="A136" s="1" t="s">
        <v>84</v>
      </c>
      <c r="B136" s="7" t="s">
        <v>33</v>
      </c>
      <c r="C136" s="9">
        <v>237</v>
      </c>
      <c r="D136" s="9">
        <v>121.8</v>
      </c>
      <c r="E136" s="69">
        <f t="shared" si="0"/>
        <v>170.2</v>
      </c>
      <c r="F136" s="65">
        <f t="shared" si="1"/>
        <v>0.417123287671233</v>
      </c>
      <c r="G136" s="9">
        <v>11.2</v>
      </c>
      <c r="H136" s="18">
        <f t="shared" si="2"/>
        <v>0.0919540229885057</v>
      </c>
      <c r="I136" s="9">
        <v>292</v>
      </c>
      <c r="J136" s="18">
        <f t="shared" si="3"/>
        <v>0.811643835616438</v>
      </c>
      <c r="K136" s="9">
        <f>81/4</f>
        <v>20.25</v>
      </c>
      <c r="L136" s="9">
        <f>59/4</f>
        <v>14.75</v>
      </c>
      <c r="M136" s="2">
        <v>6</v>
      </c>
      <c r="N136">
        <f>785+299</f>
        <v>1084</v>
      </c>
      <c r="O136" s="9">
        <f>7261/5</f>
        <v>1452.2</v>
      </c>
      <c r="P136" s="9">
        <f>24/5</f>
        <v>4.8</v>
      </c>
      <c r="Q136" s="2">
        <v>9</v>
      </c>
      <c r="R136">
        <f>154+219</f>
        <v>373</v>
      </c>
      <c r="S136" s="9">
        <v>0.6</v>
      </c>
      <c r="T136" s="9">
        <v>773.6</v>
      </c>
      <c r="U136" s="9">
        <v>1.6</v>
      </c>
      <c r="V136" s="49">
        <f t="shared" si="4"/>
        <v>0.00206825232678387</v>
      </c>
    </row>
    <row r="137" hidden="1" spans="1:22">
      <c r="A137" s="1" t="s">
        <v>84</v>
      </c>
      <c r="B137" s="7" t="s">
        <v>35</v>
      </c>
      <c r="C137" s="9">
        <v>257.4</v>
      </c>
      <c r="D137" s="9">
        <v>94.8</v>
      </c>
      <c r="E137" s="69">
        <f t="shared" si="0"/>
        <v>169.8</v>
      </c>
      <c r="F137" s="65">
        <f t="shared" si="1"/>
        <v>0.35827664399093</v>
      </c>
      <c r="G137" s="9">
        <v>12.2</v>
      </c>
      <c r="H137" s="18">
        <f t="shared" si="2"/>
        <v>0.128691983122363</v>
      </c>
      <c r="I137" s="9">
        <v>264.6</v>
      </c>
      <c r="J137" s="18">
        <f t="shared" si="3"/>
        <v>0.972789115646258</v>
      </c>
      <c r="K137" s="9">
        <f>163/4</f>
        <v>40.75</v>
      </c>
      <c r="L137" s="9">
        <f>103/4</f>
        <v>25.75</v>
      </c>
      <c r="M137" s="2">
        <v>0</v>
      </c>
      <c r="N137" s="2">
        <v>126</v>
      </c>
      <c r="O137" s="9">
        <f>6409/4</f>
        <v>1602.25</v>
      </c>
      <c r="P137" s="9">
        <f>49/5</f>
        <v>9.8</v>
      </c>
      <c r="Q137" s="2">
        <v>16</v>
      </c>
      <c r="R137" s="2">
        <v>224</v>
      </c>
      <c r="S137" s="9">
        <v>9.6</v>
      </c>
      <c r="T137" s="9">
        <v>937.4</v>
      </c>
      <c r="U137" s="9">
        <v>2.2</v>
      </c>
      <c r="V137" s="49">
        <f t="shared" si="4"/>
        <v>0.00234691700448048</v>
      </c>
    </row>
    <row r="138" spans="1:22">
      <c r="A138" s="1" t="s">
        <v>84</v>
      </c>
      <c r="B138" s="7" t="s">
        <v>36</v>
      </c>
      <c r="C138" s="9">
        <f>C136+C137</f>
        <v>494.4</v>
      </c>
      <c r="D138" s="9">
        <f>D136+D137</f>
        <v>216.6</v>
      </c>
      <c r="E138" s="69">
        <f t="shared" si="0"/>
        <v>340</v>
      </c>
      <c r="F138" s="65">
        <f t="shared" si="1"/>
        <v>0.389148401006108</v>
      </c>
      <c r="G138" s="9">
        <f>G136+G137</f>
        <v>23.4</v>
      </c>
      <c r="H138" s="18">
        <f t="shared" si="2"/>
        <v>0.10803324099723</v>
      </c>
      <c r="I138" s="9">
        <f>I136+I137</f>
        <v>556.6</v>
      </c>
      <c r="J138" s="18">
        <f t="shared" si="3"/>
        <v>0.888250089831117</v>
      </c>
      <c r="K138" s="9">
        <f t="shared" ref="K138:U138" si="12">K136+K137</f>
        <v>61</v>
      </c>
      <c r="L138" s="9">
        <f t="shared" si="12"/>
        <v>40.5</v>
      </c>
      <c r="M138" s="2">
        <f t="shared" si="12"/>
        <v>6</v>
      </c>
      <c r="N138" s="2">
        <f t="shared" si="12"/>
        <v>1210</v>
      </c>
      <c r="O138" s="9">
        <f t="shared" si="12"/>
        <v>3054.45</v>
      </c>
      <c r="P138" s="9">
        <f t="shared" si="12"/>
        <v>14.6</v>
      </c>
      <c r="Q138" s="2">
        <f t="shared" si="12"/>
        <v>25</v>
      </c>
      <c r="R138" s="2">
        <f t="shared" si="12"/>
        <v>597</v>
      </c>
      <c r="S138" s="75">
        <f t="shared" si="12"/>
        <v>10.2</v>
      </c>
      <c r="T138" s="75">
        <f t="shared" si="12"/>
        <v>1711</v>
      </c>
      <c r="U138" s="75">
        <f t="shared" si="12"/>
        <v>3.8</v>
      </c>
      <c r="V138" s="49">
        <f t="shared" si="4"/>
        <v>0.00222092343658679</v>
      </c>
    </row>
    <row r="139" ht="34" hidden="1" spans="1:22">
      <c r="A139" s="1" t="s">
        <v>85</v>
      </c>
      <c r="B139" s="7" t="s">
        <v>33</v>
      </c>
      <c r="C139" s="9">
        <v>213.2</v>
      </c>
      <c r="D139" s="9">
        <v>86.2</v>
      </c>
      <c r="E139" s="69">
        <f t="shared" si="0"/>
        <v>176.6</v>
      </c>
      <c r="F139" s="65">
        <f t="shared" si="1"/>
        <v>0.328006088280061</v>
      </c>
      <c r="G139" s="9">
        <v>12</v>
      </c>
      <c r="H139" s="18">
        <f t="shared" si="2"/>
        <v>0.139211136890951</v>
      </c>
      <c r="I139" s="9">
        <v>262.8</v>
      </c>
      <c r="J139" s="18">
        <f t="shared" si="3"/>
        <v>0.811263318112633</v>
      </c>
      <c r="K139" s="2">
        <v>27</v>
      </c>
      <c r="L139" s="2">
        <v>19</v>
      </c>
      <c r="M139" s="2">
        <v>4</v>
      </c>
      <c r="N139">
        <f>649+374</f>
        <v>1023</v>
      </c>
      <c r="O139" s="9">
        <f>1664/5</f>
        <v>332.8</v>
      </c>
      <c r="P139" s="9">
        <f>7/5</f>
        <v>1.4</v>
      </c>
      <c r="Q139" s="2">
        <v>9</v>
      </c>
      <c r="R139">
        <f>150+219</f>
        <v>369</v>
      </c>
      <c r="S139" s="9">
        <v>0.2</v>
      </c>
      <c r="T139" s="9">
        <v>782.4</v>
      </c>
      <c r="U139" s="9">
        <v>1.8</v>
      </c>
      <c r="V139" s="49">
        <f t="shared" si="4"/>
        <v>0.00230061349693252</v>
      </c>
    </row>
    <row r="140" hidden="1" spans="1:22">
      <c r="A140" s="1" t="s">
        <v>85</v>
      </c>
      <c r="B140" s="7" t="s">
        <v>35</v>
      </c>
      <c r="C140" s="9">
        <v>221.2</v>
      </c>
      <c r="D140" s="9">
        <v>72.6</v>
      </c>
      <c r="E140" s="69">
        <f t="shared" si="0"/>
        <v>161</v>
      </c>
      <c r="F140" s="65">
        <f t="shared" si="1"/>
        <v>0.310787671232877</v>
      </c>
      <c r="G140" s="9">
        <v>9.8</v>
      </c>
      <c r="H140" s="18">
        <f t="shared" si="2"/>
        <v>0.134986225895317</v>
      </c>
      <c r="I140" s="9">
        <v>233.6</v>
      </c>
      <c r="J140" s="18">
        <f t="shared" si="3"/>
        <v>0.946917808219178</v>
      </c>
      <c r="K140" s="2">
        <v>44</v>
      </c>
      <c r="L140" s="2">
        <v>24</v>
      </c>
      <c r="M140" s="2">
        <v>0</v>
      </c>
      <c r="N140" s="2">
        <v>150</v>
      </c>
      <c r="O140" s="9">
        <f>4083/5</f>
        <v>816.6</v>
      </c>
      <c r="P140" s="9">
        <f>39/5</f>
        <v>7.8</v>
      </c>
      <c r="Q140" s="2">
        <v>16</v>
      </c>
      <c r="R140" s="2">
        <v>229</v>
      </c>
      <c r="S140" s="9">
        <v>4.8</v>
      </c>
      <c r="T140" s="9">
        <v>959.4</v>
      </c>
      <c r="U140" s="9">
        <v>2.4</v>
      </c>
      <c r="V140" s="49">
        <f t="shared" si="4"/>
        <v>0.00250156347717323</v>
      </c>
    </row>
    <row r="141" spans="1:22">
      <c r="A141" s="1" t="s">
        <v>85</v>
      </c>
      <c r="B141" s="7" t="s">
        <v>36</v>
      </c>
      <c r="C141" s="9">
        <f>C139+C140</f>
        <v>434.4</v>
      </c>
      <c r="D141" s="9">
        <f>D139+D140</f>
        <v>158.8</v>
      </c>
      <c r="E141" s="69">
        <f t="shared" si="0"/>
        <v>337.6</v>
      </c>
      <c r="F141" s="65">
        <f t="shared" si="1"/>
        <v>0.319903303787268</v>
      </c>
      <c r="G141" s="9">
        <f>G139+G140</f>
        <v>21.8</v>
      </c>
      <c r="H141" s="18">
        <f t="shared" si="2"/>
        <v>0.13727959697733</v>
      </c>
      <c r="I141" s="9">
        <f>I139+I140</f>
        <v>496.4</v>
      </c>
      <c r="J141" s="18">
        <f t="shared" si="3"/>
        <v>0.875100725221595</v>
      </c>
      <c r="K141" s="9">
        <f t="shared" ref="K141:U141" si="13">K139+K140</f>
        <v>71</v>
      </c>
      <c r="L141" s="9">
        <f t="shared" si="13"/>
        <v>43</v>
      </c>
      <c r="M141" s="9">
        <f t="shared" si="13"/>
        <v>4</v>
      </c>
      <c r="N141" s="9">
        <f t="shared" si="13"/>
        <v>1173</v>
      </c>
      <c r="O141" s="9">
        <f t="shared" si="13"/>
        <v>1149.4</v>
      </c>
      <c r="P141" s="9">
        <f t="shared" si="13"/>
        <v>9.2</v>
      </c>
      <c r="Q141" s="2">
        <f t="shared" si="13"/>
        <v>25</v>
      </c>
      <c r="R141" s="2">
        <f t="shared" si="13"/>
        <v>598</v>
      </c>
      <c r="S141" s="9">
        <f t="shared" si="13"/>
        <v>5</v>
      </c>
      <c r="T141" s="9">
        <f t="shared" si="13"/>
        <v>1741.8</v>
      </c>
      <c r="U141" s="9">
        <f t="shared" si="13"/>
        <v>4.2</v>
      </c>
      <c r="V141" s="49">
        <f t="shared" si="4"/>
        <v>0.00241129865656218</v>
      </c>
    </row>
    <row r="142" ht="34" hidden="1" spans="1:22">
      <c r="A142" s="1" t="s">
        <v>86</v>
      </c>
      <c r="B142" s="7" t="s">
        <v>33</v>
      </c>
      <c r="C142" s="9">
        <v>190.2</v>
      </c>
      <c r="D142" s="9">
        <v>67.8</v>
      </c>
      <c r="E142" s="69">
        <f t="shared" si="0"/>
        <v>169.2</v>
      </c>
      <c r="F142" s="65">
        <f t="shared" si="1"/>
        <v>0.286075949367089</v>
      </c>
      <c r="G142" s="9">
        <v>7.4</v>
      </c>
      <c r="H142" s="18">
        <f t="shared" si="2"/>
        <v>0.109144542772861</v>
      </c>
      <c r="I142" s="9">
        <v>237</v>
      </c>
      <c r="J142" s="18">
        <f t="shared" si="3"/>
        <v>0.80253164556962</v>
      </c>
      <c r="K142" s="2">
        <v>18</v>
      </c>
      <c r="L142" s="2">
        <v>11</v>
      </c>
      <c r="M142" s="2">
        <v>4</v>
      </c>
      <c r="N142" s="2">
        <v>1060</v>
      </c>
      <c r="O142" s="9">
        <f>2722/5</f>
        <v>544.4</v>
      </c>
      <c r="P142" s="9">
        <f>17/5</f>
        <v>3.4</v>
      </c>
      <c r="Q142" s="2">
        <v>8</v>
      </c>
      <c r="R142" s="2">
        <v>357</v>
      </c>
      <c r="S142" s="9">
        <v>0.6</v>
      </c>
      <c r="T142" s="9">
        <v>808.2</v>
      </c>
      <c r="U142" s="9">
        <v>1.6</v>
      </c>
      <c r="V142" s="49">
        <f t="shared" si="4"/>
        <v>0.00197970799307102</v>
      </c>
    </row>
    <row r="143" hidden="1" spans="1:22">
      <c r="A143" s="1" t="s">
        <v>86</v>
      </c>
      <c r="B143" s="7" t="s">
        <v>35</v>
      </c>
      <c r="C143" s="9">
        <v>210</v>
      </c>
      <c r="D143" s="9">
        <v>53.6</v>
      </c>
      <c r="E143" s="69">
        <f t="shared" si="0"/>
        <v>142.6</v>
      </c>
      <c r="F143" s="65">
        <f t="shared" si="1"/>
        <v>0.273190621814475</v>
      </c>
      <c r="G143" s="9">
        <v>11.6</v>
      </c>
      <c r="H143" s="18">
        <f t="shared" si="2"/>
        <v>0.216417910447761</v>
      </c>
      <c r="I143" s="9">
        <v>196.2</v>
      </c>
      <c r="J143" s="18">
        <f t="shared" si="3"/>
        <v>1.07033639143731</v>
      </c>
      <c r="K143" s="2">
        <v>47</v>
      </c>
      <c r="L143" s="2">
        <v>28</v>
      </c>
      <c r="M143" s="2">
        <v>0</v>
      </c>
      <c r="N143" s="2">
        <v>151</v>
      </c>
      <c r="O143" s="9">
        <f>5165/5</f>
        <v>1033</v>
      </c>
      <c r="P143" s="9">
        <f>40/5</f>
        <v>8</v>
      </c>
      <c r="Q143" s="2">
        <v>16</v>
      </c>
      <c r="R143" s="2">
        <v>226</v>
      </c>
      <c r="S143" s="9">
        <v>4.2</v>
      </c>
      <c r="T143" s="9">
        <v>930.2</v>
      </c>
      <c r="U143" s="9">
        <v>2.6</v>
      </c>
      <c r="V143" s="49">
        <f t="shared" si="4"/>
        <v>0.00279509782842399</v>
      </c>
    </row>
    <row r="144" spans="1:22">
      <c r="A144" s="1" t="s">
        <v>86</v>
      </c>
      <c r="B144" s="7" t="s">
        <v>36</v>
      </c>
      <c r="C144" s="9">
        <f>C142+C143</f>
        <v>400.2</v>
      </c>
      <c r="D144" s="9">
        <f>D142+D143</f>
        <v>121.4</v>
      </c>
      <c r="E144" s="69">
        <f t="shared" si="0"/>
        <v>311.8</v>
      </c>
      <c r="F144" s="65">
        <f t="shared" si="1"/>
        <v>0.280240073868883</v>
      </c>
      <c r="G144" s="9">
        <f>G142+G143</f>
        <v>19</v>
      </c>
      <c r="H144" s="18">
        <f t="shared" si="2"/>
        <v>0.156507413509061</v>
      </c>
      <c r="I144" s="9">
        <f>I142+I143</f>
        <v>433.2</v>
      </c>
      <c r="J144" s="18">
        <f t="shared" si="3"/>
        <v>0.92382271468144</v>
      </c>
      <c r="K144">
        <f t="shared" ref="K144:U144" si="14">K142+K143</f>
        <v>65</v>
      </c>
      <c r="L144">
        <f t="shared" si="14"/>
        <v>39</v>
      </c>
      <c r="M144">
        <f t="shared" si="14"/>
        <v>4</v>
      </c>
      <c r="N144">
        <f t="shared" si="14"/>
        <v>1211</v>
      </c>
      <c r="O144" s="9">
        <f t="shared" si="14"/>
        <v>1577.4</v>
      </c>
      <c r="P144" s="9">
        <f t="shared" si="14"/>
        <v>11.4</v>
      </c>
      <c r="Q144">
        <f t="shared" si="14"/>
        <v>24</v>
      </c>
      <c r="R144">
        <f t="shared" si="14"/>
        <v>583</v>
      </c>
      <c r="S144" s="9">
        <f t="shared" si="14"/>
        <v>4.8</v>
      </c>
      <c r="T144" s="9">
        <f t="shared" si="14"/>
        <v>1738.4</v>
      </c>
      <c r="U144" s="9">
        <f t="shared" si="14"/>
        <v>4.2</v>
      </c>
      <c r="V144" s="49">
        <f t="shared" si="4"/>
        <v>0.002416014726185</v>
      </c>
    </row>
    <row r="145" ht="34" hidden="1" spans="1:22">
      <c r="A145" s="1" t="s">
        <v>87</v>
      </c>
      <c r="B145" s="7" t="s">
        <v>33</v>
      </c>
      <c r="C145" s="9">
        <v>187.4</v>
      </c>
      <c r="D145" s="9">
        <v>72.8</v>
      </c>
      <c r="E145" s="69">
        <f t="shared" si="0"/>
        <v>154.4</v>
      </c>
      <c r="F145" s="65">
        <f t="shared" si="1"/>
        <v>0.320422535211268</v>
      </c>
      <c r="G145" s="9">
        <v>8.8</v>
      </c>
      <c r="H145" s="18">
        <f t="shared" si="2"/>
        <v>0.120879120879121</v>
      </c>
      <c r="I145" s="9">
        <v>227.2</v>
      </c>
      <c r="J145" s="18">
        <f t="shared" si="3"/>
        <v>0.824823943661972</v>
      </c>
      <c r="K145" s="2">
        <v>17</v>
      </c>
      <c r="L145" s="2">
        <v>11</v>
      </c>
      <c r="M145" s="2">
        <v>3</v>
      </c>
      <c r="N145" s="2">
        <v>1075</v>
      </c>
      <c r="O145" s="9">
        <f>3013/5</f>
        <v>602.6</v>
      </c>
      <c r="P145" s="9">
        <f>10/5</f>
        <v>2</v>
      </c>
      <c r="Q145" s="2">
        <v>8</v>
      </c>
      <c r="R145" s="2">
        <v>356</v>
      </c>
      <c r="S145" s="9">
        <v>0.2</v>
      </c>
      <c r="T145" s="9">
        <v>826.2</v>
      </c>
      <c r="U145" s="9">
        <v>1.8</v>
      </c>
      <c r="V145" s="49">
        <f t="shared" si="4"/>
        <v>0.00217864923747277</v>
      </c>
    </row>
    <row r="146" hidden="1" spans="1:22">
      <c r="A146" s="1" t="s">
        <v>87</v>
      </c>
      <c r="B146" s="7" t="s">
        <v>35</v>
      </c>
      <c r="C146" s="9">
        <v>212.6</v>
      </c>
      <c r="D146" s="9">
        <v>50.4</v>
      </c>
      <c r="E146" s="69">
        <f t="shared" si="0"/>
        <v>137.8</v>
      </c>
      <c r="F146" s="65">
        <f t="shared" si="1"/>
        <v>0.267800212539851</v>
      </c>
      <c r="G146" s="9">
        <v>10.8</v>
      </c>
      <c r="H146" s="18">
        <f t="shared" si="2"/>
        <v>0.214285714285714</v>
      </c>
      <c r="I146" s="9">
        <v>188.2</v>
      </c>
      <c r="J146" s="18">
        <f t="shared" si="3"/>
        <v>1.12964930924548</v>
      </c>
      <c r="K146" s="2">
        <v>38</v>
      </c>
      <c r="L146" s="2">
        <v>21</v>
      </c>
      <c r="M146" s="2">
        <v>0</v>
      </c>
      <c r="N146" s="2">
        <v>152</v>
      </c>
      <c r="O146" s="9">
        <f>4890/5</f>
        <v>978</v>
      </c>
      <c r="P146" s="9">
        <f>39/5</f>
        <v>7.8</v>
      </c>
      <c r="Q146" s="2">
        <v>16</v>
      </c>
      <c r="R146" s="2">
        <v>230</v>
      </c>
      <c r="S146" s="9">
        <v>4.8</v>
      </c>
      <c r="T146" s="9">
        <v>1036.2</v>
      </c>
      <c r="U146" s="9">
        <v>2</v>
      </c>
      <c r="V146" s="49">
        <f t="shared" si="4"/>
        <v>0.00193012931866435</v>
      </c>
    </row>
    <row r="147" spans="1:22">
      <c r="A147" s="1" t="s">
        <v>87</v>
      </c>
      <c r="B147" s="7" t="s">
        <v>36</v>
      </c>
      <c r="C147" s="9">
        <f>C145+C146</f>
        <v>400</v>
      </c>
      <c r="D147" s="9">
        <f>D145+D146</f>
        <v>123.2</v>
      </c>
      <c r="E147" s="69">
        <f t="shared" si="0"/>
        <v>292.2</v>
      </c>
      <c r="F147" s="65">
        <f t="shared" si="1"/>
        <v>0.296581608088589</v>
      </c>
      <c r="G147" s="9">
        <f>G145+G146</f>
        <v>19.6</v>
      </c>
      <c r="H147" s="18">
        <f t="shared" si="2"/>
        <v>0.159090909090909</v>
      </c>
      <c r="I147" s="9">
        <f>I145+I146</f>
        <v>415.4</v>
      </c>
      <c r="J147" s="18">
        <f t="shared" si="3"/>
        <v>0.962927298988926</v>
      </c>
      <c r="K147">
        <f t="shared" ref="K147:U147" si="15">K145+K146</f>
        <v>55</v>
      </c>
      <c r="L147">
        <f t="shared" si="15"/>
        <v>32</v>
      </c>
      <c r="M147">
        <f t="shared" si="15"/>
        <v>3</v>
      </c>
      <c r="N147">
        <f t="shared" si="15"/>
        <v>1227</v>
      </c>
      <c r="O147" s="9">
        <f t="shared" si="15"/>
        <v>1580.6</v>
      </c>
      <c r="P147" s="9">
        <f t="shared" si="15"/>
        <v>9.8</v>
      </c>
      <c r="Q147">
        <f t="shared" si="15"/>
        <v>24</v>
      </c>
      <c r="R147">
        <f t="shared" si="15"/>
        <v>586</v>
      </c>
      <c r="S147" s="9">
        <f t="shared" si="15"/>
        <v>5</v>
      </c>
      <c r="T147" s="9">
        <f t="shared" si="15"/>
        <v>1862.4</v>
      </c>
      <c r="U147" s="9">
        <f t="shared" si="15"/>
        <v>3.8</v>
      </c>
      <c r="V147" s="49">
        <f t="shared" si="4"/>
        <v>0.00204037800687285</v>
      </c>
    </row>
    <row r="148" ht="34" hidden="1" spans="1:22">
      <c r="A148" s="1" t="s">
        <v>88</v>
      </c>
      <c r="B148" s="7" t="s">
        <v>33</v>
      </c>
      <c r="C148" s="44">
        <v>181.2</v>
      </c>
      <c r="D148" s="44">
        <v>87.8</v>
      </c>
      <c r="E148" s="69">
        <f t="shared" si="0"/>
        <v>162.4</v>
      </c>
      <c r="F148" s="65">
        <f t="shared" si="1"/>
        <v>0.350919264588329</v>
      </c>
      <c r="G148" s="44">
        <v>11.8</v>
      </c>
      <c r="H148" s="18">
        <f t="shared" si="2"/>
        <v>0.134396355353075</v>
      </c>
      <c r="I148" s="44">
        <v>250.2</v>
      </c>
      <c r="J148" s="18">
        <f t="shared" si="3"/>
        <v>0.724220623501199</v>
      </c>
      <c r="K148" s="2">
        <v>45</v>
      </c>
      <c r="L148" s="2">
        <v>30</v>
      </c>
      <c r="M148" s="2">
        <v>4</v>
      </c>
      <c r="N148" s="2">
        <v>1105</v>
      </c>
      <c r="O148" s="9">
        <f>3404/5</f>
        <v>680.8</v>
      </c>
      <c r="P148" s="9">
        <f>24/5</f>
        <v>4.8</v>
      </c>
      <c r="Q148" s="9">
        <v>8</v>
      </c>
      <c r="R148" s="9">
        <v>332</v>
      </c>
      <c r="S148" s="44">
        <v>0.8</v>
      </c>
      <c r="T148" s="44">
        <v>955</v>
      </c>
      <c r="U148" s="44">
        <v>3.2</v>
      </c>
      <c r="V148" s="49">
        <f t="shared" si="4"/>
        <v>0.00335078534031414</v>
      </c>
    </row>
    <row r="149" hidden="1" spans="1:22">
      <c r="A149" s="1" t="s">
        <v>88</v>
      </c>
      <c r="B149" s="7" t="s">
        <v>35</v>
      </c>
      <c r="C149" s="44">
        <v>187.8</v>
      </c>
      <c r="D149" s="44">
        <v>54</v>
      </c>
      <c r="E149" s="69">
        <f t="shared" si="0"/>
        <v>144.2</v>
      </c>
      <c r="F149" s="65">
        <f t="shared" si="1"/>
        <v>0.272452068617558</v>
      </c>
      <c r="G149" s="44">
        <v>9.8</v>
      </c>
      <c r="H149" s="18">
        <f t="shared" si="2"/>
        <v>0.181481481481481</v>
      </c>
      <c r="I149" s="44">
        <v>198.2</v>
      </c>
      <c r="J149" s="18">
        <f t="shared" si="3"/>
        <v>0.94752774974773</v>
      </c>
      <c r="K149" s="2">
        <v>38</v>
      </c>
      <c r="L149" s="2">
        <v>23</v>
      </c>
      <c r="M149" s="2">
        <v>0</v>
      </c>
      <c r="N149" s="2">
        <v>150</v>
      </c>
      <c r="O149" s="9">
        <f>6418/5</f>
        <v>1283.6</v>
      </c>
      <c r="P149" s="9">
        <f>34/5</f>
        <v>6.8</v>
      </c>
      <c r="Q149" s="9">
        <v>16</v>
      </c>
      <c r="R149" s="9">
        <v>224</v>
      </c>
      <c r="S149" s="44">
        <v>4.4</v>
      </c>
      <c r="T149" s="44">
        <v>1112.6</v>
      </c>
      <c r="U149" s="44">
        <v>1.8</v>
      </c>
      <c r="V149" s="49">
        <f t="shared" si="4"/>
        <v>0.00161783210497933</v>
      </c>
    </row>
    <row r="150" spans="1:22">
      <c r="A150" s="1" t="s">
        <v>88</v>
      </c>
      <c r="B150" s="7" t="s">
        <v>36</v>
      </c>
      <c r="C150" s="9">
        <f>C148+C149</f>
        <v>369</v>
      </c>
      <c r="D150" s="9">
        <f>D148+D149</f>
        <v>141.8</v>
      </c>
      <c r="E150" s="69">
        <f t="shared" si="0"/>
        <v>306.6</v>
      </c>
      <c r="F150" s="65">
        <f t="shared" si="1"/>
        <v>0.316235504014273</v>
      </c>
      <c r="G150" s="9">
        <f>G148+G149</f>
        <v>21.6</v>
      </c>
      <c r="H150" s="18">
        <f t="shared" si="2"/>
        <v>0.152327221438646</v>
      </c>
      <c r="I150" s="9">
        <f>I148+I149</f>
        <v>448.4</v>
      </c>
      <c r="J150" s="18">
        <f t="shared" si="3"/>
        <v>0.82292595896521</v>
      </c>
      <c r="K150">
        <f t="shared" ref="K150:U150" si="16">K148+K149</f>
        <v>83</v>
      </c>
      <c r="L150">
        <f t="shared" si="16"/>
        <v>53</v>
      </c>
      <c r="M150">
        <f t="shared" si="16"/>
        <v>4</v>
      </c>
      <c r="N150">
        <f t="shared" si="16"/>
        <v>1255</v>
      </c>
      <c r="O150" s="9">
        <f t="shared" si="16"/>
        <v>1964.4</v>
      </c>
      <c r="P150" s="9">
        <f t="shared" si="16"/>
        <v>11.6</v>
      </c>
      <c r="Q150">
        <f t="shared" si="16"/>
        <v>24</v>
      </c>
      <c r="R150">
        <f t="shared" si="16"/>
        <v>556</v>
      </c>
      <c r="S150" s="9">
        <f t="shared" si="16"/>
        <v>5.2</v>
      </c>
      <c r="T150" s="9">
        <f t="shared" si="16"/>
        <v>2067.6</v>
      </c>
      <c r="U150" s="9">
        <f t="shared" si="16"/>
        <v>5</v>
      </c>
      <c r="V150" s="49">
        <f t="shared" si="4"/>
        <v>0.00241826272006191</v>
      </c>
    </row>
    <row r="151" ht="34" hidden="1" spans="1:22">
      <c r="A151" s="1" t="s">
        <v>89</v>
      </c>
      <c r="B151" s="7" t="s">
        <v>33</v>
      </c>
      <c r="C151" s="44">
        <v>219.6</v>
      </c>
      <c r="D151" s="44">
        <v>105.4</v>
      </c>
      <c r="E151" s="69">
        <f t="shared" si="0"/>
        <v>165.6</v>
      </c>
      <c r="F151" s="65">
        <f t="shared" si="1"/>
        <v>0.388929889298893</v>
      </c>
      <c r="G151" s="44">
        <v>11.6</v>
      </c>
      <c r="H151" s="18">
        <f t="shared" si="2"/>
        <v>0.110056925996205</v>
      </c>
      <c r="I151" s="44">
        <v>271</v>
      </c>
      <c r="J151" s="18">
        <f t="shared" si="3"/>
        <v>0.810332103321033</v>
      </c>
      <c r="K151" s="2">
        <v>27</v>
      </c>
      <c r="L151" s="2">
        <v>17</v>
      </c>
      <c r="M151" s="2">
        <v>4</v>
      </c>
      <c r="N151" s="2">
        <f>713+417</f>
        <v>1130</v>
      </c>
      <c r="O151" s="9">
        <f>3185/5</f>
        <v>637</v>
      </c>
      <c r="P151" s="9">
        <f>13/5</f>
        <v>2.6</v>
      </c>
      <c r="Q151">
        <f>6+4</f>
        <v>10</v>
      </c>
      <c r="R151">
        <f>142+182</f>
        <v>324</v>
      </c>
      <c r="S151" s="44">
        <v>0.2</v>
      </c>
      <c r="T151" s="44">
        <v>952.8</v>
      </c>
      <c r="U151" s="44">
        <v>2.4</v>
      </c>
      <c r="V151" s="49">
        <f t="shared" si="4"/>
        <v>0.00251889168765743</v>
      </c>
    </row>
    <row r="152" hidden="1" spans="1:22">
      <c r="A152" s="1" t="s">
        <v>89</v>
      </c>
      <c r="B152" s="7" t="s">
        <v>35</v>
      </c>
      <c r="C152" s="44">
        <v>213.4</v>
      </c>
      <c r="D152" s="44">
        <v>47</v>
      </c>
      <c r="E152" s="69">
        <f t="shared" si="0"/>
        <v>145</v>
      </c>
      <c r="F152" s="65">
        <f t="shared" si="1"/>
        <v>0.244791666666667</v>
      </c>
      <c r="G152" s="44">
        <v>9.6</v>
      </c>
      <c r="H152" s="18">
        <f t="shared" si="2"/>
        <v>0.204255319148936</v>
      </c>
      <c r="I152" s="44">
        <v>192</v>
      </c>
      <c r="J152" s="18">
        <f t="shared" si="3"/>
        <v>1.11145833333333</v>
      </c>
      <c r="K152" s="2">
        <v>39</v>
      </c>
      <c r="L152" s="2">
        <v>22</v>
      </c>
      <c r="M152" s="2">
        <v>0</v>
      </c>
      <c r="N152" s="2">
        <v>153</v>
      </c>
      <c r="O152" s="9">
        <f>6314/5</f>
        <v>1262.8</v>
      </c>
      <c r="P152" s="9">
        <f>47/5</f>
        <v>9.4</v>
      </c>
      <c r="Q152" s="2">
        <v>15</v>
      </c>
      <c r="R152" s="2">
        <v>224</v>
      </c>
      <c r="S152" s="44">
        <v>3</v>
      </c>
      <c r="T152" s="44">
        <v>1203.8</v>
      </c>
      <c r="U152" s="44">
        <v>2.6</v>
      </c>
      <c r="V152" s="49">
        <f t="shared" si="4"/>
        <v>0.00215982721382289</v>
      </c>
    </row>
    <row r="153" spans="1:22">
      <c r="A153" s="1" t="s">
        <v>89</v>
      </c>
      <c r="B153" s="7" t="s">
        <v>36</v>
      </c>
      <c r="C153" s="9">
        <f>C151+C152</f>
        <v>433</v>
      </c>
      <c r="D153" s="9">
        <f>D151+D152</f>
        <v>152.4</v>
      </c>
      <c r="E153" s="69">
        <f t="shared" si="0"/>
        <v>310.6</v>
      </c>
      <c r="F153" s="65">
        <f t="shared" si="1"/>
        <v>0.329157667386609</v>
      </c>
      <c r="G153" s="9">
        <f>G151+G152</f>
        <v>21.2</v>
      </c>
      <c r="H153" s="18">
        <f t="shared" si="2"/>
        <v>0.139107611548556</v>
      </c>
      <c r="I153" s="9">
        <f>I151+I152</f>
        <v>463</v>
      </c>
      <c r="J153" s="18">
        <f t="shared" si="3"/>
        <v>0.935205183585313</v>
      </c>
      <c r="K153">
        <f t="shared" ref="K153:U153" si="17">K151+K152</f>
        <v>66</v>
      </c>
      <c r="L153">
        <f t="shared" si="17"/>
        <v>39</v>
      </c>
      <c r="M153">
        <f t="shared" si="17"/>
        <v>4</v>
      </c>
      <c r="N153">
        <f t="shared" si="17"/>
        <v>1283</v>
      </c>
      <c r="O153" s="9">
        <f t="shared" si="17"/>
        <v>1899.8</v>
      </c>
      <c r="P153" s="9">
        <f t="shared" si="17"/>
        <v>12</v>
      </c>
      <c r="Q153">
        <f t="shared" si="17"/>
        <v>25</v>
      </c>
      <c r="R153">
        <f t="shared" si="17"/>
        <v>548</v>
      </c>
      <c r="S153" s="9">
        <f t="shared" si="17"/>
        <v>3.2</v>
      </c>
      <c r="T153" s="9">
        <f t="shared" si="17"/>
        <v>2156.6</v>
      </c>
      <c r="U153" s="9">
        <f t="shared" si="17"/>
        <v>5</v>
      </c>
      <c r="V153" s="49">
        <f t="shared" si="4"/>
        <v>0.00231846424928128</v>
      </c>
    </row>
    <row r="154" ht="34" hidden="1" spans="1:22">
      <c r="A154" s="1" t="s">
        <v>90</v>
      </c>
      <c r="B154" s="7" t="s">
        <v>33</v>
      </c>
      <c r="C154" s="44">
        <v>231</v>
      </c>
      <c r="D154" s="44">
        <v>88.4</v>
      </c>
      <c r="E154" s="69">
        <f t="shared" si="0"/>
        <v>178.4</v>
      </c>
      <c r="F154" s="65">
        <f t="shared" si="1"/>
        <v>0.331334332833583</v>
      </c>
      <c r="G154" s="44">
        <v>8.2</v>
      </c>
      <c r="H154" s="18">
        <f t="shared" si="2"/>
        <v>0.0927601809954751</v>
      </c>
      <c r="I154" s="44">
        <v>266.8</v>
      </c>
      <c r="J154" s="18">
        <f t="shared" si="3"/>
        <v>0.865817091454273</v>
      </c>
      <c r="K154" s="2">
        <v>24</v>
      </c>
      <c r="L154" s="2">
        <v>14</v>
      </c>
      <c r="M154" s="2">
        <v>4</v>
      </c>
      <c r="N154" s="2">
        <f>713+406</f>
        <v>1119</v>
      </c>
      <c r="O154" s="9">
        <f>3986/5</f>
        <v>797.2</v>
      </c>
      <c r="P154" s="9">
        <f>26/5</f>
        <v>5.2</v>
      </c>
      <c r="Q154" s="2">
        <f>4+6</f>
        <v>10</v>
      </c>
      <c r="R154" s="2">
        <f>159+180</f>
        <v>339</v>
      </c>
      <c r="S154" s="44">
        <v>0.6</v>
      </c>
      <c r="T154" s="44">
        <v>1144.4</v>
      </c>
      <c r="U154" s="44">
        <v>0.8</v>
      </c>
      <c r="V154" s="49">
        <f t="shared" si="4"/>
        <v>0.000699056274030059</v>
      </c>
    </row>
    <row r="155" hidden="1" spans="1:22">
      <c r="A155" s="1" t="s">
        <v>90</v>
      </c>
      <c r="B155" s="7" t="s">
        <v>35</v>
      </c>
      <c r="C155" s="44">
        <v>197.6</v>
      </c>
      <c r="D155" s="44">
        <v>33.4</v>
      </c>
      <c r="E155" s="69">
        <f t="shared" si="0"/>
        <v>145.4</v>
      </c>
      <c r="F155" s="65">
        <f t="shared" si="1"/>
        <v>0.186800894854586</v>
      </c>
      <c r="G155" s="44">
        <v>7.2</v>
      </c>
      <c r="H155" s="18">
        <f t="shared" si="2"/>
        <v>0.215568862275449</v>
      </c>
      <c r="I155" s="44">
        <v>178.8</v>
      </c>
      <c r="J155" s="18">
        <f t="shared" si="3"/>
        <v>1.10514541387025</v>
      </c>
      <c r="K155" s="2">
        <v>39</v>
      </c>
      <c r="L155" s="2">
        <v>24</v>
      </c>
      <c r="M155" s="2">
        <v>0</v>
      </c>
      <c r="N155" s="2">
        <v>154</v>
      </c>
      <c r="O155" s="9">
        <f>4481/5</f>
        <v>896.2</v>
      </c>
      <c r="P155" s="9">
        <f>45/5</f>
        <v>9</v>
      </c>
      <c r="Q155" s="2">
        <v>15</v>
      </c>
      <c r="R155" s="2">
        <v>214</v>
      </c>
      <c r="S155" s="44">
        <v>3</v>
      </c>
      <c r="T155" s="44">
        <v>1029</v>
      </c>
      <c r="U155" s="44">
        <v>2.4</v>
      </c>
      <c r="V155" s="49">
        <f t="shared" si="4"/>
        <v>0.00233236151603499</v>
      </c>
    </row>
    <row r="156" spans="1:22">
      <c r="A156" s="1" t="s">
        <v>90</v>
      </c>
      <c r="B156" s="7" t="s">
        <v>36</v>
      </c>
      <c r="C156" s="9">
        <f>C154+C155</f>
        <v>428.6</v>
      </c>
      <c r="D156" s="9">
        <f>D154+D155</f>
        <v>121.8</v>
      </c>
      <c r="E156" s="69">
        <f t="shared" si="0"/>
        <v>323.8</v>
      </c>
      <c r="F156" s="65">
        <f t="shared" si="1"/>
        <v>0.273339317773788</v>
      </c>
      <c r="G156" s="9">
        <f>G154+G155</f>
        <v>15.4</v>
      </c>
      <c r="H156" s="18">
        <f t="shared" si="2"/>
        <v>0.126436781609195</v>
      </c>
      <c r="I156" s="9">
        <f>I154+I155</f>
        <v>445.6</v>
      </c>
      <c r="J156" s="18">
        <f t="shared" si="3"/>
        <v>0.961849192100539</v>
      </c>
      <c r="K156">
        <f t="shared" ref="K156:U156" si="18">K154+K155</f>
        <v>63</v>
      </c>
      <c r="L156">
        <f t="shared" si="18"/>
        <v>38</v>
      </c>
      <c r="M156">
        <f t="shared" si="18"/>
        <v>4</v>
      </c>
      <c r="N156">
        <f t="shared" si="18"/>
        <v>1273</v>
      </c>
      <c r="O156" s="9">
        <f t="shared" si="18"/>
        <v>1693.4</v>
      </c>
      <c r="P156" s="9">
        <f t="shared" si="18"/>
        <v>14.2</v>
      </c>
      <c r="Q156">
        <f t="shared" si="18"/>
        <v>25</v>
      </c>
      <c r="R156">
        <f t="shared" si="18"/>
        <v>553</v>
      </c>
      <c r="S156" s="9">
        <f t="shared" si="18"/>
        <v>3.6</v>
      </c>
      <c r="T156" s="9">
        <f t="shared" si="18"/>
        <v>2173.4</v>
      </c>
      <c r="U156" s="9">
        <f t="shared" si="18"/>
        <v>3.2</v>
      </c>
      <c r="V156" s="49">
        <f t="shared" si="4"/>
        <v>0.00147234747400386</v>
      </c>
    </row>
    <row r="157" ht="34" hidden="1" spans="1:22">
      <c r="A157" s="1" t="s">
        <v>91</v>
      </c>
      <c r="B157" s="7" t="s">
        <v>33</v>
      </c>
      <c r="C157" s="44">
        <v>189.8</v>
      </c>
      <c r="D157" s="44">
        <v>59.2</v>
      </c>
      <c r="E157" s="69">
        <f t="shared" si="0"/>
        <v>164.4</v>
      </c>
      <c r="F157" s="65">
        <f t="shared" si="1"/>
        <v>0.264758497316637</v>
      </c>
      <c r="G157" s="44">
        <v>9.4</v>
      </c>
      <c r="H157" s="18">
        <f t="shared" si="2"/>
        <v>0.158783783783784</v>
      </c>
      <c r="I157" s="44">
        <v>223.6</v>
      </c>
      <c r="J157" s="18">
        <f t="shared" si="3"/>
        <v>0.848837209302326</v>
      </c>
      <c r="K157" s="2">
        <v>29</v>
      </c>
      <c r="L157" s="2">
        <v>17</v>
      </c>
      <c r="M157" s="2">
        <v>5</v>
      </c>
      <c r="N157">
        <f>380+396</f>
        <v>776</v>
      </c>
      <c r="O157" s="9">
        <f>3978/5</f>
        <v>795.6</v>
      </c>
      <c r="P157" s="9">
        <f>14/5</f>
        <v>2.8</v>
      </c>
      <c r="Q157" s="2">
        <v>10</v>
      </c>
      <c r="R157">
        <f>149+182</f>
        <v>331</v>
      </c>
      <c r="S157" s="44">
        <v>0.8</v>
      </c>
      <c r="T157" s="44">
        <v>1234</v>
      </c>
      <c r="U157" s="44">
        <v>1.6</v>
      </c>
      <c r="V157" s="49">
        <f t="shared" si="4"/>
        <v>0.00129659643435981</v>
      </c>
    </row>
    <row r="158" hidden="1" spans="1:22">
      <c r="A158" s="1" t="s">
        <v>91</v>
      </c>
      <c r="B158" s="7" t="s">
        <v>35</v>
      </c>
      <c r="C158" s="44">
        <v>198.6</v>
      </c>
      <c r="D158" s="44">
        <v>33.4</v>
      </c>
      <c r="E158" s="69">
        <f t="shared" si="0"/>
        <v>143.2</v>
      </c>
      <c r="F158" s="65">
        <f t="shared" si="1"/>
        <v>0.189127972819932</v>
      </c>
      <c r="G158" s="44">
        <v>7.2</v>
      </c>
      <c r="H158" s="18">
        <f t="shared" si="2"/>
        <v>0.215568862275449</v>
      </c>
      <c r="I158" s="44">
        <v>176.6</v>
      </c>
      <c r="J158" s="18">
        <f t="shared" si="3"/>
        <v>1.12457531143828</v>
      </c>
      <c r="K158" s="2">
        <v>40</v>
      </c>
      <c r="L158" s="2">
        <v>23</v>
      </c>
      <c r="M158" s="2">
        <v>0</v>
      </c>
      <c r="N158" s="2">
        <v>156</v>
      </c>
      <c r="O158" s="9">
        <f>2184/5</f>
        <v>436.8</v>
      </c>
      <c r="P158" s="9">
        <f>39/5</f>
        <v>7.8</v>
      </c>
      <c r="Q158" s="2">
        <v>13</v>
      </c>
      <c r="R158" s="2">
        <v>216</v>
      </c>
      <c r="S158" s="44">
        <v>2</v>
      </c>
      <c r="T158" s="44">
        <v>1076</v>
      </c>
      <c r="U158" s="44">
        <v>2.2</v>
      </c>
      <c r="V158" s="49">
        <f t="shared" si="4"/>
        <v>0.00204460966542751</v>
      </c>
    </row>
    <row r="159" spans="1:22">
      <c r="A159" s="1" t="s">
        <v>91</v>
      </c>
      <c r="B159" s="7" t="s">
        <v>36</v>
      </c>
      <c r="C159" s="9">
        <f>C157+C158</f>
        <v>388.4</v>
      </c>
      <c r="D159" s="9">
        <f>D157+D158</f>
        <v>92.6</v>
      </c>
      <c r="E159" s="69">
        <f t="shared" si="0"/>
        <v>307.6</v>
      </c>
      <c r="F159" s="65">
        <f t="shared" si="1"/>
        <v>0.231384307846077</v>
      </c>
      <c r="G159" s="9">
        <f>G157+G158</f>
        <v>16.6</v>
      </c>
      <c r="H159" s="18">
        <f t="shared" si="2"/>
        <v>0.1792656587473</v>
      </c>
      <c r="I159" s="9">
        <f>I157+I158</f>
        <v>400.2</v>
      </c>
      <c r="J159" s="18">
        <f t="shared" si="3"/>
        <v>0.970514742628686</v>
      </c>
      <c r="K159">
        <f t="shared" ref="K159:U159" si="19">K157+K158</f>
        <v>69</v>
      </c>
      <c r="L159">
        <f t="shared" si="19"/>
        <v>40</v>
      </c>
      <c r="M159">
        <f t="shared" si="19"/>
        <v>5</v>
      </c>
      <c r="N159">
        <f t="shared" si="19"/>
        <v>932</v>
      </c>
      <c r="O159" s="9">
        <f t="shared" si="19"/>
        <v>1232.4</v>
      </c>
      <c r="P159" s="9">
        <f t="shared" si="19"/>
        <v>10.6</v>
      </c>
      <c r="Q159">
        <f t="shared" si="19"/>
        <v>23</v>
      </c>
      <c r="R159">
        <f t="shared" si="19"/>
        <v>547</v>
      </c>
      <c r="S159" s="9">
        <f t="shared" si="19"/>
        <v>2.8</v>
      </c>
      <c r="T159" s="9">
        <f t="shared" si="19"/>
        <v>2310</v>
      </c>
      <c r="U159" s="9">
        <f t="shared" si="19"/>
        <v>3.8</v>
      </c>
      <c r="V159" s="49">
        <f t="shared" si="4"/>
        <v>0.00164502164502165</v>
      </c>
    </row>
    <row r="160" ht="34" hidden="1" spans="1:18">
      <c r="A160" s="1" t="s">
        <v>92</v>
      </c>
      <c r="B160" s="7" t="s">
        <v>33</v>
      </c>
      <c r="C160">
        <v>192.8</v>
      </c>
      <c r="D160">
        <v>60</v>
      </c>
      <c r="E160">
        <f t="shared" ref="E160:E174" si="20">I160-D160</f>
        <v>168.4</v>
      </c>
      <c r="F160">
        <f t="shared" ref="F160:F174" si="21">IFERROR(D160/I160,0)</f>
        <v>0.262697022767075</v>
      </c>
      <c r="G160">
        <v>10.8</v>
      </c>
      <c r="H160">
        <f t="shared" ref="H160:H174" si="22">IFERROR(G160/D160,0)</f>
        <v>0.18</v>
      </c>
      <c r="I160">
        <v>228.4</v>
      </c>
      <c r="J160">
        <f t="shared" ref="J160:J174" si="23">IFERROR(C160/I160,0)</f>
        <v>0.844133099824869</v>
      </c>
      <c r="K160" s="2">
        <v>39</v>
      </c>
      <c r="L160" s="2">
        <v>26</v>
      </c>
      <c r="M160" s="2">
        <v>5</v>
      </c>
      <c r="N160">
        <f>402+391</f>
        <v>793</v>
      </c>
      <c r="O160" s="9">
        <f>7234/5</f>
        <v>1446.8</v>
      </c>
      <c r="P160" s="9">
        <f>43/5</f>
        <v>8.6</v>
      </c>
      <c r="Q160">
        <f>4+6</f>
        <v>10</v>
      </c>
      <c r="R160">
        <f>151+188</f>
        <v>339</v>
      </c>
    </row>
    <row r="161" customFormat="1" hidden="1" spans="1:22">
      <c r="A161" s="1" t="s">
        <v>92</v>
      </c>
      <c r="B161" s="7" t="s">
        <v>35</v>
      </c>
      <c r="C161" s="44">
        <v>199.8</v>
      </c>
      <c r="D161" s="44">
        <v>38</v>
      </c>
      <c r="E161" s="69">
        <f t="shared" si="20"/>
        <v>155.6</v>
      </c>
      <c r="F161" s="65">
        <f t="shared" si="21"/>
        <v>0.196280991735537</v>
      </c>
      <c r="G161" s="44">
        <v>9.4</v>
      </c>
      <c r="H161" s="18">
        <f t="shared" si="22"/>
        <v>0.247368421052632</v>
      </c>
      <c r="I161" s="44">
        <v>193.6</v>
      </c>
      <c r="J161" s="18">
        <f t="shared" si="23"/>
        <v>1.03202479338843</v>
      </c>
      <c r="K161" s="2">
        <v>45</v>
      </c>
      <c r="L161" s="2">
        <v>25</v>
      </c>
      <c r="M161" s="2">
        <v>0</v>
      </c>
      <c r="N161" s="2">
        <v>168</v>
      </c>
      <c r="O161" s="9">
        <f>3174/5</f>
        <v>634.8</v>
      </c>
      <c r="P161" s="9">
        <f>61/5</f>
        <v>12.2</v>
      </c>
      <c r="Q161" s="2">
        <v>13</v>
      </c>
      <c r="R161" s="2">
        <v>209</v>
      </c>
      <c r="S161" s="44"/>
      <c r="T161" s="44"/>
      <c r="U161" s="44"/>
      <c r="V161" s="49"/>
    </row>
    <row r="162" customFormat="1" spans="1:22">
      <c r="A162" s="1" t="s">
        <v>92</v>
      </c>
      <c r="B162" s="7" t="s">
        <v>36</v>
      </c>
      <c r="C162" s="9">
        <f>SUM(C160:C161)</f>
        <v>392.6</v>
      </c>
      <c r="D162" s="9">
        <f>SUM(D160:D161)</f>
        <v>98</v>
      </c>
      <c r="E162" s="69">
        <f t="shared" si="20"/>
        <v>324</v>
      </c>
      <c r="F162" s="65">
        <f t="shared" si="21"/>
        <v>0.232227488151659</v>
      </c>
      <c r="G162" s="9">
        <f>SUM(G160:G161)</f>
        <v>20.2</v>
      </c>
      <c r="H162" s="18">
        <f t="shared" si="22"/>
        <v>0.206122448979592</v>
      </c>
      <c r="I162" s="9">
        <f>SUM(I160:I161)</f>
        <v>422</v>
      </c>
      <c r="J162" s="18">
        <f t="shared" si="23"/>
        <v>0.930331753554502</v>
      </c>
      <c r="K162">
        <f t="shared" ref="K162:R162" si="24">K160+K161</f>
        <v>84</v>
      </c>
      <c r="L162">
        <f t="shared" si="24"/>
        <v>51</v>
      </c>
      <c r="M162">
        <f t="shared" si="24"/>
        <v>5</v>
      </c>
      <c r="N162">
        <f t="shared" si="24"/>
        <v>961</v>
      </c>
      <c r="O162" s="9">
        <f t="shared" si="24"/>
        <v>2081.6</v>
      </c>
      <c r="P162" s="9">
        <f t="shared" si="24"/>
        <v>20.8</v>
      </c>
      <c r="Q162">
        <f t="shared" si="24"/>
        <v>23</v>
      </c>
      <c r="R162">
        <f t="shared" si="24"/>
        <v>548</v>
      </c>
      <c r="S162" s="9"/>
      <c r="T162" s="9"/>
      <c r="U162" s="9"/>
      <c r="V162" s="49"/>
    </row>
    <row r="163" customFormat="1" ht="34" hidden="1" spans="1:18">
      <c r="A163" s="1" t="s">
        <v>93</v>
      </c>
      <c r="B163" s="7" t="s">
        <v>33</v>
      </c>
      <c r="C163">
        <v>210</v>
      </c>
      <c r="D163">
        <v>51.8</v>
      </c>
      <c r="E163">
        <f t="shared" si="20"/>
        <v>170.4</v>
      </c>
      <c r="F163">
        <f t="shared" si="21"/>
        <v>0.233123312331233</v>
      </c>
      <c r="G163">
        <v>10</v>
      </c>
      <c r="H163">
        <f t="shared" si="22"/>
        <v>0.193050193050193</v>
      </c>
      <c r="I163">
        <v>222.2</v>
      </c>
      <c r="J163">
        <f t="shared" si="23"/>
        <v>0.945094509450945</v>
      </c>
      <c r="K163" s="2">
        <v>35</v>
      </c>
      <c r="L163" s="2">
        <v>25</v>
      </c>
      <c r="M163" s="2">
        <v>6</v>
      </c>
      <c r="N163">
        <f>414+338</f>
        <v>752</v>
      </c>
      <c r="O163" s="9">
        <f>14534/5</f>
        <v>2906.8</v>
      </c>
      <c r="P163" s="9">
        <f>41/5</f>
        <v>8.2</v>
      </c>
      <c r="Q163">
        <v>11</v>
      </c>
      <c r="R163">
        <f>135+191</f>
        <v>326</v>
      </c>
    </row>
    <row r="164" customFormat="1" hidden="1" spans="1:22">
      <c r="A164" s="1" t="s">
        <v>93</v>
      </c>
      <c r="B164" s="7" t="s">
        <v>35</v>
      </c>
      <c r="C164" s="44">
        <v>217.8</v>
      </c>
      <c r="D164" s="44">
        <v>27.4</v>
      </c>
      <c r="E164" s="69">
        <f t="shared" si="20"/>
        <v>151</v>
      </c>
      <c r="F164" s="65">
        <f t="shared" si="21"/>
        <v>0.153587443946188</v>
      </c>
      <c r="G164" s="44">
        <v>6.4</v>
      </c>
      <c r="H164" s="18">
        <f t="shared" si="22"/>
        <v>0.233576642335766</v>
      </c>
      <c r="I164" s="44">
        <v>178.4</v>
      </c>
      <c r="J164" s="18">
        <f t="shared" si="23"/>
        <v>1.22085201793722</v>
      </c>
      <c r="K164" s="2">
        <v>41</v>
      </c>
      <c r="L164" s="2">
        <v>22</v>
      </c>
      <c r="M164" s="2">
        <v>0</v>
      </c>
      <c r="N164" s="2">
        <v>259</v>
      </c>
      <c r="O164" s="9">
        <f>2594/5</f>
        <v>518.8</v>
      </c>
      <c r="P164" s="9">
        <f>37/5</f>
        <v>7.4</v>
      </c>
      <c r="Q164" s="2">
        <v>13</v>
      </c>
      <c r="R164" s="2">
        <v>209</v>
      </c>
      <c r="S164" s="44"/>
      <c r="T164" s="44"/>
      <c r="U164" s="44"/>
      <c r="V164" s="49"/>
    </row>
    <row r="165" customFormat="1" spans="1:22">
      <c r="A165" s="1" t="s">
        <v>93</v>
      </c>
      <c r="B165" s="7" t="s">
        <v>36</v>
      </c>
      <c r="C165" s="9">
        <f>SUM(C163:C164)</f>
        <v>427.8</v>
      </c>
      <c r="D165" s="9">
        <f>SUM(D163:D164)</f>
        <v>79.2</v>
      </c>
      <c r="E165" s="69">
        <f t="shared" si="20"/>
        <v>321.4</v>
      </c>
      <c r="F165" s="65">
        <f t="shared" si="21"/>
        <v>0.197703444832751</v>
      </c>
      <c r="G165" s="9">
        <f>SUM(G163:G164)</f>
        <v>16.4</v>
      </c>
      <c r="H165" s="18">
        <f t="shared" si="22"/>
        <v>0.207070707070707</v>
      </c>
      <c r="I165" s="9">
        <f>SUM(I163:I164)</f>
        <v>400.6</v>
      </c>
      <c r="J165" s="18">
        <f t="shared" si="23"/>
        <v>1.06789815277084</v>
      </c>
      <c r="K165">
        <f t="shared" ref="K165:R165" si="25">K163+K164</f>
        <v>76</v>
      </c>
      <c r="L165">
        <f t="shared" si="25"/>
        <v>47</v>
      </c>
      <c r="M165">
        <f t="shared" si="25"/>
        <v>6</v>
      </c>
      <c r="N165">
        <f t="shared" si="25"/>
        <v>1011</v>
      </c>
      <c r="O165" s="9">
        <f t="shared" si="25"/>
        <v>3425.6</v>
      </c>
      <c r="P165" s="9">
        <f t="shared" si="25"/>
        <v>15.6</v>
      </c>
      <c r="Q165">
        <f t="shared" si="25"/>
        <v>24</v>
      </c>
      <c r="R165">
        <f t="shared" si="25"/>
        <v>535</v>
      </c>
      <c r="S165" s="9"/>
      <c r="T165" s="9"/>
      <c r="U165" s="9"/>
      <c r="V165" s="49"/>
    </row>
    <row r="166" customFormat="1" ht="34" hidden="1" spans="1:18">
      <c r="A166" s="1" t="s">
        <v>94</v>
      </c>
      <c r="B166" s="7" t="s">
        <v>33</v>
      </c>
      <c r="C166">
        <v>308.6</v>
      </c>
      <c r="D166">
        <v>75.2</v>
      </c>
      <c r="E166">
        <f t="shared" si="20"/>
        <v>189.6</v>
      </c>
      <c r="F166">
        <f t="shared" si="21"/>
        <v>0.283987915407855</v>
      </c>
      <c r="G166">
        <v>13.2</v>
      </c>
      <c r="H166">
        <f t="shared" si="22"/>
        <v>0.175531914893617</v>
      </c>
      <c r="I166">
        <v>264.8</v>
      </c>
      <c r="J166">
        <f t="shared" si="23"/>
        <v>1.16540785498489</v>
      </c>
      <c r="K166" s="2"/>
      <c r="L166" s="2"/>
      <c r="M166" s="2">
        <v>6</v>
      </c>
      <c r="N166">
        <f>433+317</f>
        <v>750</v>
      </c>
      <c r="O166" s="9">
        <f>12890/5</f>
        <v>2578</v>
      </c>
      <c r="P166" s="9">
        <f>79/5</f>
        <v>15.8</v>
      </c>
      <c r="Q166">
        <v>10</v>
      </c>
      <c r="R166">
        <f>156+193</f>
        <v>349</v>
      </c>
    </row>
    <row r="167" customFormat="1" hidden="1" spans="1:22">
      <c r="A167" s="1" t="s">
        <v>94</v>
      </c>
      <c r="B167" s="7" t="s">
        <v>35</v>
      </c>
      <c r="C167" s="44">
        <v>219</v>
      </c>
      <c r="D167" s="44">
        <v>28.4</v>
      </c>
      <c r="E167" s="69">
        <f t="shared" si="20"/>
        <v>152.6</v>
      </c>
      <c r="F167" s="65">
        <f t="shared" si="21"/>
        <v>0.156906077348066</v>
      </c>
      <c r="G167" s="44">
        <v>5.6</v>
      </c>
      <c r="H167" s="18">
        <f t="shared" si="22"/>
        <v>0.197183098591549</v>
      </c>
      <c r="I167" s="44">
        <v>181</v>
      </c>
      <c r="J167" s="18">
        <f t="shared" si="23"/>
        <v>1.20994475138122</v>
      </c>
      <c r="K167" s="2"/>
      <c r="L167" s="2"/>
      <c r="M167" s="2">
        <v>0</v>
      </c>
      <c r="N167" s="2">
        <v>348</v>
      </c>
      <c r="O167" s="9">
        <f>4406/5</f>
        <v>881.2</v>
      </c>
      <c r="P167" s="9">
        <f>60/5</f>
        <v>12</v>
      </c>
      <c r="Q167" s="2">
        <v>14</v>
      </c>
      <c r="R167" s="2">
        <v>215</v>
      </c>
      <c r="S167" s="44"/>
      <c r="T167" s="44"/>
      <c r="U167" s="44"/>
      <c r="V167" s="49"/>
    </row>
    <row r="168" customFormat="1" spans="1:22">
      <c r="A168" s="1" t="s">
        <v>94</v>
      </c>
      <c r="B168" s="7" t="s">
        <v>36</v>
      </c>
      <c r="C168" s="9">
        <f>SUM(C166:C167)</f>
        <v>527.6</v>
      </c>
      <c r="D168" s="9">
        <f>SUM(D166:D167)</f>
        <v>103.6</v>
      </c>
      <c r="E168" s="69">
        <f t="shared" si="20"/>
        <v>342.2</v>
      </c>
      <c r="F168" s="65">
        <f t="shared" si="21"/>
        <v>0.232391206819201</v>
      </c>
      <c r="G168" s="9">
        <f>SUM(G166:G167)</f>
        <v>18.8</v>
      </c>
      <c r="H168" s="18">
        <f t="shared" si="22"/>
        <v>0.181467181467181</v>
      </c>
      <c r="I168" s="9">
        <f>SUM(I166:I167)</f>
        <v>445.8</v>
      </c>
      <c r="J168" s="18">
        <f t="shared" si="23"/>
        <v>1.18349035441902</v>
      </c>
      <c r="K168">
        <f t="shared" ref="K168:R168" si="26">K166+K167</f>
        <v>0</v>
      </c>
      <c r="L168">
        <f t="shared" si="26"/>
        <v>0</v>
      </c>
      <c r="M168">
        <f t="shared" si="26"/>
        <v>6</v>
      </c>
      <c r="N168">
        <f t="shared" si="26"/>
        <v>1098</v>
      </c>
      <c r="O168" s="9">
        <f t="shared" si="26"/>
        <v>3459.2</v>
      </c>
      <c r="P168" s="9">
        <f t="shared" si="26"/>
        <v>27.8</v>
      </c>
      <c r="Q168">
        <f t="shared" si="26"/>
        <v>24</v>
      </c>
      <c r="R168">
        <f t="shared" si="26"/>
        <v>564</v>
      </c>
      <c r="S168" s="9"/>
      <c r="T168" s="9"/>
      <c r="U168" s="9"/>
      <c r="V168" s="49"/>
    </row>
    <row r="169" customFormat="1" ht="34" hidden="1" spans="1:16">
      <c r="A169" s="1" t="s">
        <v>95</v>
      </c>
      <c r="B169" s="7" t="s">
        <v>33</v>
      </c>
      <c r="C169">
        <v>255</v>
      </c>
      <c r="D169">
        <v>62.8</v>
      </c>
      <c r="E169">
        <f t="shared" si="20"/>
        <v>173.8</v>
      </c>
      <c r="F169">
        <f t="shared" si="21"/>
        <v>0.265426880811496</v>
      </c>
      <c r="G169">
        <v>8.8</v>
      </c>
      <c r="H169">
        <f t="shared" si="22"/>
        <v>0.140127388535032</v>
      </c>
      <c r="I169">
        <v>236.6</v>
      </c>
      <c r="J169">
        <f t="shared" si="23"/>
        <v>1.07776838546069</v>
      </c>
      <c r="K169" s="2"/>
      <c r="L169" s="2"/>
      <c r="M169" s="2"/>
      <c r="O169" s="9"/>
      <c r="P169" s="9"/>
    </row>
    <row r="170" customFormat="1" hidden="1" spans="1:22">
      <c r="A170" s="1" t="s">
        <v>95</v>
      </c>
      <c r="B170" s="7" t="s">
        <v>35</v>
      </c>
      <c r="C170" s="44">
        <v>198.8</v>
      </c>
      <c r="D170" s="44">
        <v>31.6</v>
      </c>
      <c r="E170" s="69">
        <f t="shared" si="20"/>
        <v>135</v>
      </c>
      <c r="F170" s="65">
        <f t="shared" si="21"/>
        <v>0.189675870348139</v>
      </c>
      <c r="G170" s="44">
        <v>7.4</v>
      </c>
      <c r="H170" s="18">
        <f t="shared" si="22"/>
        <v>0.234177215189873</v>
      </c>
      <c r="I170" s="44">
        <v>166.6</v>
      </c>
      <c r="J170" s="18">
        <f t="shared" si="23"/>
        <v>1.19327731092437</v>
      </c>
      <c r="K170" s="2"/>
      <c r="L170" s="2"/>
      <c r="M170" s="2"/>
      <c r="N170" s="2"/>
      <c r="O170" s="9"/>
      <c r="P170" s="9"/>
      <c r="Q170" s="2"/>
      <c r="R170" s="2"/>
      <c r="S170" s="44"/>
      <c r="T170" s="44"/>
      <c r="U170" s="44"/>
      <c r="V170" s="49"/>
    </row>
    <row r="171" customFormat="1" spans="1:22">
      <c r="A171" s="1" t="s">
        <v>95</v>
      </c>
      <c r="B171" s="7" t="s">
        <v>36</v>
      </c>
      <c r="C171" s="9">
        <f>SUM(C169:C170)</f>
        <v>453.8</v>
      </c>
      <c r="D171" s="9">
        <f>SUM(D169:D170)</f>
        <v>94.4</v>
      </c>
      <c r="E171" s="69">
        <f t="shared" si="20"/>
        <v>308.8</v>
      </c>
      <c r="F171" s="65">
        <f t="shared" si="21"/>
        <v>0.234126984126984</v>
      </c>
      <c r="G171" s="9">
        <f>SUM(G169:G170)</f>
        <v>16.2</v>
      </c>
      <c r="H171" s="18">
        <f t="shared" si="22"/>
        <v>0.171610169491525</v>
      </c>
      <c r="I171" s="9">
        <f>SUM(I169:I170)</f>
        <v>403.2</v>
      </c>
      <c r="J171" s="18">
        <f t="shared" si="23"/>
        <v>1.12549603174603</v>
      </c>
      <c r="O171" s="9"/>
      <c r="P171" s="9"/>
      <c r="S171" s="9"/>
      <c r="T171" s="9"/>
      <c r="U171" s="9"/>
      <c r="V171" s="49"/>
    </row>
    <row r="172" customFormat="1" ht="34" hidden="1" spans="1:16">
      <c r="A172" s="1" t="s">
        <v>96</v>
      </c>
      <c r="B172" s="7" t="s">
        <v>33</v>
      </c>
      <c r="C172">
        <v>170.2</v>
      </c>
      <c r="D172">
        <v>45</v>
      </c>
      <c r="E172">
        <f t="shared" si="20"/>
        <v>176.6</v>
      </c>
      <c r="F172">
        <f t="shared" si="21"/>
        <v>0.203068592057762</v>
      </c>
      <c r="G172">
        <v>9.8</v>
      </c>
      <c r="H172">
        <f t="shared" si="22"/>
        <v>0.217777777777778</v>
      </c>
      <c r="I172">
        <v>221.6</v>
      </c>
      <c r="J172">
        <f t="shared" si="23"/>
        <v>0.768050541516245</v>
      </c>
      <c r="K172" s="2"/>
      <c r="L172" s="2"/>
      <c r="M172" s="2"/>
      <c r="O172" s="9"/>
      <c r="P172" s="9"/>
    </row>
    <row r="173" customFormat="1" hidden="1" spans="1:22">
      <c r="A173" s="1" t="s">
        <v>96</v>
      </c>
      <c r="B173" s="7" t="s">
        <v>35</v>
      </c>
      <c r="C173" s="44">
        <v>131</v>
      </c>
      <c r="D173" s="44">
        <v>29.2</v>
      </c>
      <c r="E173" s="69">
        <f t="shared" si="20"/>
        <v>134.8</v>
      </c>
      <c r="F173" s="65">
        <f t="shared" si="21"/>
        <v>0.178048780487805</v>
      </c>
      <c r="G173" s="44">
        <v>6.4</v>
      </c>
      <c r="H173" s="18">
        <f t="shared" si="22"/>
        <v>0.219178082191781</v>
      </c>
      <c r="I173" s="44">
        <v>164</v>
      </c>
      <c r="J173" s="18">
        <f t="shared" si="23"/>
        <v>0.798780487804878</v>
      </c>
      <c r="K173" s="2"/>
      <c r="L173" s="2"/>
      <c r="M173" s="2"/>
      <c r="N173" s="2"/>
      <c r="O173" s="9"/>
      <c r="P173" s="9"/>
      <c r="Q173" s="2"/>
      <c r="R173" s="2"/>
      <c r="S173" s="44"/>
      <c r="T173" s="44"/>
      <c r="U173" s="44"/>
      <c r="V173" s="49"/>
    </row>
    <row r="174" customFormat="1" spans="1:22">
      <c r="A174" s="1" t="s">
        <v>96</v>
      </c>
      <c r="B174" s="7" t="s">
        <v>36</v>
      </c>
      <c r="C174" s="9">
        <f>SUM(C172:C173)</f>
        <v>301.2</v>
      </c>
      <c r="D174" s="9">
        <f>SUM(D172:D173)</f>
        <v>74.2</v>
      </c>
      <c r="E174" s="69">
        <f t="shared" si="20"/>
        <v>311.4</v>
      </c>
      <c r="F174" s="65">
        <f t="shared" si="21"/>
        <v>0.192427385892116</v>
      </c>
      <c r="G174" s="9">
        <f>SUM(G172:G173)</f>
        <v>16.2</v>
      </c>
      <c r="H174" s="18">
        <f t="shared" si="22"/>
        <v>0.21832884097035</v>
      </c>
      <c r="I174" s="9">
        <f>SUM(I172:I173)</f>
        <v>385.6</v>
      </c>
      <c r="J174" s="18">
        <f t="shared" si="23"/>
        <v>0.781120331950207</v>
      </c>
      <c r="O174" s="9"/>
      <c r="P174" s="9"/>
      <c r="S174" s="9"/>
      <c r="T174" s="9"/>
      <c r="U174" s="9"/>
      <c r="V174" s="49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  <row r="502" spans="1:1">
      <c r="A502" s="1"/>
    </row>
    <row r="503" spans="1:1">
      <c r="A503" s="1"/>
    </row>
    <row r="504" spans="1:1">
      <c r="A504" s="1"/>
    </row>
    <row r="505" spans="1:1">
      <c r="A505" s="1"/>
    </row>
    <row r="506" spans="1:1">
      <c r="A506" s="1"/>
    </row>
    <row r="507" spans="1:1">
      <c r="A507" s="1"/>
    </row>
    <row r="508" spans="1:1">
      <c r="A508" s="1"/>
    </row>
    <row r="509" spans="1:1">
      <c r="A509" s="1"/>
    </row>
    <row r="510" spans="1:1">
      <c r="A510" s="1"/>
    </row>
    <row r="511" spans="1:1">
      <c r="A511" s="1"/>
    </row>
  </sheetData>
  <autoFilter xmlns:etc="http://www.wps.cn/officeDocument/2017/etCustomData" ref="A3:AJ174" etc:filterBottomFollowUsedRange="0">
    <filterColumn colId="1">
      <customFilters>
        <customFilter operator="equal" val="总计"/>
      </customFilters>
    </filterColumn>
    <extLst/>
  </autoFilter>
  <mergeCells count="5">
    <mergeCell ref="C2:D2"/>
    <mergeCell ref="G2:J2"/>
    <mergeCell ref="K2:N2"/>
    <mergeCell ref="O2:R2"/>
    <mergeCell ref="S2:V2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O513"/>
  <sheetViews>
    <sheetView tabSelected="1" topLeftCell="H2" workbookViewId="0">
      <selection activeCell="Q180" sqref="Q180"/>
    </sheetView>
  </sheetViews>
  <sheetFormatPr defaultColWidth="11" defaultRowHeight="17.6"/>
  <cols>
    <col min="1" max="1" width="15" customWidth="1"/>
    <col min="3" max="11" width="11" customWidth="1"/>
    <col min="13" max="14" width="11" customWidth="1"/>
    <col min="16" max="17" width="11" customWidth="1"/>
    <col min="19" max="19" width="11" customWidth="1"/>
    <col min="21" max="21" width="11" customWidth="1"/>
    <col min="23" max="24" width="11" customWidth="1"/>
    <col min="36" max="67" width="11" customWidth="1"/>
  </cols>
  <sheetData>
    <row r="1" ht="184.25" customHeight="1" spans="1:27">
      <c r="A1" s="1"/>
      <c r="B1" s="7"/>
      <c r="C1" s="2"/>
      <c r="D1" s="2"/>
      <c r="E1" s="2"/>
      <c r="F1" s="9"/>
      <c r="G1" s="9"/>
      <c r="H1" s="9"/>
      <c r="I1" s="9"/>
      <c r="J1" s="9"/>
      <c r="K1" s="9"/>
      <c r="L1" s="9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84.35" customHeight="1" spans="1:26">
      <c r="A2" s="1"/>
      <c r="B2" s="7"/>
      <c r="C2" s="2"/>
      <c r="D2" s="2"/>
      <c r="E2" s="2" t="s">
        <v>97</v>
      </c>
      <c r="F2" s="9" t="s">
        <v>0</v>
      </c>
      <c r="G2" s="9"/>
      <c r="H2" s="9"/>
      <c r="I2" s="9" t="s">
        <v>0</v>
      </c>
      <c r="J2" s="9"/>
      <c r="K2" s="9"/>
      <c r="L2" s="9" t="s">
        <v>0</v>
      </c>
      <c r="M2" s="2" t="s">
        <v>6</v>
      </c>
      <c r="N2" s="2"/>
      <c r="O2" s="2" t="s">
        <v>0</v>
      </c>
      <c r="P2" s="2" t="s">
        <v>98</v>
      </c>
      <c r="Q2" s="2"/>
      <c r="R2" s="2" t="s">
        <v>0</v>
      </c>
      <c r="S2" s="2"/>
      <c r="T2" s="2" t="s">
        <v>0</v>
      </c>
      <c r="U2" s="2"/>
      <c r="V2" s="2" t="s">
        <v>0</v>
      </c>
      <c r="W2" s="2" t="s">
        <v>99</v>
      </c>
      <c r="X2" s="2"/>
      <c r="Y2" s="2" t="s">
        <v>0</v>
      </c>
      <c r="Z2" s="2" t="s">
        <v>6</v>
      </c>
    </row>
    <row r="3" spans="1:67">
      <c r="A3" s="3"/>
      <c r="B3" s="4"/>
      <c r="C3" s="50"/>
      <c r="D3" s="50"/>
      <c r="E3" s="50"/>
      <c r="F3" s="50"/>
      <c r="G3" s="4"/>
      <c r="H3" s="51"/>
      <c r="I3" s="19" t="s">
        <v>100</v>
      </c>
      <c r="J3" s="19"/>
      <c r="K3" s="19"/>
      <c r="L3" s="20" t="s">
        <v>101</v>
      </c>
      <c r="M3" s="20"/>
      <c r="N3" s="20"/>
      <c r="O3" s="23" t="s">
        <v>102</v>
      </c>
      <c r="P3" s="23"/>
      <c r="Q3" s="56"/>
      <c r="R3" s="57" t="s">
        <v>103</v>
      </c>
      <c r="S3" s="57"/>
      <c r="T3" s="58" t="s">
        <v>104</v>
      </c>
      <c r="U3" s="25"/>
      <c r="V3" s="29" t="s">
        <v>105</v>
      </c>
      <c r="W3" s="29"/>
      <c r="X3" s="29"/>
      <c r="Y3" s="33" t="s">
        <v>106</v>
      </c>
      <c r="Z3" s="33"/>
      <c r="AA3" s="33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2"/>
      <c r="BK3" s="62"/>
      <c r="BL3" s="62"/>
      <c r="BM3" s="62"/>
      <c r="BN3" s="62"/>
      <c r="BO3" s="62"/>
    </row>
    <row r="4" ht="31" spans="1:67">
      <c r="A4" s="3" t="s">
        <v>12</v>
      </c>
      <c r="B4" s="4" t="s">
        <v>13</v>
      </c>
      <c r="C4" s="16" t="s">
        <v>107</v>
      </c>
      <c r="D4" s="16" t="s">
        <v>14</v>
      </c>
      <c r="E4" s="16" t="s">
        <v>108</v>
      </c>
      <c r="F4" s="16" t="s">
        <v>109</v>
      </c>
      <c r="G4" s="52" t="s">
        <v>110</v>
      </c>
      <c r="H4" s="53" t="s">
        <v>111</v>
      </c>
      <c r="I4" s="21" t="s">
        <v>112</v>
      </c>
      <c r="J4" s="21" t="s">
        <v>113</v>
      </c>
      <c r="K4" s="55" t="s">
        <v>114</v>
      </c>
      <c r="L4" s="22" t="s">
        <v>115</v>
      </c>
      <c r="M4" s="22" t="s">
        <v>116</v>
      </c>
      <c r="N4" s="22" t="s">
        <v>117</v>
      </c>
      <c r="O4" s="24" t="s">
        <v>118</v>
      </c>
      <c r="P4" s="24" t="s">
        <v>119</v>
      </c>
      <c r="Q4" s="59" t="s">
        <v>120</v>
      </c>
      <c r="R4" s="60" t="s">
        <v>121</v>
      </c>
      <c r="S4" s="60" t="s">
        <v>122</v>
      </c>
      <c r="T4" s="61" t="s">
        <v>123</v>
      </c>
      <c r="U4" s="27" t="s">
        <v>124</v>
      </c>
      <c r="V4" s="31" t="s">
        <v>125</v>
      </c>
      <c r="W4" s="31" t="s">
        <v>126</v>
      </c>
      <c r="X4" s="32" t="s">
        <v>127</v>
      </c>
      <c r="Y4" s="35" t="s">
        <v>128</v>
      </c>
      <c r="Z4" s="35" t="s">
        <v>129</v>
      </c>
      <c r="AA4" s="36" t="s">
        <v>130</v>
      </c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43"/>
    </row>
    <row r="5" ht="16" hidden="1" customHeight="1" spans="1:27">
      <c r="A5" s="1" t="s">
        <v>32</v>
      </c>
      <c r="B5" s="7" t="s">
        <v>33</v>
      </c>
      <c r="C5" s="17"/>
      <c r="D5" s="17">
        <v>78.4</v>
      </c>
      <c r="E5" s="17">
        <v>123</v>
      </c>
      <c r="F5" s="17">
        <v>62.2</v>
      </c>
      <c r="G5" s="18">
        <f t="shared" ref="G5:G160" si="0">F5/E5</f>
        <v>0.505691056910569</v>
      </c>
      <c r="H5" s="54">
        <f t="shared" ref="H5:H160" si="1">(I5+L5+O5+R5+T5+V5+Y5)/F5</f>
        <v>1.51768488745981</v>
      </c>
      <c r="I5" s="17">
        <v>7.6</v>
      </c>
      <c r="J5" s="17">
        <v>8.4</v>
      </c>
      <c r="K5" s="18">
        <f t="shared" ref="K5:K160" si="2">I5/(E5+J5)</f>
        <v>0.0578386605783866</v>
      </c>
      <c r="L5" s="17">
        <v>8.2</v>
      </c>
      <c r="M5" s="17">
        <v>6.2</v>
      </c>
      <c r="N5" s="18">
        <f t="shared" ref="N5:N160" si="3">L5/(E5+M5)</f>
        <v>0.0634674922600619</v>
      </c>
      <c r="O5" s="17">
        <v>16.2</v>
      </c>
      <c r="P5" s="17">
        <v>29.6</v>
      </c>
      <c r="Q5" s="18">
        <f t="shared" ref="Q5:Q160" si="4">O5/(E5+P5)</f>
        <v>0.106159895150721</v>
      </c>
      <c r="R5" s="17">
        <v>38.6</v>
      </c>
      <c r="S5" s="18">
        <f t="shared" ref="S5:S160" si="5">R5/E5</f>
        <v>0.313821138211382</v>
      </c>
      <c r="T5" s="17">
        <v>3.4</v>
      </c>
      <c r="U5" s="18">
        <f t="shared" ref="U5:U160" si="6">T5/R5</f>
        <v>0.0880829015544041</v>
      </c>
      <c r="V5" s="17">
        <v>2.4</v>
      </c>
      <c r="W5" s="17">
        <v>0</v>
      </c>
      <c r="X5" s="18">
        <f t="shared" ref="X5:X160" si="7">V5/(E5+W5)</f>
        <v>0.0195121951219512</v>
      </c>
      <c r="Y5" s="17">
        <v>18</v>
      </c>
      <c r="Z5" s="17">
        <v>3.6</v>
      </c>
      <c r="AA5" s="63">
        <f t="shared" ref="AA5:AA6" si="8">Y5/E5</f>
        <v>0.146341463414634</v>
      </c>
    </row>
    <row r="6" ht="16" hidden="1" customHeight="1" spans="1:27">
      <c r="A6" s="1" t="s">
        <v>32</v>
      </c>
      <c r="B6" s="7" t="s">
        <v>35</v>
      </c>
      <c r="C6" s="17"/>
      <c r="D6" s="17">
        <v>64.2</v>
      </c>
      <c r="E6" s="17">
        <v>101</v>
      </c>
      <c r="F6" s="17">
        <v>68.2</v>
      </c>
      <c r="G6" s="18">
        <f t="shared" si="0"/>
        <v>0.675247524752475</v>
      </c>
      <c r="H6" s="54">
        <f t="shared" si="1"/>
        <v>1.76539589442815</v>
      </c>
      <c r="I6" s="17">
        <v>5.6</v>
      </c>
      <c r="J6" s="17">
        <v>8</v>
      </c>
      <c r="K6" s="18">
        <f t="shared" si="2"/>
        <v>0.0513761467889908</v>
      </c>
      <c r="L6" s="17">
        <v>15</v>
      </c>
      <c r="M6" s="17">
        <v>8.6</v>
      </c>
      <c r="N6" s="18">
        <f t="shared" si="3"/>
        <v>0.136861313868613</v>
      </c>
      <c r="O6" s="17">
        <v>11.6</v>
      </c>
      <c r="P6" s="17">
        <v>26.4</v>
      </c>
      <c r="Q6" s="18">
        <f t="shared" si="4"/>
        <v>0.0910518053375196</v>
      </c>
      <c r="R6" s="17">
        <v>46.4</v>
      </c>
      <c r="S6" s="18">
        <f t="shared" si="5"/>
        <v>0.459405940594059</v>
      </c>
      <c r="T6" s="17">
        <v>16.2</v>
      </c>
      <c r="U6" s="18">
        <f t="shared" si="6"/>
        <v>0.349137931034483</v>
      </c>
      <c r="V6" s="17">
        <v>8.2</v>
      </c>
      <c r="W6" s="17">
        <v>0</v>
      </c>
      <c r="X6" s="18">
        <f t="shared" si="7"/>
        <v>0.0811881188118812</v>
      </c>
      <c r="Y6" s="17">
        <v>17.4</v>
      </c>
      <c r="Z6" s="17">
        <v>3</v>
      </c>
      <c r="AA6" s="63">
        <f t="shared" si="8"/>
        <v>0.172277227722772</v>
      </c>
    </row>
    <row r="7" ht="16" hidden="1" customHeight="1" spans="1:27">
      <c r="A7" s="1" t="s">
        <v>32</v>
      </c>
      <c r="B7" s="7" t="s">
        <v>36</v>
      </c>
      <c r="C7" s="9"/>
      <c r="D7" s="9">
        <f>D5+D6</f>
        <v>142.6</v>
      </c>
      <c r="E7" s="9">
        <f>E5+E6</f>
        <v>224</v>
      </c>
      <c r="F7" s="9">
        <f>F5+F6</f>
        <v>130.4</v>
      </c>
      <c r="G7" s="18">
        <f t="shared" si="0"/>
        <v>0.582142857142857</v>
      </c>
      <c r="H7" s="54">
        <f t="shared" si="1"/>
        <v>1.64723926380368</v>
      </c>
      <c r="I7" s="9">
        <f>I5+I6</f>
        <v>13.2</v>
      </c>
      <c r="J7" s="9">
        <f>J5+J6</f>
        <v>16.4</v>
      </c>
      <c r="K7" s="18">
        <f t="shared" si="2"/>
        <v>0.0549084858569052</v>
      </c>
      <c r="L7" s="9">
        <f>L5+L6</f>
        <v>23.2</v>
      </c>
      <c r="M7" s="9">
        <f>M5+M6</f>
        <v>14.8</v>
      </c>
      <c r="N7" s="18">
        <f t="shared" si="3"/>
        <v>0.0971524288107203</v>
      </c>
      <c r="O7" s="9">
        <f>O5+O6</f>
        <v>27.8</v>
      </c>
      <c r="P7" s="9">
        <f>P5+P6</f>
        <v>56</v>
      </c>
      <c r="Q7" s="18">
        <f t="shared" si="4"/>
        <v>0.0992857142857143</v>
      </c>
      <c r="R7" s="9">
        <f>R5+R6</f>
        <v>85</v>
      </c>
      <c r="S7" s="18">
        <f t="shared" si="5"/>
        <v>0.379464285714286</v>
      </c>
      <c r="T7" s="9">
        <f>T5+T6</f>
        <v>19.6</v>
      </c>
      <c r="U7" s="18">
        <f t="shared" si="6"/>
        <v>0.230588235294118</v>
      </c>
      <c r="V7" s="9">
        <f>V5+V6</f>
        <v>10.6</v>
      </c>
      <c r="W7" s="9">
        <f>W5+W6</f>
        <v>0</v>
      </c>
      <c r="X7" s="18">
        <f t="shared" si="7"/>
        <v>0.0473214285714286</v>
      </c>
      <c r="Y7" s="9">
        <f>Y5+Y6</f>
        <v>35.4</v>
      </c>
      <c r="Z7" s="9">
        <f>Z5+Z6</f>
        <v>6.6</v>
      </c>
      <c r="AA7" s="63">
        <f>Y7/(E7+Z7)</f>
        <v>0.153512575888985</v>
      </c>
    </row>
    <row r="8" ht="16" hidden="1" customHeight="1" spans="1:27">
      <c r="A8" s="1" t="s">
        <v>37</v>
      </c>
      <c r="B8" s="7" t="s">
        <v>33</v>
      </c>
      <c r="C8" s="9"/>
      <c r="D8" s="9">
        <v>96.2</v>
      </c>
      <c r="E8" s="9">
        <v>127.2</v>
      </c>
      <c r="F8" s="9">
        <v>60.8</v>
      </c>
      <c r="G8" s="18">
        <f t="shared" si="0"/>
        <v>0.477987421383648</v>
      </c>
      <c r="H8" s="54">
        <f t="shared" si="1"/>
        <v>1.625</v>
      </c>
      <c r="I8" s="9">
        <v>6.2</v>
      </c>
      <c r="J8" s="9">
        <v>7.8</v>
      </c>
      <c r="K8" s="18">
        <f t="shared" si="2"/>
        <v>0.0459259259259259</v>
      </c>
      <c r="L8" s="9">
        <v>7.4</v>
      </c>
      <c r="M8" s="9">
        <v>6</v>
      </c>
      <c r="N8" s="18">
        <f t="shared" si="3"/>
        <v>0.0555555555555556</v>
      </c>
      <c r="O8" s="9">
        <v>14.8</v>
      </c>
      <c r="P8" s="9">
        <v>32.6</v>
      </c>
      <c r="Q8" s="18">
        <f t="shared" si="4"/>
        <v>0.0926157697121402</v>
      </c>
      <c r="R8" s="9">
        <v>42.2</v>
      </c>
      <c r="S8" s="18">
        <f t="shared" si="5"/>
        <v>0.331761006289308</v>
      </c>
      <c r="T8" s="9">
        <v>5.6</v>
      </c>
      <c r="U8" s="18">
        <f t="shared" si="6"/>
        <v>0.132701421800948</v>
      </c>
      <c r="V8" s="9">
        <v>4.2</v>
      </c>
      <c r="W8" s="9">
        <v>0</v>
      </c>
      <c r="X8" s="18">
        <f t="shared" si="7"/>
        <v>0.0330188679245283</v>
      </c>
      <c r="Y8" s="9">
        <v>18.4</v>
      </c>
      <c r="Z8" s="9">
        <v>4.8</v>
      </c>
      <c r="AA8" s="63">
        <f t="shared" ref="AA8:AA9" si="9">Y8/E8</f>
        <v>0.144654088050314</v>
      </c>
    </row>
    <row r="9" ht="16" hidden="1" customHeight="1" spans="1:27">
      <c r="A9" s="1" t="s">
        <v>37</v>
      </c>
      <c r="B9" s="7" t="s">
        <v>35</v>
      </c>
      <c r="C9" s="9"/>
      <c r="D9" s="9">
        <v>75</v>
      </c>
      <c r="E9" s="9">
        <v>108</v>
      </c>
      <c r="F9" s="9">
        <v>73.6</v>
      </c>
      <c r="G9" s="18">
        <f t="shared" si="0"/>
        <v>0.681481481481481</v>
      </c>
      <c r="H9" s="54">
        <f t="shared" si="1"/>
        <v>1.87228260869565</v>
      </c>
      <c r="I9" s="9">
        <v>7.8</v>
      </c>
      <c r="J9" s="9">
        <v>10.8</v>
      </c>
      <c r="K9" s="18">
        <f t="shared" si="2"/>
        <v>0.0656565656565657</v>
      </c>
      <c r="L9" s="9">
        <v>17.8</v>
      </c>
      <c r="M9" s="9">
        <v>10.4</v>
      </c>
      <c r="N9" s="18">
        <f t="shared" si="3"/>
        <v>0.150337837837838</v>
      </c>
      <c r="O9" s="9">
        <v>15.2</v>
      </c>
      <c r="P9" s="9">
        <v>27.4</v>
      </c>
      <c r="Q9" s="18">
        <f t="shared" si="4"/>
        <v>0.112259970457902</v>
      </c>
      <c r="R9" s="9">
        <v>51.8</v>
      </c>
      <c r="S9" s="18">
        <f t="shared" si="5"/>
        <v>0.47962962962963</v>
      </c>
      <c r="T9" s="9">
        <v>14.8</v>
      </c>
      <c r="U9" s="18">
        <f t="shared" si="6"/>
        <v>0.285714285714286</v>
      </c>
      <c r="V9" s="9">
        <v>11</v>
      </c>
      <c r="W9" s="9">
        <v>0</v>
      </c>
      <c r="X9" s="18">
        <f t="shared" si="7"/>
        <v>0.101851851851852</v>
      </c>
      <c r="Y9" s="9">
        <v>19.4</v>
      </c>
      <c r="Z9" s="9">
        <v>4.8</v>
      </c>
      <c r="AA9" s="63">
        <f t="shared" si="9"/>
        <v>0.17962962962963</v>
      </c>
    </row>
    <row r="10" ht="16" hidden="1" customHeight="1" spans="1:27">
      <c r="A10" s="1" t="s">
        <v>37</v>
      </c>
      <c r="B10" s="7" t="s">
        <v>36</v>
      </c>
      <c r="C10" s="9"/>
      <c r="D10" s="9">
        <f>D8+D9</f>
        <v>171.2</v>
      </c>
      <c r="E10" s="9">
        <f>E8+E9</f>
        <v>235.2</v>
      </c>
      <c r="F10" s="9">
        <f>F8+F9</f>
        <v>134.4</v>
      </c>
      <c r="G10" s="18">
        <f t="shared" si="0"/>
        <v>0.571428571428571</v>
      </c>
      <c r="H10" s="54">
        <f t="shared" si="1"/>
        <v>1.76041666666667</v>
      </c>
      <c r="I10" s="9">
        <f>I8+I9</f>
        <v>14</v>
      </c>
      <c r="J10" s="9">
        <f>J8+J9</f>
        <v>18.6</v>
      </c>
      <c r="K10" s="18">
        <f t="shared" si="2"/>
        <v>0.0551615445232467</v>
      </c>
      <c r="L10" s="9">
        <f>L8+L9</f>
        <v>25.2</v>
      </c>
      <c r="M10" s="9">
        <f>M8+M9</f>
        <v>16.4</v>
      </c>
      <c r="N10" s="18">
        <f t="shared" si="3"/>
        <v>0.100158982511924</v>
      </c>
      <c r="O10" s="9">
        <f>O8+O9</f>
        <v>30</v>
      </c>
      <c r="P10" s="9">
        <f>P8+P9</f>
        <v>60</v>
      </c>
      <c r="Q10" s="18">
        <f t="shared" si="4"/>
        <v>0.101626016260163</v>
      </c>
      <c r="R10" s="9">
        <f>R8+R9</f>
        <v>94</v>
      </c>
      <c r="S10" s="18">
        <f t="shared" si="5"/>
        <v>0.399659863945578</v>
      </c>
      <c r="T10" s="9">
        <f>T8+T9</f>
        <v>20.4</v>
      </c>
      <c r="U10" s="18">
        <f t="shared" si="6"/>
        <v>0.217021276595745</v>
      </c>
      <c r="V10" s="9">
        <f>V8+V9</f>
        <v>15.2</v>
      </c>
      <c r="W10" s="9">
        <f>W8+W9</f>
        <v>0</v>
      </c>
      <c r="X10" s="18">
        <f t="shared" si="7"/>
        <v>0.0646258503401361</v>
      </c>
      <c r="Y10" s="9">
        <f>Y8+Y9</f>
        <v>37.8</v>
      </c>
      <c r="Z10" s="9">
        <f>Z8+Z9</f>
        <v>9.6</v>
      </c>
      <c r="AA10" s="63">
        <f>Y10/(E10+Z10)</f>
        <v>0.154411764705882</v>
      </c>
    </row>
    <row r="11" ht="16" hidden="1" customHeight="1" spans="1:27">
      <c r="A11" s="1" t="s">
        <v>38</v>
      </c>
      <c r="B11" s="7" t="s">
        <v>33</v>
      </c>
      <c r="C11" s="9"/>
      <c r="D11" s="9">
        <v>114.8</v>
      </c>
      <c r="E11" s="9">
        <v>141</v>
      </c>
      <c r="F11" s="9">
        <v>79.8</v>
      </c>
      <c r="G11" s="18">
        <f t="shared" si="0"/>
        <v>0.565957446808511</v>
      </c>
      <c r="H11" s="54">
        <f t="shared" si="1"/>
        <v>1.57142857142857</v>
      </c>
      <c r="I11" s="9">
        <v>9.6</v>
      </c>
      <c r="J11" s="9">
        <v>10.4</v>
      </c>
      <c r="K11" s="18">
        <f t="shared" si="2"/>
        <v>0.0634081902245707</v>
      </c>
      <c r="L11" s="9">
        <v>8.4</v>
      </c>
      <c r="M11" s="9">
        <v>6.8</v>
      </c>
      <c r="N11" s="18">
        <f t="shared" si="3"/>
        <v>0.0568335588633288</v>
      </c>
      <c r="O11" s="9">
        <v>20.6</v>
      </c>
      <c r="P11" s="9">
        <v>41.4</v>
      </c>
      <c r="Q11" s="18">
        <f t="shared" si="4"/>
        <v>0.112938596491228</v>
      </c>
      <c r="R11" s="9">
        <v>50.8</v>
      </c>
      <c r="S11" s="18">
        <f t="shared" si="5"/>
        <v>0.360283687943262</v>
      </c>
      <c r="T11" s="9">
        <v>9</v>
      </c>
      <c r="U11" s="18">
        <f t="shared" si="6"/>
        <v>0.177165354330709</v>
      </c>
      <c r="V11" s="9">
        <v>5</v>
      </c>
      <c r="W11" s="9">
        <v>0.2</v>
      </c>
      <c r="X11" s="18">
        <f t="shared" si="7"/>
        <v>0.0354107648725212</v>
      </c>
      <c r="Y11" s="9">
        <v>22</v>
      </c>
      <c r="Z11" s="9">
        <v>4.2</v>
      </c>
      <c r="AA11" s="63">
        <f t="shared" ref="AA11:AA12" si="10">Y11/E11</f>
        <v>0.156028368794326</v>
      </c>
    </row>
    <row r="12" ht="16" hidden="1" customHeight="1" spans="1:27">
      <c r="A12" s="1" t="s">
        <v>38</v>
      </c>
      <c r="B12" s="7" t="s">
        <v>35</v>
      </c>
      <c r="C12" s="9"/>
      <c r="D12" s="9">
        <v>102</v>
      </c>
      <c r="E12" s="9">
        <v>132.4</v>
      </c>
      <c r="F12" s="9">
        <v>86.6</v>
      </c>
      <c r="G12" s="18">
        <f t="shared" si="0"/>
        <v>0.654078549848943</v>
      </c>
      <c r="H12" s="54">
        <f t="shared" si="1"/>
        <v>1.79214780600462</v>
      </c>
      <c r="I12" s="9">
        <v>8.2</v>
      </c>
      <c r="J12" s="9">
        <v>13.4</v>
      </c>
      <c r="K12" s="18">
        <f t="shared" si="2"/>
        <v>0.056241426611797</v>
      </c>
      <c r="L12" s="9">
        <v>19.8</v>
      </c>
      <c r="M12" s="9">
        <v>12.8</v>
      </c>
      <c r="N12" s="18">
        <f t="shared" si="3"/>
        <v>0.136363636363636</v>
      </c>
      <c r="O12" s="9">
        <v>14.4</v>
      </c>
      <c r="P12" s="9">
        <v>37.2</v>
      </c>
      <c r="Q12" s="18">
        <f t="shared" si="4"/>
        <v>0.0849056603773585</v>
      </c>
      <c r="R12" s="9">
        <v>60.6</v>
      </c>
      <c r="S12" s="18">
        <f t="shared" si="5"/>
        <v>0.457703927492447</v>
      </c>
      <c r="T12" s="9">
        <v>16.4</v>
      </c>
      <c r="U12" s="18">
        <f t="shared" si="6"/>
        <v>0.270627062706271</v>
      </c>
      <c r="V12" s="9">
        <v>12.4</v>
      </c>
      <c r="W12" s="9">
        <v>0</v>
      </c>
      <c r="X12" s="18">
        <f t="shared" si="7"/>
        <v>0.0936555891238671</v>
      </c>
      <c r="Y12" s="9">
        <v>23.4</v>
      </c>
      <c r="Z12" s="9">
        <v>5.4</v>
      </c>
      <c r="AA12" s="63">
        <f t="shared" si="10"/>
        <v>0.176737160120846</v>
      </c>
    </row>
    <row r="13" ht="16" hidden="1" customHeight="1" spans="1:27">
      <c r="A13" s="1" t="s">
        <v>38</v>
      </c>
      <c r="B13" s="7" t="s">
        <v>36</v>
      </c>
      <c r="C13" s="9"/>
      <c r="D13" s="9">
        <f>D11+D12</f>
        <v>216.8</v>
      </c>
      <c r="E13" s="9">
        <f>E11+E12</f>
        <v>273.4</v>
      </c>
      <c r="F13" s="9">
        <f>F11+F12</f>
        <v>166.4</v>
      </c>
      <c r="G13" s="18">
        <f t="shared" si="0"/>
        <v>0.608632040965618</v>
      </c>
      <c r="H13" s="54">
        <f t="shared" si="1"/>
        <v>1.68629807692308</v>
      </c>
      <c r="I13" s="9">
        <f>I11+I12</f>
        <v>17.8</v>
      </c>
      <c r="J13" s="9">
        <f>J11+J12</f>
        <v>23.8</v>
      </c>
      <c r="K13" s="18">
        <f t="shared" si="2"/>
        <v>0.0598923283983849</v>
      </c>
      <c r="L13" s="9">
        <f>L11+L12</f>
        <v>28.2</v>
      </c>
      <c r="M13" s="9">
        <f>M11+M12</f>
        <v>19.6</v>
      </c>
      <c r="N13" s="18">
        <f t="shared" si="3"/>
        <v>0.0962457337883959</v>
      </c>
      <c r="O13" s="9">
        <f>O11+O12</f>
        <v>35</v>
      </c>
      <c r="P13" s="9">
        <f>P11+P12</f>
        <v>78.6</v>
      </c>
      <c r="Q13" s="18">
        <f t="shared" si="4"/>
        <v>0.0994318181818182</v>
      </c>
      <c r="R13" s="9">
        <f>R11+R12</f>
        <v>111.4</v>
      </c>
      <c r="S13" s="18">
        <f t="shared" si="5"/>
        <v>0.407461594732992</v>
      </c>
      <c r="T13" s="9">
        <f>T11+T12</f>
        <v>25.4</v>
      </c>
      <c r="U13" s="18">
        <f t="shared" si="6"/>
        <v>0.228007181328546</v>
      </c>
      <c r="V13" s="9">
        <f>V11+V12</f>
        <v>17.4</v>
      </c>
      <c r="W13" s="9">
        <f>W11+W12</f>
        <v>0.2</v>
      </c>
      <c r="X13" s="18">
        <f t="shared" si="7"/>
        <v>0.0635964912280702</v>
      </c>
      <c r="Y13" s="9">
        <f>Y11+Y12</f>
        <v>45.4</v>
      </c>
      <c r="Z13" s="9">
        <f>Z11+Z12</f>
        <v>9.6</v>
      </c>
      <c r="AA13" s="63">
        <f>Y13/(E13+Z13)</f>
        <v>0.160424028268551</v>
      </c>
    </row>
    <row r="14" ht="16" hidden="1" customHeight="1" spans="1:27">
      <c r="A14" s="1" t="s">
        <v>39</v>
      </c>
      <c r="B14" s="7" t="s">
        <v>33</v>
      </c>
      <c r="C14" s="9"/>
      <c r="D14" s="9">
        <v>84.4</v>
      </c>
      <c r="E14" s="9">
        <v>134.8</v>
      </c>
      <c r="F14" s="9">
        <v>70.6</v>
      </c>
      <c r="G14" s="18">
        <f t="shared" si="0"/>
        <v>0.523738872403561</v>
      </c>
      <c r="H14" s="54">
        <f t="shared" si="1"/>
        <v>1.57507082152975</v>
      </c>
      <c r="I14" s="9">
        <v>8</v>
      </c>
      <c r="J14" s="9">
        <v>10.6</v>
      </c>
      <c r="K14" s="18">
        <f t="shared" si="2"/>
        <v>0.0550206327372765</v>
      </c>
      <c r="L14" s="9">
        <v>5.8</v>
      </c>
      <c r="M14" s="9">
        <v>4.6</v>
      </c>
      <c r="N14" s="18">
        <f t="shared" si="3"/>
        <v>0.0416068866571019</v>
      </c>
      <c r="O14" s="9">
        <v>14.4</v>
      </c>
      <c r="P14" s="9">
        <v>33.4</v>
      </c>
      <c r="Q14" s="18">
        <f t="shared" si="4"/>
        <v>0.0856123662306778</v>
      </c>
      <c r="R14" s="9">
        <v>46</v>
      </c>
      <c r="S14" s="18">
        <f t="shared" si="5"/>
        <v>0.341246290801187</v>
      </c>
      <c r="T14" s="9">
        <v>4.4</v>
      </c>
      <c r="U14" s="18">
        <f t="shared" si="6"/>
        <v>0.0956521739130435</v>
      </c>
      <c r="V14" s="9">
        <v>6.6</v>
      </c>
      <c r="W14" s="9">
        <v>0</v>
      </c>
      <c r="X14" s="18">
        <f t="shared" si="7"/>
        <v>0.0489614243323442</v>
      </c>
      <c r="Y14" s="9">
        <v>26</v>
      </c>
      <c r="Z14" s="9">
        <v>3.6</v>
      </c>
      <c r="AA14" s="63">
        <f t="shared" ref="AA14:AA15" si="11">Y14/E14</f>
        <v>0.192878338278932</v>
      </c>
    </row>
    <row r="15" ht="16" hidden="1" customHeight="1" spans="1:27">
      <c r="A15" s="1" t="s">
        <v>39</v>
      </c>
      <c r="B15" s="7" t="s">
        <v>35</v>
      </c>
      <c r="C15" s="9"/>
      <c r="D15" s="9">
        <v>98.6</v>
      </c>
      <c r="E15" s="9">
        <v>127.4</v>
      </c>
      <c r="F15" s="9">
        <v>82</v>
      </c>
      <c r="G15" s="18">
        <f t="shared" si="0"/>
        <v>0.643642072213501</v>
      </c>
      <c r="H15" s="54">
        <f t="shared" si="1"/>
        <v>1.73658536585366</v>
      </c>
      <c r="I15" s="9">
        <v>9.2</v>
      </c>
      <c r="J15" s="9">
        <v>12</v>
      </c>
      <c r="K15" s="18">
        <f t="shared" si="2"/>
        <v>0.0659971305595409</v>
      </c>
      <c r="L15" s="9">
        <v>17.6</v>
      </c>
      <c r="M15" s="9">
        <v>12.8</v>
      </c>
      <c r="N15" s="18">
        <f t="shared" si="3"/>
        <v>0.125534950071327</v>
      </c>
      <c r="O15" s="9">
        <v>13.6</v>
      </c>
      <c r="P15" s="9">
        <v>31.6</v>
      </c>
      <c r="Q15" s="18">
        <f t="shared" si="4"/>
        <v>0.0855345911949685</v>
      </c>
      <c r="R15" s="9">
        <v>57.4</v>
      </c>
      <c r="S15" s="18">
        <f t="shared" si="5"/>
        <v>0.450549450549451</v>
      </c>
      <c r="T15" s="9">
        <v>17</v>
      </c>
      <c r="U15" s="18">
        <f t="shared" si="6"/>
        <v>0.29616724738676</v>
      </c>
      <c r="V15" s="9">
        <v>8.6</v>
      </c>
      <c r="W15" s="9">
        <v>0.2</v>
      </c>
      <c r="X15" s="18">
        <f t="shared" si="7"/>
        <v>0.067398119122257</v>
      </c>
      <c r="Y15" s="9">
        <v>19</v>
      </c>
      <c r="Z15" s="9">
        <v>3</v>
      </c>
      <c r="AA15" s="63">
        <f t="shared" si="11"/>
        <v>0.149136577708006</v>
      </c>
    </row>
    <row r="16" ht="16" hidden="1" customHeight="1" spans="1:27">
      <c r="A16" s="1" t="s">
        <v>39</v>
      </c>
      <c r="B16" s="7" t="s">
        <v>36</v>
      </c>
      <c r="C16" s="9"/>
      <c r="D16" s="9">
        <f>D14+D15</f>
        <v>183</v>
      </c>
      <c r="E16" s="9">
        <f>E14+E15</f>
        <v>262.2</v>
      </c>
      <c r="F16" s="9">
        <f>F14+F15</f>
        <v>152.6</v>
      </c>
      <c r="G16" s="18">
        <f t="shared" si="0"/>
        <v>0.581998474446987</v>
      </c>
      <c r="H16" s="54">
        <f t="shared" si="1"/>
        <v>1.66186107470511</v>
      </c>
      <c r="I16" s="9">
        <f>I14+I15</f>
        <v>17.2</v>
      </c>
      <c r="J16" s="9">
        <f>J14+J15</f>
        <v>22.6</v>
      </c>
      <c r="K16" s="18">
        <f t="shared" si="2"/>
        <v>0.0603932584269663</v>
      </c>
      <c r="L16" s="9">
        <f>L14+L15</f>
        <v>23.4</v>
      </c>
      <c r="M16" s="9">
        <f>M14+M15</f>
        <v>17.4</v>
      </c>
      <c r="N16" s="18">
        <f t="shared" si="3"/>
        <v>0.0836909871244635</v>
      </c>
      <c r="O16" s="9">
        <f>O14+O15</f>
        <v>28</v>
      </c>
      <c r="P16" s="9">
        <f>P14+P15</f>
        <v>65</v>
      </c>
      <c r="Q16" s="18">
        <f t="shared" si="4"/>
        <v>0.0855745721271394</v>
      </c>
      <c r="R16" s="9">
        <f>R14+R15</f>
        <v>103.4</v>
      </c>
      <c r="S16" s="18">
        <f t="shared" si="5"/>
        <v>0.394355453852021</v>
      </c>
      <c r="T16" s="9">
        <f>T14+T15</f>
        <v>21.4</v>
      </c>
      <c r="U16" s="18">
        <f t="shared" si="6"/>
        <v>0.206963249516441</v>
      </c>
      <c r="V16" s="9">
        <f>V14+V15</f>
        <v>15.2</v>
      </c>
      <c r="W16" s="9">
        <f>W14+W15</f>
        <v>0.2</v>
      </c>
      <c r="X16" s="18">
        <f t="shared" si="7"/>
        <v>0.0579268292682927</v>
      </c>
      <c r="Y16" s="9">
        <f>Y14+Y15</f>
        <v>45</v>
      </c>
      <c r="Z16" s="9">
        <f>Z14+Z15</f>
        <v>6.6</v>
      </c>
      <c r="AA16" s="63">
        <f>Y16/(E16+Z16)</f>
        <v>0.167410714285714</v>
      </c>
    </row>
    <row r="17" ht="16" hidden="1" customHeight="1" spans="1:27">
      <c r="A17" s="1" t="s">
        <v>40</v>
      </c>
      <c r="B17" s="7" t="s">
        <v>33</v>
      </c>
      <c r="C17" s="9"/>
      <c r="D17" s="9">
        <v>109.2</v>
      </c>
      <c r="E17" s="9">
        <v>152.4</v>
      </c>
      <c r="F17" s="9">
        <v>75</v>
      </c>
      <c r="G17" s="18">
        <f t="shared" si="0"/>
        <v>0.492125984251968</v>
      </c>
      <c r="H17" s="54">
        <f t="shared" si="1"/>
        <v>1.61066666666667</v>
      </c>
      <c r="I17" s="9">
        <v>8.2</v>
      </c>
      <c r="J17" s="9">
        <v>9.8</v>
      </c>
      <c r="K17" s="18">
        <f t="shared" si="2"/>
        <v>0.0505548705302096</v>
      </c>
      <c r="L17" s="9">
        <v>8.4</v>
      </c>
      <c r="M17" s="9">
        <v>6.8</v>
      </c>
      <c r="N17" s="18">
        <f t="shared" si="3"/>
        <v>0.0527638190954774</v>
      </c>
      <c r="O17" s="9">
        <v>20.2</v>
      </c>
      <c r="P17" s="9">
        <v>40</v>
      </c>
      <c r="Q17" s="18">
        <f t="shared" si="4"/>
        <v>0.104989604989605</v>
      </c>
      <c r="R17" s="9">
        <v>48</v>
      </c>
      <c r="S17" s="18">
        <f t="shared" si="5"/>
        <v>0.31496062992126</v>
      </c>
      <c r="T17" s="9">
        <v>6.2</v>
      </c>
      <c r="U17" s="18">
        <f t="shared" si="6"/>
        <v>0.129166666666667</v>
      </c>
      <c r="V17" s="9">
        <v>6.2</v>
      </c>
      <c r="W17" s="9">
        <v>0</v>
      </c>
      <c r="X17" s="18">
        <f t="shared" si="7"/>
        <v>0.0406824146981627</v>
      </c>
      <c r="Y17" s="9">
        <v>23.6</v>
      </c>
      <c r="Z17" s="9">
        <v>4.4</v>
      </c>
      <c r="AA17" s="63">
        <f t="shared" ref="AA17:AA18" si="12">Y17/E17</f>
        <v>0.154855643044619</v>
      </c>
    </row>
    <row r="18" ht="16" hidden="1" customHeight="1" spans="1:27">
      <c r="A18" s="1" t="s">
        <v>40</v>
      </c>
      <c r="B18" s="7" t="s">
        <v>35</v>
      </c>
      <c r="C18" s="9"/>
      <c r="D18" s="9">
        <v>107.4</v>
      </c>
      <c r="E18" s="9">
        <v>132.8</v>
      </c>
      <c r="F18" s="9">
        <v>86.6</v>
      </c>
      <c r="G18" s="18">
        <f t="shared" si="0"/>
        <v>0.65210843373494</v>
      </c>
      <c r="H18" s="54">
        <f t="shared" si="1"/>
        <v>1.68129330254042</v>
      </c>
      <c r="I18" s="9">
        <v>8.2</v>
      </c>
      <c r="J18" s="9">
        <v>11.8</v>
      </c>
      <c r="K18" s="18">
        <f t="shared" si="2"/>
        <v>0.0567081604426003</v>
      </c>
      <c r="L18" s="9">
        <v>20.8</v>
      </c>
      <c r="M18" s="9">
        <v>13.6</v>
      </c>
      <c r="N18" s="18">
        <f t="shared" si="3"/>
        <v>0.14207650273224</v>
      </c>
      <c r="O18" s="9">
        <v>12</v>
      </c>
      <c r="P18" s="9">
        <v>33.4</v>
      </c>
      <c r="Q18" s="18">
        <f t="shared" si="4"/>
        <v>0.0722021660649819</v>
      </c>
      <c r="R18" s="9">
        <v>57.8</v>
      </c>
      <c r="S18" s="18">
        <f t="shared" si="5"/>
        <v>0.435240963855422</v>
      </c>
      <c r="T18" s="9">
        <v>18.2</v>
      </c>
      <c r="U18" s="18">
        <f t="shared" si="6"/>
        <v>0.314878892733564</v>
      </c>
      <c r="V18" s="9">
        <v>7.2</v>
      </c>
      <c r="W18" s="9">
        <v>0.2</v>
      </c>
      <c r="X18" s="18">
        <f t="shared" si="7"/>
        <v>0.0541353383458647</v>
      </c>
      <c r="Y18" s="9">
        <v>21.4</v>
      </c>
      <c r="Z18" s="9">
        <v>4.6</v>
      </c>
      <c r="AA18" s="63">
        <f t="shared" si="12"/>
        <v>0.161144578313253</v>
      </c>
    </row>
    <row r="19" ht="16" hidden="1" customHeight="1" spans="1:27">
      <c r="A19" s="1" t="s">
        <v>40</v>
      </c>
      <c r="B19" s="7" t="s">
        <v>36</v>
      </c>
      <c r="C19" s="9"/>
      <c r="D19" s="9">
        <f>D17+D18</f>
        <v>216.6</v>
      </c>
      <c r="E19" s="9">
        <f>E17+E18</f>
        <v>285.2</v>
      </c>
      <c r="F19" s="9">
        <f>F17+F18</f>
        <v>161.6</v>
      </c>
      <c r="G19" s="18">
        <f t="shared" si="0"/>
        <v>0.566619915848527</v>
      </c>
      <c r="H19" s="54">
        <f t="shared" si="1"/>
        <v>1.64851485148515</v>
      </c>
      <c r="I19" s="9">
        <f>I17+I18</f>
        <v>16.4</v>
      </c>
      <c r="J19" s="9">
        <f>J17+J18</f>
        <v>21.6</v>
      </c>
      <c r="K19" s="18">
        <f t="shared" si="2"/>
        <v>0.0534550195567145</v>
      </c>
      <c r="L19" s="9">
        <f>L17+L18</f>
        <v>29.2</v>
      </c>
      <c r="M19" s="9">
        <f>M17+M18</f>
        <v>20.4</v>
      </c>
      <c r="N19" s="18">
        <f t="shared" si="3"/>
        <v>0.0955497382198953</v>
      </c>
      <c r="O19" s="9">
        <f>O17+O18</f>
        <v>32.2</v>
      </c>
      <c r="P19" s="9">
        <f>P17+P18</f>
        <v>73.4</v>
      </c>
      <c r="Q19" s="18">
        <f t="shared" si="4"/>
        <v>0.0897936419408812</v>
      </c>
      <c r="R19" s="9">
        <f>R17+R18</f>
        <v>105.8</v>
      </c>
      <c r="S19" s="18">
        <f t="shared" si="5"/>
        <v>0.370967741935484</v>
      </c>
      <c r="T19" s="9">
        <f>T17+T18</f>
        <v>24.4</v>
      </c>
      <c r="U19" s="18">
        <f t="shared" si="6"/>
        <v>0.23062381852552</v>
      </c>
      <c r="V19" s="9">
        <f>V17+V18</f>
        <v>13.4</v>
      </c>
      <c r="W19" s="9">
        <f>W17+W18</f>
        <v>0.2</v>
      </c>
      <c r="X19" s="18">
        <f t="shared" si="7"/>
        <v>0.0469516468114926</v>
      </c>
      <c r="Y19" s="9">
        <f>Y17+Y18</f>
        <v>45</v>
      </c>
      <c r="Z19" s="9">
        <f>Z17+Z18</f>
        <v>9</v>
      </c>
      <c r="AA19" s="63">
        <f>Y19/(E19+Z19)</f>
        <v>0.152957171991842</v>
      </c>
    </row>
    <row r="20" ht="16" hidden="1" customHeight="1" spans="1:27">
      <c r="A20" s="1" t="s">
        <v>41</v>
      </c>
      <c r="B20" s="7" t="s">
        <v>33</v>
      </c>
      <c r="C20" s="9"/>
      <c r="D20" s="9">
        <v>104.6</v>
      </c>
      <c r="E20" s="9">
        <v>135</v>
      </c>
      <c r="F20" s="9">
        <v>70</v>
      </c>
      <c r="G20" s="18">
        <f t="shared" si="0"/>
        <v>0.518518518518518</v>
      </c>
      <c r="H20" s="54">
        <f t="shared" si="1"/>
        <v>1.61428571428571</v>
      </c>
      <c r="I20" s="9">
        <v>8.2</v>
      </c>
      <c r="J20" s="9">
        <v>6.4</v>
      </c>
      <c r="K20" s="18">
        <f t="shared" si="2"/>
        <v>0.057991513437058</v>
      </c>
      <c r="L20" s="9">
        <v>9</v>
      </c>
      <c r="M20" s="9">
        <v>7</v>
      </c>
      <c r="N20" s="18">
        <f t="shared" si="3"/>
        <v>0.0633802816901408</v>
      </c>
      <c r="O20" s="9">
        <v>16.4</v>
      </c>
      <c r="P20" s="9">
        <v>35.2</v>
      </c>
      <c r="Q20" s="18">
        <f t="shared" si="4"/>
        <v>0.0963572267920094</v>
      </c>
      <c r="R20" s="9">
        <v>45</v>
      </c>
      <c r="S20" s="18">
        <f t="shared" si="5"/>
        <v>0.333333333333333</v>
      </c>
      <c r="T20" s="9">
        <v>4.8</v>
      </c>
      <c r="U20" s="18">
        <f t="shared" si="6"/>
        <v>0.106666666666667</v>
      </c>
      <c r="V20" s="9">
        <v>6.2</v>
      </c>
      <c r="W20" s="9">
        <v>0.2</v>
      </c>
      <c r="X20" s="18">
        <f t="shared" si="7"/>
        <v>0.0458579881656805</v>
      </c>
      <c r="Y20" s="9">
        <v>23.4</v>
      </c>
      <c r="Z20" s="9">
        <v>3.4</v>
      </c>
      <c r="AA20" s="63">
        <f t="shared" ref="AA20:AA21" si="13">Y20/E20</f>
        <v>0.173333333333333</v>
      </c>
    </row>
    <row r="21" ht="16" hidden="1" customHeight="1" spans="1:27">
      <c r="A21" s="1" t="s">
        <v>41</v>
      </c>
      <c r="B21" s="7" t="s">
        <v>35</v>
      </c>
      <c r="C21" s="9"/>
      <c r="D21" s="9">
        <v>117</v>
      </c>
      <c r="E21" s="9">
        <v>124.2</v>
      </c>
      <c r="F21" s="9">
        <v>85.8</v>
      </c>
      <c r="G21" s="18">
        <f t="shared" si="0"/>
        <v>0.690821256038647</v>
      </c>
      <c r="H21" s="54">
        <f t="shared" si="1"/>
        <v>1.79487179487179</v>
      </c>
      <c r="I21" s="9">
        <v>9</v>
      </c>
      <c r="J21" s="9">
        <v>10.4</v>
      </c>
      <c r="K21" s="18">
        <f t="shared" si="2"/>
        <v>0.0668647845468053</v>
      </c>
      <c r="L21" s="9">
        <v>20.2</v>
      </c>
      <c r="M21" s="9">
        <v>14.4</v>
      </c>
      <c r="N21" s="18">
        <f t="shared" si="3"/>
        <v>0.145743145743146</v>
      </c>
      <c r="O21" s="9">
        <v>14.2</v>
      </c>
      <c r="P21" s="9">
        <v>34</v>
      </c>
      <c r="Q21" s="18">
        <f t="shared" si="4"/>
        <v>0.0897597977243995</v>
      </c>
      <c r="R21" s="9">
        <v>62.6</v>
      </c>
      <c r="S21" s="18">
        <f t="shared" si="5"/>
        <v>0.50402576489533</v>
      </c>
      <c r="T21" s="9">
        <v>14.6</v>
      </c>
      <c r="U21" s="18">
        <f t="shared" si="6"/>
        <v>0.233226837060703</v>
      </c>
      <c r="V21" s="9">
        <v>13</v>
      </c>
      <c r="W21" s="9">
        <v>0</v>
      </c>
      <c r="X21" s="18">
        <f t="shared" si="7"/>
        <v>0.104669887278583</v>
      </c>
      <c r="Y21" s="9">
        <v>20.4</v>
      </c>
      <c r="Z21" s="9">
        <v>4.2</v>
      </c>
      <c r="AA21" s="63">
        <f t="shared" si="13"/>
        <v>0.164251207729469</v>
      </c>
    </row>
    <row r="22" ht="16" hidden="1" customHeight="1" spans="1:27">
      <c r="A22" s="1" t="s">
        <v>41</v>
      </c>
      <c r="B22" s="7" t="s">
        <v>36</v>
      </c>
      <c r="C22" s="9"/>
      <c r="D22" s="9">
        <f>D20+D21</f>
        <v>221.6</v>
      </c>
      <c r="E22" s="9">
        <f>E20+E21</f>
        <v>259.2</v>
      </c>
      <c r="F22" s="9">
        <f>F20+F21</f>
        <v>155.8</v>
      </c>
      <c r="G22" s="18">
        <f t="shared" si="0"/>
        <v>0.60108024691358</v>
      </c>
      <c r="H22" s="54">
        <f t="shared" si="1"/>
        <v>1.71373555840822</v>
      </c>
      <c r="I22" s="9">
        <f>I20+I21</f>
        <v>17.2</v>
      </c>
      <c r="J22" s="9">
        <f>J20+J21</f>
        <v>16.8</v>
      </c>
      <c r="K22" s="18">
        <f t="shared" si="2"/>
        <v>0.0623188405797101</v>
      </c>
      <c r="L22" s="9">
        <f>L20+L21</f>
        <v>29.2</v>
      </c>
      <c r="M22" s="9">
        <f>M20+M21</f>
        <v>21.4</v>
      </c>
      <c r="N22" s="18">
        <f t="shared" si="3"/>
        <v>0.104062722736992</v>
      </c>
      <c r="O22" s="9">
        <f>O20+O21</f>
        <v>30.6</v>
      </c>
      <c r="P22" s="9">
        <f>P20+P21</f>
        <v>69.2</v>
      </c>
      <c r="Q22" s="18">
        <f t="shared" si="4"/>
        <v>0.0931790499390987</v>
      </c>
      <c r="R22" s="9">
        <f>R20+R21</f>
        <v>107.6</v>
      </c>
      <c r="S22" s="18">
        <f t="shared" si="5"/>
        <v>0.415123456790123</v>
      </c>
      <c r="T22" s="9">
        <f>T20+T21</f>
        <v>19.4</v>
      </c>
      <c r="U22" s="18">
        <f t="shared" si="6"/>
        <v>0.180297397769517</v>
      </c>
      <c r="V22" s="9">
        <f>V20+V21</f>
        <v>19.2</v>
      </c>
      <c r="W22" s="9">
        <f>W20+W21</f>
        <v>0.2</v>
      </c>
      <c r="X22" s="18">
        <f t="shared" si="7"/>
        <v>0.0740169622205089</v>
      </c>
      <c r="Y22" s="9">
        <f>Y20+Y21</f>
        <v>43.8</v>
      </c>
      <c r="Z22" s="9">
        <f>Z20+Z21</f>
        <v>7.6</v>
      </c>
      <c r="AA22" s="63">
        <f>Y22/(E22+Z22)</f>
        <v>0.164167916041979</v>
      </c>
    </row>
    <row r="23" ht="16" hidden="1" customHeight="1" spans="1:27">
      <c r="A23" s="1" t="s">
        <v>42</v>
      </c>
      <c r="B23" s="7" t="s">
        <v>33</v>
      </c>
      <c r="C23" s="9"/>
      <c r="D23" s="9">
        <v>122.8</v>
      </c>
      <c r="E23" s="9">
        <v>116.6</v>
      </c>
      <c r="F23" s="9">
        <v>63</v>
      </c>
      <c r="G23" s="18">
        <f t="shared" si="0"/>
        <v>0.540308747855918</v>
      </c>
      <c r="H23" s="54">
        <f t="shared" si="1"/>
        <v>1.74603174603175</v>
      </c>
      <c r="I23" s="9">
        <v>5</v>
      </c>
      <c r="J23" s="9">
        <v>8</v>
      </c>
      <c r="K23" s="18">
        <f t="shared" si="2"/>
        <v>0.0401284109149278</v>
      </c>
      <c r="L23" s="9">
        <v>6</v>
      </c>
      <c r="M23" s="9">
        <v>4.4</v>
      </c>
      <c r="N23" s="18">
        <f t="shared" si="3"/>
        <v>0.0495867768595041</v>
      </c>
      <c r="O23" s="9">
        <v>19.8</v>
      </c>
      <c r="P23" s="9">
        <v>38.4</v>
      </c>
      <c r="Q23" s="18">
        <f t="shared" si="4"/>
        <v>0.127741935483871</v>
      </c>
      <c r="R23" s="9">
        <v>46.2</v>
      </c>
      <c r="S23" s="18">
        <f t="shared" si="5"/>
        <v>0.39622641509434</v>
      </c>
      <c r="T23" s="9">
        <v>6.2</v>
      </c>
      <c r="U23" s="18">
        <f t="shared" si="6"/>
        <v>0.134199134199134</v>
      </c>
      <c r="V23" s="9">
        <v>6.4</v>
      </c>
      <c r="W23" s="9">
        <v>0</v>
      </c>
      <c r="X23" s="18">
        <f t="shared" si="7"/>
        <v>0.0548885077186964</v>
      </c>
      <c r="Y23" s="9">
        <v>20.4</v>
      </c>
      <c r="Z23" s="9">
        <v>4</v>
      </c>
      <c r="AA23" s="63">
        <f t="shared" ref="AA23:AA24" si="14">Y23/E23</f>
        <v>0.174957118353345</v>
      </c>
    </row>
    <row r="24" ht="16" hidden="1" customHeight="1" spans="1:27">
      <c r="A24" s="1" t="s">
        <v>42</v>
      </c>
      <c r="B24" s="7" t="s">
        <v>35</v>
      </c>
      <c r="C24" s="9"/>
      <c r="D24" s="9">
        <v>98</v>
      </c>
      <c r="E24" s="9">
        <v>114.2</v>
      </c>
      <c r="F24" s="9">
        <v>81.6</v>
      </c>
      <c r="G24" s="18">
        <f t="shared" si="0"/>
        <v>0.714535901926445</v>
      </c>
      <c r="H24" s="54">
        <f t="shared" si="1"/>
        <v>1.73039215686275</v>
      </c>
      <c r="I24" s="9">
        <v>4.8</v>
      </c>
      <c r="J24" s="9">
        <v>9</v>
      </c>
      <c r="K24" s="18">
        <f t="shared" si="2"/>
        <v>0.038961038961039</v>
      </c>
      <c r="L24" s="9">
        <v>25.4</v>
      </c>
      <c r="M24" s="9">
        <v>14.4</v>
      </c>
      <c r="N24" s="18">
        <f t="shared" si="3"/>
        <v>0.19751166407465</v>
      </c>
      <c r="O24" s="9">
        <v>10.8</v>
      </c>
      <c r="P24" s="9">
        <v>32.8</v>
      </c>
      <c r="Q24" s="18">
        <f t="shared" si="4"/>
        <v>0.073469387755102</v>
      </c>
      <c r="R24" s="9">
        <v>53</v>
      </c>
      <c r="S24" s="18">
        <f t="shared" si="5"/>
        <v>0.464098073555166</v>
      </c>
      <c r="T24" s="9">
        <v>13.6</v>
      </c>
      <c r="U24" s="18">
        <f t="shared" si="6"/>
        <v>0.256603773584906</v>
      </c>
      <c r="V24" s="9">
        <v>13.4</v>
      </c>
      <c r="W24" s="9">
        <v>0.2</v>
      </c>
      <c r="X24" s="18">
        <f t="shared" si="7"/>
        <v>0.117132867132867</v>
      </c>
      <c r="Y24" s="9">
        <v>20.2</v>
      </c>
      <c r="Z24" s="9">
        <v>3</v>
      </c>
      <c r="AA24" s="63">
        <f t="shared" si="14"/>
        <v>0.176882661996497</v>
      </c>
    </row>
    <row r="25" ht="16" hidden="1" customHeight="1" spans="1:27">
      <c r="A25" s="1" t="s">
        <v>42</v>
      </c>
      <c r="B25" s="7" t="s">
        <v>36</v>
      </c>
      <c r="C25" s="9"/>
      <c r="D25" s="9">
        <f>D23+D24</f>
        <v>220.8</v>
      </c>
      <c r="E25" s="9">
        <f>E23+E24</f>
        <v>230.8</v>
      </c>
      <c r="F25" s="9">
        <f>F23+F24</f>
        <v>144.6</v>
      </c>
      <c r="G25" s="18">
        <f t="shared" si="0"/>
        <v>0.626516464471404</v>
      </c>
      <c r="H25" s="54">
        <f t="shared" si="1"/>
        <v>1.7372060857538</v>
      </c>
      <c r="I25" s="9">
        <f>I23+I24</f>
        <v>9.8</v>
      </c>
      <c r="J25" s="9">
        <f>J23+J24</f>
        <v>17</v>
      </c>
      <c r="K25" s="18">
        <f t="shared" si="2"/>
        <v>0.0395480225988701</v>
      </c>
      <c r="L25" s="9">
        <f>L23+L24</f>
        <v>31.4</v>
      </c>
      <c r="M25" s="9">
        <f>M23+M24</f>
        <v>18.8</v>
      </c>
      <c r="N25" s="18">
        <f t="shared" si="3"/>
        <v>0.125801282051282</v>
      </c>
      <c r="O25" s="9">
        <f>O23+O24</f>
        <v>30.6</v>
      </c>
      <c r="P25" s="9">
        <f>P23+P24</f>
        <v>71.2</v>
      </c>
      <c r="Q25" s="18">
        <f t="shared" si="4"/>
        <v>0.101324503311258</v>
      </c>
      <c r="R25" s="9">
        <f>R23+R24</f>
        <v>99.2</v>
      </c>
      <c r="S25" s="18">
        <f t="shared" si="5"/>
        <v>0.429809358752166</v>
      </c>
      <c r="T25" s="9">
        <f>T23+T24</f>
        <v>19.8</v>
      </c>
      <c r="U25" s="18">
        <f t="shared" si="6"/>
        <v>0.199596774193548</v>
      </c>
      <c r="V25" s="9">
        <f>V23+V24</f>
        <v>19.8</v>
      </c>
      <c r="W25" s="9">
        <f>W23+W24</f>
        <v>0.2</v>
      </c>
      <c r="X25" s="18">
        <f t="shared" si="7"/>
        <v>0.0857142857142857</v>
      </c>
      <c r="Y25" s="9">
        <f>Y23+Y24</f>
        <v>40.6</v>
      </c>
      <c r="Z25" s="9">
        <f>Z23+Z24</f>
        <v>7</v>
      </c>
      <c r="AA25" s="63">
        <f>Y25/(E25+Z25)</f>
        <v>0.170731707317073</v>
      </c>
    </row>
    <row r="26" ht="16" hidden="1" customHeight="1" spans="1:27">
      <c r="A26" s="1" t="s">
        <v>43</v>
      </c>
      <c r="B26" s="7" t="s">
        <v>33</v>
      </c>
      <c r="C26" s="9"/>
      <c r="D26" s="9">
        <v>109.2</v>
      </c>
      <c r="E26" s="9">
        <v>137.8</v>
      </c>
      <c r="F26" s="9">
        <v>74.4</v>
      </c>
      <c r="G26" s="18">
        <f t="shared" si="0"/>
        <v>0.539912917271408</v>
      </c>
      <c r="H26" s="54">
        <f t="shared" si="1"/>
        <v>1.61021505376344</v>
      </c>
      <c r="I26" s="9">
        <v>6.4</v>
      </c>
      <c r="J26" s="9">
        <v>9.6</v>
      </c>
      <c r="K26" s="18">
        <f t="shared" si="2"/>
        <v>0.0434192672998643</v>
      </c>
      <c r="L26" s="9">
        <v>9.8</v>
      </c>
      <c r="M26" s="9">
        <v>7.6</v>
      </c>
      <c r="N26" s="18">
        <f t="shared" si="3"/>
        <v>0.0674002751031637</v>
      </c>
      <c r="O26" s="9">
        <v>15.4</v>
      </c>
      <c r="P26" s="9">
        <v>37.6</v>
      </c>
      <c r="Q26" s="18">
        <f t="shared" si="4"/>
        <v>0.0877993158494869</v>
      </c>
      <c r="R26" s="9">
        <v>48</v>
      </c>
      <c r="S26" s="18">
        <f t="shared" si="5"/>
        <v>0.34833091436865</v>
      </c>
      <c r="T26" s="9">
        <v>7.8</v>
      </c>
      <c r="U26" s="18">
        <f t="shared" si="6"/>
        <v>0.1625</v>
      </c>
      <c r="V26" s="9">
        <v>4.4</v>
      </c>
      <c r="W26" s="9">
        <v>0</v>
      </c>
      <c r="X26" s="18">
        <f t="shared" si="7"/>
        <v>0.0319303338171263</v>
      </c>
      <c r="Y26" s="9">
        <v>28</v>
      </c>
      <c r="Z26" s="9">
        <v>5.2</v>
      </c>
      <c r="AA26" s="63">
        <f t="shared" ref="AA26:AA27" si="15">Y26/E26</f>
        <v>0.203193033381713</v>
      </c>
    </row>
    <row r="27" ht="16" hidden="1" customHeight="1" spans="1:27">
      <c r="A27" s="1" t="s">
        <v>43</v>
      </c>
      <c r="B27" s="7" t="s">
        <v>35</v>
      </c>
      <c r="C27" s="9"/>
      <c r="D27" s="9">
        <v>105.8</v>
      </c>
      <c r="E27" s="9">
        <v>105.2</v>
      </c>
      <c r="F27" s="9">
        <v>73.6</v>
      </c>
      <c r="G27" s="18">
        <f t="shared" si="0"/>
        <v>0.699619771863118</v>
      </c>
      <c r="H27" s="54">
        <f t="shared" si="1"/>
        <v>1.69565217391304</v>
      </c>
      <c r="I27" s="9">
        <v>6.4</v>
      </c>
      <c r="J27" s="9">
        <v>8.2</v>
      </c>
      <c r="K27" s="18">
        <f t="shared" si="2"/>
        <v>0.0564373897707231</v>
      </c>
      <c r="L27" s="9">
        <v>19.6</v>
      </c>
      <c r="M27" s="9">
        <v>13.4</v>
      </c>
      <c r="N27" s="18">
        <f t="shared" si="3"/>
        <v>0.165261382799325</v>
      </c>
      <c r="O27" s="9">
        <v>11.6</v>
      </c>
      <c r="P27" s="9">
        <v>29.6</v>
      </c>
      <c r="Q27" s="18">
        <f t="shared" si="4"/>
        <v>0.086053412462908</v>
      </c>
      <c r="R27" s="9">
        <v>50.8</v>
      </c>
      <c r="S27" s="18">
        <f t="shared" si="5"/>
        <v>0.482889733840304</v>
      </c>
      <c r="T27" s="9">
        <v>11.6</v>
      </c>
      <c r="U27" s="18">
        <f t="shared" si="6"/>
        <v>0.228346456692913</v>
      </c>
      <c r="V27" s="9">
        <v>8</v>
      </c>
      <c r="W27" s="9">
        <v>0</v>
      </c>
      <c r="X27" s="18">
        <f t="shared" si="7"/>
        <v>0.0760456273764259</v>
      </c>
      <c r="Y27" s="9">
        <v>16.8</v>
      </c>
      <c r="Z27" s="9">
        <v>3.2</v>
      </c>
      <c r="AA27" s="63">
        <f t="shared" si="15"/>
        <v>0.159695817490494</v>
      </c>
    </row>
    <row r="28" ht="16" hidden="1" customHeight="1" spans="1:27">
      <c r="A28" s="1" t="s">
        <v>43</v>
      </c>
      <c r="B28" s="7" t="s">
        <v>36</v>
      </c>
      <c r="C28" s="9"/>
      <c r="D28" s="9">
        <f>D26+D27</f>
        <v>215</v>
      </c>
      <c r="E28" s="9">
        <f>E26+E27</f>
        <v>243</v>
      </c>
      <c r="F28" s="9">
        <f>F26+F27</f>
        <v>148</v>
      </c>
      <c r="G28" s="18">
        <f t="shared" si="0"/>
        <v>0.609053497942387</v>
      </c>
      <c r="H28" s="54">
        <f t="shared" si="1"/>
        <v>1.6527027027027</v>
      </c>
      <c r="I28" s="9">
        <f>I26+I27</f>
        <v>12.8</v>
      </c>
      <c r="J28" s="9">
        <f>J26+J27</f>
        <v>17.8</v>
      </c>
      <c r="K28" s="18">
        <f t="shared" si="2"/>
        <v>0.049079754601227</v>
      </c>
      <c r="L28" s="9">
        <f>L26+L27</f>
        <v>29.4</v>
      </c>
      <c r="M28" s="9">
        <f>M26+M27</f>
        <v>21</v>
      </c>
      <c r="N28" s="18">
        <f t="shared" si="3"/>
        <v>0.111363636363636</v>
      </c>
      <c r="O28" s="9">
        <f>O26+O27</f>
        <v>27</v>
      </c>
      <c r="P28" s="9">
        <f>P26+P27</f>
        <v>67.2</v>
      </c>
      <c r="Q28" s="18">
        <f t="shared" si="4"/>
        <v>0.0870406189555126</v>
      </c>
      <c r="R28" s="9">
        <f>R26+R27</f>
        <v>98.8</v>
      </c>
      <c r="S28" s="18">
        <f t="shared" si="5"/>
        <v>0.406584362139918</v>
      </c>
      <c r="T28" s="9">
        <f>T26+T27</f>
        <v>19.4</v>
      </c>
      <c r="U28" s="18">
        <f t="shared" si="6"/>
        <v>0.196356275303644</v>
      </c>
      <c r="V28" s="9">
        <f>V26+V27</f>
        <v>12.4</v>
      </c>
      <c r="W28" s="9">
        <f>W26+W27</f>
        <v>0</v>
      </c>
      <c r="X28" s="18">
        <f t="shared" si="7"/>
        <v>0.0510288065843621</v>
      </c>
      <c r="Y28" s="9">
        <f>Y26+Y27</f>
        <v>44.8</v>
      </c>
      <c r="Z28" s="9">
        <f>Z26+Z27</f>
        <v>8.4</v>
      </c>
      <c r="AA28" s="63">
        <f>Y28/(E28+Z28)</f>
        <v>0.178202068416866</v>
      </c>
    </row>
    <row r="29" ht="16" hidden="1" customHeight="1" spans="1:27">
      <c r="A29" s="1" t="s">
        <v>44</v>
      </c>
      <c r="B29" s="7" t="s">
        <v>33</v>
      </c>
      <c r="C29" s="9"/>
      <c r="D29" s="9">
        <v>121.4</v>
      </c>
      <c r="E29" s="9">
        <v>131.4</v>
      </c>
      <c r="F29" s="9">
        <v>77.2</v>
      </c>
      <c r="G29" s="18">
        <f t="shared" si="0"/>
        <v>0.58751902587519</v>
      </c>
      <c r="H29" s="54">
        <f t="shared" si="1"/>
        <v>1.60362694300518</v>
      </c>
      <c r="I29" s="9">
        <v>7.4</v>
      </c>
      <c r="J29" s="9">
        <v>7.8</v>
      </c>
      <c r="K29" s="18">
        <f t="shared" si="2"/>
        <v>0.0531609195402299</v>
      </c>
      <c r="L29" s="9">
        <v>9.8</v>
      </c>
      <c r="M29" s="9">
        <v>7.4</v>
      </c>
      <c r="N29" s="18">
        <f t="shared" si="3"/>
        <v>0.0706051873198847</v>
      </c>
      <c r="O29" s="9">
        <v>20</v>
      </c>
      <c r="P29" s="9">
        <v>45.8</v>
      </c>
      <c r="Q29" s="18">
        <f t="shared" si="4"/>
        <v>0.112866817155756</v>
      </c>
      <c r="R29" s="9">
        <v>52.6</v>
      </c>
      <c r="S29" s="18">
        <f t="shared" si="5"/>
        <v>0.400304414003044</v>
      </c>
      <c r="T29" s="9">
        <v>7.4</v>
      </c>
      <c r="U29" s="18">
        <f t="shared" si="6"/>
        <v>0.140684410646388</v>
      </c>
      <c r="V29" s="9">
        <v>5.4</v>
      </c>
      <c r="W29" s="9">
        <v>0</v>
      </c>
      <c r="X29" s="18">
        <f t="shared" si="7"/>
        <v>0.0410958904109589</v>
      </c>
      <c r="Y29" s="9">
        <v>21.2</v>
      </c>
      <c r="Z29" s="9">
        <v>3.2</v>
      </c>
      <c r="AA29" s="63">
        <f t="shared" ref="AA29:AA30" si="16">Y29/E29</f>
        <v>0.161339421613394</v>
      </c>
    </row>
    <row r="30" ht="16" hidden="1" customHeight="1" spans="1:27">
      <c r="A30" s="1" t="s">
        <v>44</v>
      </c>
      <c r="B30" s="7" t="s">
        <v>35</v>
      </c>
      <c r="C30" s="9"/>
      <c r="D30" s="9">
        <v>116.8</v>
      </c>
      <c r="E30" s="9">
        <v>119.2</v>
      </c>
      <c r="F30" s="9">
        <v>80.2</v>
      </c>
      <c r="G30" s="18">
        <f t="shared" si="0"/>
        <v>0.672818791946309</v>
      </c>
      <c r="H30" s="54">
        <f t="shared" si="1"/>
        <v>1.80548628428928</v>
      </c>
      <c r="I30" s="9">
        <v>5.4</v>
      </c>
      <c r="J30" s="9">
        <v>9</v>
      </c>
      <c r="K30" s="18">
        <f t="shared" si="2"/>
        <v>0.0421216848673947</v>
      </c>
      <c r="L30" s="9">
        <v>21.6</v>
      </c>
      <c r="M30" s="9">
        <v>14.2</v>
      </c>
      <c r="N30" s="18">
        <f t="shared" si="3"/>
        <v>0.16191904047976</v>
      </c>
      <c r="O30" s="9">
        <v>10.2</v>
      </c>
      <c r="P30" s="9">
        <v>31.4</v>
      </c>
      <c r="Q30" s="18">
        <f t="shared" si="4"/>
        <v>0.0677290836653386</v>
      </c>
      <c r="R30" s="9">
        <v>55.6</v>
      </c>
      <c r="S30" s="18">
        <f t="shared" si="5"/>
        <v>0.466442953020134</v>
      </c>
      <c r="T30" s="9">
        <v>13.6</v>
      </c>
      <c r="U30" s="18">
        <f t="shared" si="6"/>
        <v>0.244604316546763</v>
      </c>
      <c r="V30" s="9">
        <v>15</v>
      </c>
      <c r="W30" s="9">
        <v>0</v>
      </c>
      <c r="X30" s="18">
        <f t="shared" si="7"/>
        <v>0.125838926174497</v>
      </c>
      <c r="Y30" s="9">
        <v>23.4</v>
      </c>
      <c r="Z30" s="9">
        <v>4</v>
      </c>
      <c r="AA30" s="63">
        <f t="shared" si="16"/>
        <v>0.196308724832215</v>
      </c>
    </row>
    <row r="31" ht="16" hidden="1" customHeight="1" spans="1:27">
      <c r="A31" s="1" t="s">
        <v>44</v>
      </c>
      <c r="B31" s="7" t="s">
        <v>36</v>
      </c>
      <c r="C31" s="9"/>
      <c r="D31" s="9">
        <f>D29+D30</f>
        <v>238.2</v>
      </c>
      <c r="E31" s="9">
        <f>E29+E30</f>
        <v>250.6</v>
      </c>
      <c r="F31" s="9">
        <f>F29+F30</f>
        <v>157.4</v>
      </c>
      <c r="G31" s="18">
        <f t="shared" si="0"/>
        <v>0.628092577813248</v>
      </c>
      <c r="H31" s="54">
        <f t="shared" si="1"/>
        <v>1.70648030495553</v>
      </c>
      <c r="I31" s="9">
        <f>I29+I30</f>
        <v>12.8</v>
      </c>
      <c r="J31" s="9">
        <f>J29+J30</f>
        <v>16.8</v>
      </c>
      <c r="K31" s="18">
        <f t="shared" si="2"/>
        <v>0.0478683620044877</v>
      </c>
      <c r="L31" s="9">
        <f>L29+L30</f>
        <v>31.4</v>
      </c>
      <c r="M31" s="9">
        <f>M29+M30</f>
        <v>21.6</v>
      </c>
      <c r="N31" s="18">
        <f t="shared" si="3"/>
        <v>0.115356355620867</v>
      </c>
      <c r="O31" s="9">
        <f>O29+O30</f>
        <v>30.2</v>
      </c>
      <c r="P31" s="9">
        <f>P29+P30</f>
        <v>77.2</v>
      </c>
      <c r="Q31" s="18">
        <f t="shared" si="4"/>
        <v>0.0921293471629042</v>
      </c>
      <c r="R31" s="9">
        <f>R29+R30</f>
        <v>108.2</v>
      </c>
      <c r="S31" s="18">
        <f t="shared" si="5"/>
        <v>0.431763766959298</v>
      </c>
      <c r="T31" s="9">
        <f>T29+T30</f>
        <v>21</v>
      </c>
      <c r="U31" s="18">
        <f t="shared" si="6"/>
        <v>0.194085027726433</v>
      </c>
      <c r="V31" s="9">
        <f>V29+V30</f>
        <v>20.4</v>
      </c>
      <c r="W31" s="9">
        <f>W29+W30</f>
        <v>0</v>
      </c>
      <c r="X31" s="18">
        <f t="shared" si="7"/>
        <v>0.0814046288906624</v>
      </c>
      <c r="Y31" s="9">
        <f>Y29+Y30</f>
        <v>44.6</v>
      </c>
      <c r="Z31" s="9">
        <f>Z29+Z30</f>
        <v>7.2</v>
      </c>
      <c r="AA31" s="63">
        <f>Y31/(E31+Z31)</f>
        <v>0.17300232738557</v>
      </c>
    </row>
    <row r="32" ht="16" hidden="1" customHeight="1" spans="1:27">
      <c r="A32" s="1" t="s">
        <v>45</v>
      </c>
      <c r="B32" s="7" t="s">
        <v>33</v>
      </c>
      <c r="C32" s="9"/>
      <c r="D32" s="9">
        <v>110.2</v>
      </c>
      <c r="E32" s="9">
        <v>134.8</v>
      </c>
      <c r="F32" s="9">
        <v>70.6</v>
      </c>
      <c r="G32" s="18">
        <f t="shared" si="0"/>
        <v>0.523738872403561</v>
      </c>
      <c r="H32" s="54">
        <f t="shared" si="1"/>
        <v>1.59773371104816</v>
      </c>
      <c r="I32" s="9">
        <v>5.2</v>
      </c>
      <c r="J32" s="9">
        <v>8.2</v>
      </c>
      <c r="K32" s="18">
        <f t="shared" si="2"/>
        <v>0.0363636363636364</v>
      </c>
      <c r="L32" s="9">
        <v>8.2</v>
      </c>
      <c r="M32" s="9">
        <v>5.8</v>
      </c>
      <c r="N32" s="18">
        <f t="shared" si="3"/>
        <v>0.0583214793741109</v>
      </c>
      <c r="O32" s="9">
        <v>20.2</v>
      </c>
      <c r="P32" s="9">
        <v>39.4</v>
      </c>
      <c r="Q32" s="18">
        <f t="shared" si="4"/>
        <v>0.115958668197474</v>
      </c>
      <c r="R32" s="9">
        <v>47.8</v>
      </c>
      <c r="S32" s="18">
        <f t="shared" si="5"/>
        <v>0.35459940652819</v>
      </c>
      <c r="T32" s="9">
        <v>7</v>
      </c>
      <c r="U32" s="18">
        <f t="shared" si="6"/>
        <v>0.146443514644351</v>
      </c>
      <c r="V32" s="9">
        <v>4.8</v>
      </c>
      <c r="W32" s="9">
        <v>0</v>
      </c>
      <c r="X32" s="18">
        <f t="shared" si="7"/>
        <v>0.0356083086053412</v>
      </c>
      <c r="Y32" s="9">
        <v>19.6</v>
      </c>
      <c r="Z32" s="9">
        <v>3.2</v>
      </c>
      <c r="AA32" s="63">
        <f t="shared" ref="AA32:AA33" si="17">Y32/E32</f>
        <v>0.14540059347181</v>
      </c>
    </row>
    <row r="33" ht="16" hidden="1" customHeight="1" spans="1:27">
      <c r="A33" s="1" t="s">
        <v>45</v>
      </c>
      <c r="B33" s="7" t="s">
        <v>35</v>
      </c>
      <c r="C33" s="9"/>
      <c r="D33" s="9">
        <v>89.2</v>
      </c>
      <c r="E33" s="9">
        <v>124.8</v>
      </c>
      <c r="F33" s="9">
        <v>83.4</v>
      </c>
      <c r="G33" s="18">
        <f t="shared" si="0"/>
        <v>0.668269230769231</v>
      </c>
      <c r="H33" s="54">
        <f t="shared" si="1"/>
        <v>1.74820143884892</v>
      </c>
      <c r="I33" s="9">
        <v>6</v>
      </c>
      <c r="J33" s="9">
        <v>10.6</v>
      </c>
      <c r="K33" s="18">
        <f t="shared" si="2"/>
        <v>0.0443131462333826</v>
      </c>
      <c r="L33" s="9">
        <v>25.8</v>
      </c>
      <c r="M33" s="9">
        <v>19.2</v>
      </c>
      <c r="N33" s="18">
        <f t="shared" si="3"/>
        <v>0.179166666666667</v>
      </c>
      <c r="O33" s="9">
        <v>13.6</v>
      </c>
      <c r="P33" s="9">
        <v>31</v>
      </c>
      <c r="Q33" s="18">
        <f t="shared" si="4"/>
        <v>0.0872913992297818</v>
      </c>
      <c r="R33" s="9">
        <v>53.8</v>
      </c>
      <c r="S33" s="18">
        <f t="shared" si="5"/>
        <v>0.431089743589744</v>
      </c>
      <c r="T33" s="9">
        <v>15.8</v>
      </c>
      <c r="U33" s="18">
        <f t="shared" si="6"/>
        <v>0.29368029739777</v>
      </c>
      <c r="V33" s="9">
        <v>11.4</v>
      </c>
      <c r="W33" s="9">
        <v>0.4</v>
      </c>
      <c r="X33" s="18">
        <f t="shared" si="7"/>
        <v>0.0910543130990415</v>
      </c>
      <c r="Y33" s="9">
        <v>19.4</v>
      </c>
      <c r="Z33" s="9">
        <v>3</v>
      </c>
      <c r="AA33" s="63">
        <f t="shared" si="17"/>
        <v>0.155448717948718</v>
      </c>
    </row>
    <row r="34" ht="16" hidden="1" customHeight="1" spans="1:27">
      <c r="A34" s="1" t="s">
        <v>45</v>
      </c>
      <c r="B34" s="7" t="s">
        <v>36</v>
      </c>
      <c r="C34" s="9"/>
      <c r="D34" s="9">
        <f>D32+D33</f>
        <v>199.4</v>
      </c>
      <c r="E34" s="9">
        <f>E32+E33</f>
        <v>259.6</v>
      </c>
      <c r="F34" s="9">
        <f>F32+F33</f>
        <v>154</v>
      </c>
      <c r="G34" s="18">
        <f t="shared" si="0"/>
        <v>0.593220338983051</v>
      </c>
      <c r="H34" s="54">
        <f t="shared" si="1"/>
        <v>1.67922077922078</v>
      </c>
      <c r="I34" s="9">
        <f>I32+I33</f>
        <v>11.2</v>
      </c>
      <c r="J34" s="9">
        <f>J32+J33</f>
        <v>18.8</v>
      </c>
      <c r="K34" s="18">
        <f t="shared" si="2"/>
        <v>0.0402298850574713</v>
      </c>
      <c r="L34" s="9">
        <f>L32+L33</f>
        <v>34</v>
      </c>
      <c r="M34" s="9">
        <f>M32+M33</f>
        <v>25</v>
      </c>
      <c r="N34" s="18">
        <f t="shared" si="3"/>
        <v>0.119465917076599</v>
      </c>
      <c r="O34" s="9">
        <f>O32+O33</f>
        <v>33.8</v>
      </c>
      <c r="P34" s="9">
        <f>P32+P33</f>
        <v>70.4</v>
      </c>
      <c r="Q34" s="18">
        <f t="shared" si="4"/>
        <v>0.102424242424242</v>
      </c>
      <c r="R34" s="9">
        <f>R32+R33</f>
        <v>101.6</v>
      </c>
      <c r="S34" s="18">
        <f t="shared" si="5"/>
        <v>0.391371340523883</v>
      </c>
      <c r="T34" s="9">
        <f>T32+T33</f>
        <v>22.8</v>
      </c>
      <c r="U34" s="18">
        <f t="shared" si="6"/>
        <v>0.224409448818898</v>
      </c>
      <c r="V34" s="9">
        <f>V32+V33</f>
        <v>16.2</v>
      </c>
      <c r="W34" s="9">
        <f>W32+W33</f>
        <v>0.4</v>
      </c>
      <c r="X34" s="18">
        <f t="shared" si="7"/>
        <v>0.0623076923076923</v>
      </c>
      <c r="Y34" s="9">
        <f>Y32+Y33</f>
        <v>39</v>
      </c>
      <c r="Z34" s="9">
        <f>Z32+Z33</f>
        <v>6.2</v>
      </c>
      <c r="AA34" s="63">
        <f>Y34/(E34+Z34)</f>
        <v>0.146726862302483</v>
      </c>
    </row>
    <row r="35" ht="16" hidden="1" customHeight="1" spans="1:27">
      <c r="A35" s="1" t="s">
        <v>46</v>
      </c>
      <c r="B35" s="7" t="s">
        <v>33</v>
      </c>
      <c r="C35" s="9"/>
      <c r="D35" s="9">
        <v>128.4</v>
      </c>
      <c r="E35" s="9">
        <v>176.4</v>
      </c>
      <c r="F35" s="9">
        <v>101.4</v>
      </c>
      <c r="G35" s="18">
        <f t="shared" si="0"/>
        <v>0.574829931972789</v>
      </c>
      <c r="H35" s="54">
        <f t="shared" si="1"/>
        <v>1.55621301775148</v>
      </c>
      <c r="I35" s="9">
        <v>11.4</v>
      </c>
      <c r="J35" s="9">
        <v>12.2</v>
      </c>
      <c r="K35" s="18">
        <f t="shared" si="2"/>
        <v>0.0604453870625663</v>
      </c>
      <c r="L35" s="9">
        <v>11</v>
      </c>
      <c r="M35" s="9">
        <v>9</v>
      </c>
      <c r="N35" s="18">
        <f t="shared" si="3"/>
        <v>0.0593311758360302</v>
      </c>
      <c r="O35" s="9">
        <v>28</v>
      </c>
      <c r="P35" s="9">
        <v>56.2</v>
      </c>
      <c r="Q35" s="18">
        <f t="shared" si="4"/>
        <v>0.120378331900258</v>
      </c>
      <c r="R35" s="9">
        <v>66.2</v>
      </c>
      <c r="S35" s="18">
        <f t="shared" si="5"/>
        <v>0.375283446712018</v>
      </c>
      <c r="T35" s="9">
        <v>7.6</v>
      </c>
      <c r="U35" s="18">
        <f t="shared" si="6"/>
        <v>0.114803625377643</v>
      </c>
      <c r="V35" s="9">
        <v>4.6</v>
      </c>
      <c r="W35" s="9">
        <v>0</v>
      </c>
      <c r="X35" s="18">
        <f t="shared" si="7"/>
        <v>0.0260770975056689</v>
      </c>
      <c r="Y35" s="9">
        <v>29</v>
      </c>
      <c r="Z35" s="9">
        <v>4.6</v>
      </c>
      <c r="AA35" s="63">
        <f t="shared" ref="AA35:AA36" si="18">Y35/E35</f>
        <v>0.164399092970522</v>
      </c>
    </row>
    <row r="36" ht="16" hidden="1" customHeight="1" spans="1:27">
      <c r="A36" s="1" t="s">
        <v>46</v>
      </c>
      <c r="B36" s="7" t="s">
        <v>35</v>
      </c>
      <c r="C36" s="9"/>
      <c r="D36" s="9">
        <v>129.6</v>
      </c>
      <c r="E36" s="9">
        <v>133.8</v>
      </c>
      <c r="F36" s="9">
        <v>94.4</v>
      </c>
      <c r="G36" s="18">
        <f t="shared" si="0"/>
        <v>0.705530642750374</v>
      </c>
      <c r="H36" s="54">
        <f t="shared" si="1"/>
        <v>1.78813559322034</v>
      </c>
      <c r="I36" s="9">
        <v>9.4</v>
      </c>
      <c r="J36" s="9">
        <v>11.8</v>
      </c>
      <c r="K36" s="18">
        <f t="shared" si="2"/>
        <v>0.0645604395604396</v>
      </c>
      <c r="L36" s="9">
        <v>31</v>
      </c>
      <c r="M36" s="9">
        <v>22.6</v>
      </c>
      <c r="N36" s="18">
        <f t="shared" si="3"/>
        <v>0.198209718670077</v>
      </c>
      <c r="O36" s="9">
        <v>14.8</v>
      </c>
      <c r="P36" s="9">
        <v>36.6</v>
      </c>
      <c r="Q36" s="18">
        <f t="shared" si="4"/>
        <v>0.0868544600938967</v>
      </c>
      <c r="R36" s="9">
        <v>59.4</v>
      </c>
      <c r="S36" s="18">
        <f t="shared" si="5"/>
        <v>0.443946188340807</v>
      </c>
      <c r="T36" s="9">
        <v>18.2</v>
      </c>
      <c r="U36" s="18">
        <f t="shared" si="6"/>
        <v>0.306397306397306</v>
      </c>
      <c r="V36" s="9">
        <v>11</v>
      </c>
      <c r="W36" s="9">
        <v>0.4</v>
      </c>
      <c r="X36" s="18">
        <f t="shared" si="7"/>
        <v>0.0819672131147541</v>
      </c>
      <c r="Y36" s="9">
        <v>25</v>
      </c>
      <c r="Z36" s="9">
        <v>4</v>
      </c>
      <c r="AA36" s="63">
        <f t="shared" si="18"/>
        <v>0.186846038863976</v>
      </c>
    </row>
    <row r="37" ht="16" hidden="1" customHeight="1" spans="1:27">
      <c r="A37" s="1" t="s">
        <v>46</v>
      </c>
      <c r="B37" s="7" t="s">
        <v>36</v>
      </c>
      <c r="C37" s="9"/>
      <c r="D37" s="9">
        <f>D35+D36</f>
        <v>258</v>
      </c>
      <c r="E37" s="9">
        <f>E35+E36</f>
        <v>310.2</v>
      </c>
      <c r="F37" s="9">
        <f>F35+F36</f>
        <v>195.8</v>
      </c>
      <c r="G37" s="18">
        <f t="shared" si="0"/>
        <v>0.631205673758865</v>
      </c>
      <c r="H37" s="54">
        <f t="shared" si="1"/>
        <v>1.66802860061287</v>
      </c>
      <c r="I37" s="9">
        <f>I35+I36</f>
        <v>20.8</v>
      </c>
      <c r="J37" s="9">
        <f>J35+J36</f>
        <v>24</v>
      </c>
      <c r="K37" s="18">
        <f t="shared" si="2"/>
        <v>0.0622381807301017</v>
      </c>
      <c r="L37" s="9">
        <f>L35+L36</f>
        <v>42</v>
      </c>
      <c r="M37" s="9">
        <f>M35+M36</f>
        <v>31.6</v>
      </c>
      <c r="N37" s="18">
        <f t="shared" si="3"/>
        <v>0.122878876535986</v>
      </c>
      <c r="O37" s="9">
        <f>O35+O36</f>
        <v>42.8</v>
      </c>
      <c r="P37" s="9">
        <f>P35+P36</f>
        <v>92.8</v>
      </c>
      <c r="Q37" s="18">
        <f t="shared" si="4"/>
        <v>0.106203473945409</v>
      </c>
      <c r="R37" s="9">
        <f>R35+R36</f>
        <v>125.6</v>
      </c>
      <c r="S37" s="18">
        <f t="shared" si="5"/>
        <v>0.404900064474532</v>
      </c>
      <c r="T37" s="9">
        <f>T35+T36</f>
        <v>25.8</v>
      </c>
      <c r="U37" s="18">
        <f t="shared" si="6"/>
        <v>0.205414012738853</v>
      </c>
      <c r="V37" s="9">
        <f>V35+V36</f>
        <v>15.6</v>
      </c>
      <c r="W37" s="9">
        <f>W35+W36</f>
        <v>0.4</v>
      </c>
      <c r="X37" s="18">
        <f t="shared" si="7"/>
        <v>0.0502253702511268</v>
      </c>
      <c r="Y37" s="9">
        <f>Y35+Y36</f>
        <v>54</v>
      </c>
      <c r="Z37" s="9">
        <f>Z35+Z36</f>
        <v>8.6</v>
      </c>
      <c r="AA37" s="63">
        <f>Y37/(E37+Z37)</f>
        <v>0.169385194479297</v>
      </c>
    </row>
    <row r="38" ht="16" hidden="1" customHeight="1" spans="1:27">
      <c r="A38" s="1" t="s">
        <v>47</v>
      </c>
      <c r="B38" s="7" t="s">
        <v>33</v>
      </c>
      <c r="C38" s="9"/>
      <c r="D38" s="9">
        <v>171</v>
      </c>
      <c r="E38" s="9">
        <v>182.2</v>
      </c>
      <c r="F38" s="9">
        <v>105</v>
      </c>
      <c r="G38" s="18">
        <f t="shared" si="0"/>
        <v>0.57628979143798</v>
      </c>
      <c r="H38" s="54">
        <f t="shared" si="1"/>
        <v>1.61333333333333</v>
      </c>
      <c r="I38" s="9">
        <v>10</v>
      </c>
      <c r="J38" s="9">
        <v>14</v>
      </c>
      <c r="K38" s="18">
        <f t="shared" si="2"/>
        <v>0.0509683995922528</v>
      </c>
      <c r="L38" s="9">
        <v>14.6</v>
      </c>
      <c r="M38" s="9">
        <v>11.4</v>
      </c>
      <c r="N38" s="18">
        <f t="shared" si="3"/>
        <v>0.0754132231404959</v>
      </c>
      <c r="O38" s="9">
        <v>26.4</v>
      </c>
      <c r="P38" s="9">
        <v>57</v>
      </c>
      <c r="Q38" s="18">
        <f t="shared" si="4"/>
        <v>0.110367892976589</v>
      </c>
      <c r="R38" s="9">
        <v>70</v>
      </c>
      <c r="S38" s="18">
        <f t="shared" si="5"/>
        <v>0.384193194291987</v>
      </c>
      <c r="T38" s="9">
        <v>9.2</v>
      </c>
      <c r="U38" s="18">
        <f t="shared" si="6"/>
        <v>0.131428571428571</v>
      </c>
      <c r="V38" s="9">
        <v>7.6</v>
      </c>
      <c r="W38" s="9">
        <v>0</v>
      </c>
      <c r="X38" s="18">
        <f t="shared" si="7"/>
        <v>0.0417124039517014</v>
      </c>
      <c r="Y38" s="9">
        <v>31.6</v>
      </c>
      <c r="Z38" s="9">
        <v>7.4</v>
      </c>
      <c r="AA38" s="63">
        <f t="shared" ref="AA38:AA39" si="19">Y38/E38</f>
        <v>0.173435784851811</v>
      </c>
    </row>
    <row r="39" ht="16" hidden="1" customHeight="1" spans="1:27">
      <c r="A39" s="1" t="s">
        <v>47</v>
      </c>
      <c r="B39" s="7" t="s">
        <v>35</v>
      </c>
      <c r="C39" s="9"/>
      <c r="D39" s="9">
        <v>146.4</v>
      </c>
      <c r="E39" s="9">
        <v>167.4</v>
      </c>
      <c r="F39" s="9">
        <v>116.4</v>
      </c>
      <c r="G39" s="18">
        <f t="shared" si="0"/>
        <v>0.695340501792115</v>
      </c>
      <c r="H39" s="54">
        <f t="shared" si="1"/>
        <v>1.85910652920962</v>
      </c>
      <c r="I39" s="9">
        <v>11.2</v>
      </c>
      <c r="J39" s="9">
        <v>16.2</v>
      </c>
      <c r="K39" s="18">
        <f t="shared" si="2"/>
        <v>0.0610021786492375</v>
      </c>
      <c r="L39" s="9">
        <v>33.2</v>
      </c>
      <c r="M39" s="9">
        <v>24.8</v>
      </c>
      <c r="N39" s="18">
        <f t="shared" si="3"/>
        <v>0.172736732570239</v>
      </c>
      <c r="O39" s="9">
        <v>16</v>
      </c>
      <c r="P39" s="9">
        <v>42.8</v>
      </c>
      <c r="Q39" s="18">
        <f t="shared" si="4"/>
        <v>0.0761179828734539</v>
      </c>
      <c r="R39" s="9">
        <v>79</v>
      </c>
      <c r="S39" s="18">
        <f t="shared" si="5"/>
        <v>0.471923536439665</v>
      </c>
      <c r="T39" s="9">
        <v>21.2</v>
      </c>
      <c r="U39" s="18">
        <f t="shared" si="6"/>
        <v>0.268354430379747</v>
      </c>
      <c r="V39" s="9">
        <v>14.4</v>
      </c>
      <c r="W39" s="9">
        <v>0</v>
      </c>
      <c r="X39" s="18">
        <f t="shared" si="7"/>
        <v>0.0860215053763441</v>
      </c>
      <c r="Y39" s="9">
        <v>41.4</v>
      </c>
      <c r="Z39" s="9">
        <v>5.6</v>
      </c>
      <c r="AA39" s="63">
        <f t="shared" si="19"/>
        <v>0.247311827956989</v>
      </c>
    </row>
    <row r="40" ht="16" hidden="1" customHeight="1" spans="1:27">
      <c r="A40" s="1" t="s">
        <v>47</v>
      </c>
      <c r="B40" s="7" t="s">
        <v>36</v>
      </c>
      <c r="C40" s="9"/>
      <c r="D40" s="9">
        <f>D38+D39</f>
        <v>317.4</v>
      </c>
      <c r="E40" s="9">
        <f>E38+E39</f>
        <v>349.6</v>
      </c>
      <c r="F40" s="9">
        <f>F38+F39</f>
        <v>221.4</v>
      </c>
      <c r="G40" s="18">
        <f t="shared" si="0"/>
        <v>0.633295194508009</v>
      </c>
      <c r="H40" s="54">
        <f t="shared" si="1"/>
        <v>1.74254742547425</v>
      </c>
      <c r="I40" s="9">
        <f>I38+I39</f>
        <v>21.2</v>
      </c>
      <c r="J40" s="9">
        <f>J38+J39</f>
        <v>30.2</v>
      </c>
      <c r="K40" s="18">
        <f t="shared" si="2"/>
        <v>0.0558188520273828</v>
      </c>
      <c r="L40" s="9">
        <f>L38+L39</f>
        <v>47.8</v>
      </c>
      <c r="M40" s="9">
        <f>M38+M39</f>
        <v>36.2</v>
      </c>
      <c r="N40" s="18">
        <f t="shared" si="3"/>
        <v>0.123898392949715</v>
      </c>
      <c r="O40" s="9">
        <f>O38+O39</f>
        <v>42.4</v>
      </c>
      <c r="P40" s="9">
        <f>P38+P39</f>
        <v>99.8</v>
      </c>
      <c r="Q40" s="18">
        <f t="shared" si="4"/>
        <v>0.0943480195816644</v>
      </c>
      <c r="R40" s="9">
        <f>R38+R39</f>
        <v>149</v>
      </c>
      <c r="S40" s="18">
        <f t="shared" si="5"/>
        <v>0.426201372997712</v>
      </c>
      <c r="T40" s="9">
        <f>T38+T39</f>
        <v>30.4</v>
      </c>
      <c r="U40" s="18">
        <f t="shared" si="6"/>
        <v>0.204026845637584</v>
      </c>
      <c r="V40" s="9">
        <f>V38+V39</f>
        <v>22</v>
      </c>
      <c r="W40" s="9">
        <f>W38+W39</f>
        <v>0</v>
      </c>
      <c r="X40" s="18">
        <f t="shared" si="7"/>
        <v>0.062929061784897</v>
      </c>
      <c r="Y40" s="9">
        <f>Y38+Y39</f>
        <v>73</v>
      </c>
      <c r="Z40" s="9">
        <f>Z38+Z39</f>
        <v>13</v>
      </c>
      <c r="AA40" s="63">
        <f>Y40/(E40+Z40)</f>
        <v>0.201323772752344</v>
      </c>
    </row>
    <row r="41" ht="16" hidden="1" customHeight="1" spans="1:27">
      <c r="A41" s="1" t="s">
        <v>48</v>
      </c>
      <c r="B41" s="7" t="s">
        <v>33</v>
      </c>
      <c r="C41" s="9"/>
      <c r="D41" s="9">
        <v>146</v>
      </c>
      <c r="E41" s="9">
        <v>197.8</v>
      </c>
      <c r="F41" s="9">
        <v>112</v>
      </c>
      <c r="G41" s="18">
        <f t="shared" si="0"/>
        <v>0.566228513650152</v>
      </c>
      <c r="H41" s="54">
        <f t="shared" si="1"/>
        <v>1.61071428571429</v>
      </c>
      <c r="I41" s="9">
        <v>10</v>
      </c>
      <c r="J41" s="9">
        <v>14.2</v>
      </c>
      <c r="K41" s="18">
        <f t="shared" si="2"/>
        <v>0.0471698113207547</v>
      </c>
      <c r="L41" s="9">
        <v>11.8</v>
      </c>
      <c r="M41" s="9">
        <v>9.6</v>
      </c>
      <c r="N41" s="18">
        <f t="shared" si="3"/>
        <v>0.0568948891031823</v>
      </c>
      <c r="O41" s="9">
        <v>32.8</v>
      </c>
      <c r="P41" s="9">
        <v>63</v>
      </c>
      <c r="Q41" s="18">
        <f t="shared" si="4"/>
        <v>0.125766871165644</v>
      </c>
      <c r="R41" s="9">
        <v>76.2</v>
      </c>
      <c r="S41" s="18">
        <f t="shared" si="5"/>
        <v>0.385237613751264</v>
      </c>
      <c r="T41" s="9">
        <v>11.2</v>
      </c>
      <c r="U41" s="18">
        <f t="shared" si="6"/>
        <v>0.146981627296588</v>
      </c>
      <c r="V41" s="9">
        <v>8</v>
      </c>
      <c r="W41" s="9">
        <v>0.2</v>
      </c>
      <c r="X41" s="18">
        <f t="shared" si="7"/>
        <v>0.0404040404040404</v>
      </c>
      <c r="Y41" s="9">
        <v>30.4</v>
      </c>
      <c r="Z41" s="9">
        <v>7.4</v>
      </c>
      <c r="AA41" s="63">
        <f t="shared" ref="AA41:AA42" si="20">Y41/E41</f>
        <v>0.153690596562184</v>
      </c>
    </row>
    <row r="42" ht="16" hidden="1" customHeight="1" spans="1:27">
      <c r="A42" s="1" t="s">
        <v>48</v>
      </c>
      <c r="B42" s="7" t="s">
        <v>35</v>
      </c>
      <c r="C42" s="9"/>
      <c r="D42" s="9">
        <v>135.8</v>
      </c>
      <c r="E42" s="9">
        <v>166</v>
      </c>
      <c r="F42" s="9">
        <v>111.2</v>
      </c>
      <c r="G42" s="18">
        <f t="shared" si="0"/>
        <v>0.669879518072289</v>
      </c>
      <c r="H42" s="54">
        <f t="shared" si="1"/>
        <v>1.75359712230216</v>
      </c>
      <c r="I42" s="9">
        <v>15.6</v>
      </c>
      <c r="J42" s="9">
        <v>17.6</v>
      </c>
      <c r="K42" s="18">
        <f t="shared" si="2"/>
        <v>0.0849673202614379</v>
      </c>
      <c r="L42" s="9">
        <v>36.4</v>
      </c>
      <c r="M42" s="9">
        <v>26</v>
      </c>
      <c r="N42" s="18">
        <f t="shared" si="3"/>
        <v>0.189583333333333</v>
      </c>
      <c r="O42" s="9">
        <v>13.8</v>
      </c>
      <c r="P42" s="9">
        <v>39.8</v>
      </c>
      <c r="Q42" s="18">
        <f t="shared" si="4"/>
        <v>0.0670553935860058</v>
      </c>
      <c r="R42" s="9">
        <v>74.4</v>
      </c>
      <c r="S42" s="18">
        <f t="shared" si="5"/>
        <v>0.448192771084337</v>
      </c>
      <c r="T42" s="9">
        <v>18.2</v>
      </c>
      <c r="U42" s="18">
        <f t="shared" si="6"/>
        <v>0.244623655913978</v>
      </c>
      <c r="V42" s="9">
        <v>9.8</v>
      </c>
      <c r="W42" s="9">
        <v>0</v>
      </c>
      <c r="X42" s="18">
        <f t="shared" si="7"/>
        <v>0.0590361445783133</v>
      </c>
      <c r="Y42" s="9">
        <v>26.8</v>
      </c>
      <c r="Z42" s="9">
        <v>6.2</v>
      </c>
      <c r="AA42" s="63">
        <f t="shared" si="20"/>
        <v>0.16144578313253</v>
      </c>
    </row>
    <row r="43" ht="16" hidden="1" customHeight="1" spans="1:27">
      <c r="A43" s="1" t="s">
        <v>48</v>
      </c>
      <c r="B43" s="7" t="s">
        <v>36</v>
      </c>
      <c r="C43" s="9"/>
      <c r="D43" s="9">
        <f>D41+D42</f>
        <v>281.8</v>
      </c>
      <c r="E43" s="9">
        <f>E41+E42</f>
        <v>363.8</v>
      </c>
      <c r="F43" s="9">
        <f>F41+F42</f>
        <v>223.2</v>
      </c>
      <c r="G43" s="18">
        <f t="shared" si="0"/>
        <v>0.613523914238593</v>
      </c>
      <c r="H43" s="54">
        <f t="shared" si="1"/>
        <v>1.68189964157706</v>
      </c>
      <c r="I43" s="9">
        <f>I41+I42</f>
        <v>25.6</v>
      </c>
      <c r="J43" s="9">
        <f>J41+J42</f>
        <v>31.8</v>
      </c>
      <c r="K43" s="18">
        <f t="shared" si="2"/>
        <v>0.0647118301314459</v>
      </c>
      <c r="L43" s="9">
        <f>L41+L42</f>
        <v>48.2</v>
      </c>
      <c r="M43" s="9">
        <f>M41+M42</f>
        <v>35.6</v>
      </c>
      <c r="N43" s="18">
        <f t="shared" si="3"/>
        <v>0.120681021532298</v>
      </c>
      <c r="O43" s="9">
        <f>O41+O42</f>
        <v>46.6</v>
      </c>
      <c r="P43" s="9">
        <f>P41+P42</f>
        <v>102.8</v>
      </c>
      <c r="Q43" s="18">
        <f t="shared" si="4"/>
        <v>0.0998714102014573</v>
      </c>
      <c r="R43" s="9">
        <f>R41+R42</f>
        <v>150.6</v>
      </c>
      <c r="S43" s="18">
        <f t="shared" si="5"/>
        <v>0.413963716327653</v>
      </c>
      <c r="T43" s="9">
        <f>T41+T42</f>
        <v>29.4</v>
      </c>
      <c r="U43" s="18">
        <f t="shared" si="6"/>
        <v>0.195219123505976</v>
      </c>
      <c r="V43" s="9">
        <f>V41+V42</f>
        <v>17.8</v>
      </c>
      <c r="W43" s="9">
        <f>W41+W42</f>
        <v>0.2</v>
      </c>
      <c r="X43" s="18">
        <f t="shared" si="7"/>
        <v>0.0489010989010989</v>
      </c>
      <c r="Y43" s="9">
        <f>Y41+Y42</f>
        <v>57.2</v>
      </c>
      <c r="Z43" s="9">
        <f>Z41+Z42</f>
        <v>13.6</v>
      </c>
      <c r="AA43" s="63">
        <f>Y43/(E43+Z43)</f>
        <v>0.151563328033916</v>
      </c>
    </row>
    <row r="44" ht="16" hidden="1" customHeight="1" spans="1:27">
      <c r="A44" s="1" t="s">
        <v>49</v>
      </c>
      <c r="B44" s="7" t="s">
        <v>33</v>
      </c>
      <c r="C44" s="9"/>
      <c r="D44" s="9">
        <v>104</v>
      </c>
      <c r="E44" s="9">
        <v>166</v>
      </c>
      <c r="F44" s="9">
        <v>89.8</v>
      </c>
      <c r="G44" s="18">
        <f t="shared" si="0"/>
        <v>0.540963855421687</v>
      </c>
      <c r="H44" s="54">
        <f t="shared" si="1"/>
        <v>1.53897550111359</v>
      </c>
      <c r="I44" s="9">
        <v>7.2</v>
      </c>
      <c r="J44" s="9">
        <v>8.4</v>
      </c>
      <c r="K44" s="18">
        <f t="shared" si="2"/>
        <v>0.0412844036697248</v>
      </c>
      <c r="L44" s="9">
        <v>11.4</v>
      </c>
      <c r="M44" s="9">
        <v>8.8</v>
      </c>
      <c r="N44" s="18">
        <f t="shared" si="3"/>
        <v>0.0652173913043478</v>
      </c>
      <c r="O44" s="9">
        <v>26.6</v>
      </c>
      <c r="P44" s="9">
        <v>53</v>
      </c>
      <c r="Q44" s="18">
        <f t="shared" si="4"/>
        <v>0.121461187214612</v>
      </c>
      <c r="R44" s="9">
        <v>60.6</v>
      </c>
      <c r="S44" s="18">
        <f t="shared" si="5"/>
        <v>0.365060240963855</v>
      </c>
      <c r="T44" s="9">
        <v>7</v>
      </c>
      <c r="U44" s="18">
        <f t="shared" si="6"/>
        <v>0.115511551155116</v>
      </c>
      <c r="V44" s="9">
        <v>7.6</v>
      </c>
      <c r="W44" s="9">
        <v>0.2</v>
      </c>
      <c r="X44" s="18">
        <f t="shared" si="7"/>
        <v>0.0457280385078219</v>
      </c>
      <c r="Y44" s="9">
        <v>17.8</v>
      </c>
      <c r="Z44" s="9">
        <v>4</v>
      </c>
      <c r="AA44" s="63">
        <f t="shared" ref="AA44:AA45" si="21">Y44/E44</f>
        <v>0.107228915662651</v>
      </c>
    </row>
    <row r="45" ht="16" hidden="1" customHeight="1" spans="1:27">
      <c r="A45" s="1" t="s">
        <v>49</v>
      </c>
      <c r="B45" s="7" t="s">
        <v>35</v>
      </c>
      <c r="C45" s="9"/>
      <c r="D45" s="9">
        <v>145</v>
      </c>
      <c r="E45" s="9">
        <v>154.8</v>
      </c>
      <c r="F45" s="9">
        <v>108.6</v>
      </c>
      <c r="G45" s="18">
        <f t="shared" si="0"/>
        <v>0.701550387596899</v>
      </c>
      <c r="H45" s="54">
        <f t="shared" si="1"/>
        <v>1.72007366482505</v>
      </c>
      <c r="I45" s="9">
        <v>9.6</v>
      </c>
      <c r="J45" s="9">
        <v>12.8</v>
      </c>
      <c r="K45" s="18">
        <f t="shared" si="2"/>
        <v>0.0572792362768496</v>
      </c>
      <c r="L45" s="9">
        <v>36.8</v>
      </c>
      <c r="M45" s="9">
        <v>26.2</v>
      </c>
      <c r="N45" s="18">
        <f t="shared" si="3"/>
        <v>0.203314917127072</v>
      </c>
      <c r="O45" s="9">
        <v>13.8</v>
      </c>
      <c r="P45" s="9">
        <v>37.4</v>
      </c>
      <c r="Q45" s="18">
        <f t="shared" si="4"/>
        <v>0.0718002081165453</v>
      </c>
      <c r="R45" s="9">
        <v>70.8</v>
      </c>
      <c r="S45" s="18">
        <f t="shared" si="5"/>
        <v>0.457364341085271</v>
      </c>
      <c r="T45" s="9">
        <v>18.4</v>
      </c>
      <c r="U45" s="18">
        <f t="shared" si="6"/>
        <v>0.259887005649718</v>
      </c>
      <c r="V45" s="9">
        <v>11.6</v>
      </c>
      <c r="W45" s="9">
        <v>0.6</v>
      </c>
      <c r="X45" s="18">
        <f t="shared" si="7"/>
        <v>0.0746460746460746</v>
      </c>
      <c r="Y45" s="9">
        <v>25.8</v>
      </c>
      <c r="Z45" s="9">
        <v>4.2</v>
      </c>
      <c r="AA45" s="63">
        <f t="shared" si="21"/>
        <v>0.166666666666667</v>
      </c>
    </row>
    <row r="46" ht="16" hidden="1" customHeight="1" spans="1:27">
      <c r="A46" s="1" t="s">
        <v>49</v>
      </c>
      <c r="B46" s="7" t="s">
        <v>36</v>
      </c>
      <c r="C46" s="9"/>
      <c r="D46" s="9">
        <f>D44+D45</f>
        <v>249</v>
      </c>
      <c r="E46" s="9">
        <f>E44+E45</f>
        <v>320.8</v>
      </c>
      <c r="F46" s="9">
        <f>F44+F45</f>
        <v>198.4</v>
      </c>
      <c r="G46" s="18">
        <f t="shared" si="0"/>
        <v>0.618453865336658</v>
      </c>
      <c r="H46" s="54">
        <f t="shared" si="1"/>
        <v>1.63810483870968</v>
      </c>
      <c r="I46" s="9">
        <f>I44+I45</f>
        <v>16.8</v>
      </c>
      <c r="J46" s="9">
        <f>J44+J45</f>
        <v>21.2</v>
      </c>
      <c r="K46" s="18">
        <f t="shared" si="2"/>
        <v>0.0491228070175439</v>
      </c>
      <c r="L46" s="9">
        <f>L44+L45</f>
        <v>48.2</v>
      </c>
      <c r="M46" s="9">
        <f>M44+M45</f>
        <v>35</v>
      </c>
      <c r="N46" s="18">
        <f t="shared" si="3"/>
        <v>0.135469364811692</v>
      </c>
      <c r="O46" s="9">
        <f>O44+O45</f>
        <v>40.4</v>
      </c>
      <c r="P46" s="9">
        <f>P44+P45</f>
        <v>90.4</v>
      </c>
      <c r="Q46" s="18">
        <f t="shared" si="4"/>
        <v>0.0982490272373541</v>
      </c>
      <c r="R46" s="9">
        <f>R44+R45</f>
        <v>131.4</v>
      </c>
      <c r="S46" s="18">
        <f t="shared" si="5"/>
        <v>0.409600997506234</v>
      </c>
      <c r="T46" s="9">
        <f>T44+T45</f>
        <v>25.4</v>
      </c>
      <c r="U46" s="18">
        <f t="shared" si="6"/>
        <v>0.193302891933029</v>
      </c>
      <c r="V46" s="9">
        <f>V44+V45</f>
        <v>19.2</v>
      </c>
      <c r="W46" s="9">
        <f>W44+W45</f>
        <v>0.8</v>
      </c>
      <c r="X46" s="18">
        <f t="shared" si="7"/>
        <v>0.0597014925373134</v>
      </c>
      <c r="Y46" s="9">
        <f>Y44+Y45</f>
        <v>43.6</v>
      </c>
      <c r="Z46" s="9">
        <f>Z44+Z45</f>
        <v>8.2</v>
      </c>
      <c r="AA46" s="63">
        <f>Y46/(E46+Z46)</f>
        <v>0.132522796352584</v>
      </c>
    </row>
    <row r="47" ht="16" hidden="1" customHeight="1" spans="1:27">
      <c r="A47" s="1" t="s">
        <v>50</v>
      </c>
      <c r="B47" s="7" t="s">
        <v>33</v>
      </c>
      <c r="C47" s="9"/>
      <c r="D47" s="9">
        <v>159.8</v>
      </c>
      <c r="E47" s="9">
        <v>188</v>
      </c>
      <c r="F47" s="9">
        <v>104.4</v>
      </c>
      <c r="G47" s="18">
        <f t="shared" si="0"/>
        <v>0.55531914893617</v>
      </c>
      <c r="H47" s="54">
        <f t="shared" si="1"/>
        <v>1.59386973180077</v>
      </c>
      <c r="I47" s="9">
        <v>7.2</v>
      </c>
      <c r="J47" s="9">
        <v>10.8</v>
      </c>
      <c r="K47" s="18">
        <f t="shared" si="2"/>
        <v>0.0362173038229376</v>
      </c>
      <c r="L47" s="9">
        <v>12.2</v>
      </c>
      <c r="M47" s="9">
        <v>10.8</v>
      </c>
      <c r="N47" s="18">
        <f t="shared" si="3"/>
        <v>0.0613682092555332</v>
      </c>
      <c r="O47" s="9">
        <v>30.4</v>
      </c>
      <c r="P47" s="9">
        <v>62.2</v>
      </c>
      <c r="Q47" s="18">
        <f t="shared" si="4"/>
        <v>0.121502797761791</v>
      </c>
      <c r="R47" s="9">
        <v>69.4</v>
      </c>
      <c r="S47" s="18">
        <f t="shared" si="5"/>
        <v>0.369148936170213</v>
      </c>
      <c r="T47" s="9">
        <v>9.8</v>
      </c>
      <c r="U47" s="18">
        <f t="shared" si="6"/>
        <v>0.141210374639769</v>
      </c>
      <c r="V47" s="9">
        <v>7.6</v>
      </c>
      <c r="W47" s="9">
        <v>0</v>
      </c>
      <c r="X47" s="18">
        <f t="shared" si="7"/>
        <v>0.0404255319148936</v>
      </c>
      <c r="Y47" s="9">
        <v>29.8</v>
      </c>
      <c r="Z47" s="9">
        <v>4.2</v>
      </c>
      <c r="AA47" s="63">
        <f t="shared" ref="AA47:AA48" si="22">Y47/E47</f>
        <v>0.158510638297872</v>
      </c>
    </row>
    <row r="48" ht="16" hidden="1" customHeight="1" spans="1:27">
      <c r="A48" s="1" t="s">
        <v>50</v>
      </c>
      <c r="B48" s="7" t="s">
        <v>35</v>
      </c>
      <c r="C48" s="9"/>
      <c r="D48" s="9">
        <v>166</v>
      </c>
      <c r="E48" s="9">
        <v>160.4</v>
      </c>
      <c r="F48" s="9">
        <v>116</v>
      </c>
      <c r="G48" s="18">
        <f t="shared" si="0"/>
        <v>0.723192019950125</v>
      </c>
      <c r="H48" s="54">
        <f t="shared" si="1"/>
        <v>1.7448275862069</v>
      </c>
      <c r="I48" s="9">
        <v>9.6</v>
      </c>
      <c r="J48" s="9">
        <v>14.2</v>
      </c>
      <c r="K48" s="18">
        <f t="shared" si="2"/>
        <v>0.0549828178694158</v>
      </c>
      <c r="L48" s="9">
        <v>31.8</v>
      </c>
      <c r="M48" s="9">
        <v>19.8</v>
      </c>
      <c r="N48" s="18">
        <f t="shared" si="3"/>
        <v>0.176470588235294</v>
      </c>
      <c r="O48" s="9">
        <v>19.2</v>
      </c>
      <c r="P48" s="9">
        <v>45.2</v>
      </c>
      <c r="Q48" s="18">
        <f t="shared" si="4"/>
        <v>0.0933852140077821</v>
      </c>
      <c r="R48" s="9">
        <v>77.6</v>
      </c>
      <c r="S48" s="18">
        <f t="shared" si="5"/>
        <v>0.483790523690773</v>
      </c>
      <c r="T48" s="9">
        <v>19</v>
      </c>
      <c r="U48" s="18">
        <f t="shared" si="6"/>
        <v>0.244845360824742</v>
      </c>
      <c r="V48" s="9">
        <v>14.8</v>
      </c>
      <c r="W48" s="9">
        <v>0</v>
      </c>
      <c r="X48" s="18">
        <f t="shared" si="7"/>
        <v>0.0922693266832918</v>
      </c>
      <c r="Y48" s="9">
        <v>30.4</v>
      </c>
      <c r="Z48" s="9">
        <v>5.4</v>
      </c>
      <c r="AA48" s="63">
        <f t="shared" si="22"/>
        <v>0.189526184538653</v>
      </c>
    </row>
    <row r="49" ht="16" hidden="1" customHeight="1" spans="1:27">
      <c r="A49" s="1" t="s">
        <v>50</v>
      </c>
      <c r="B49" s="7" t="s">
        <v>36</v>
      </c>
      <c r="C49" s="9"/>
      <c r="D49" s="9">
        <f>D47+D48</f>
        <v>325.8</v>
      </c>
      <c r="E49" s="9">
        <f>E47+E48</f>
        <v>348.4</v>
      </c>
      <c r="F49" s="9">
        <f>F47+F48</f>
        <v>220.4</v>
      </c>
      <c r="G49" s="18">
        <f t="shared" si="0"/>
        <v>0.632606199770379</v>
      </c>
      <c r="H49" s="54">
        <f t="shared" si="1"/>
        <v>1.67332123411978</v>
      </c>
      <c r="I49" s="9">
        <f>I47+I48</f>
        <v>16.8</v>
      </c>
      <c r="J49" s="9">
        <f>J47+J48</f>
        <v>25</v>
      </c>
      <c r="K49" s="18">
        <f t="shared" si="2"/>
        <v>0.0449919657204071</v>
      </c>
      <c r="L49" s="9">
        <f>L47+L48</f>
        <v>44</v>
      </c>
      <c r="M49" s="9">
        <f>M47+M48</f>
        <v>30.6</v>
      </c>
      <c r="N49" s="18">
        <f t="shared" si="3"/>
        <v>0.116094986807388</v>
      </c>
      <c r="O49" s="9">
        <f>O47+O48</f>
        <v>49.6</v>
      </c>
      <c r="P49" s="9">
        <f>P47+P48</f>
        <v>107.4</v>
      </c>
      <c r="Q49" s="18">
        <f t="shared" si="4"/>
        <v>0.108819657744625</v>
      </c>
      <c r="R49" s="9">
        <f>R47+R48</f>
        <v>147</v>
      </c>
      <c r="S49" s="18">
        <f t="shared" si="5"/>
        <v>0.421928817451206</v>
      </c>
      <c r="T49" s="9">
        <f>T47+T48</f>
        <v>28.8</v>
      </c>
      <c r="U49" s="18">
        <f t="shared" si="6"/>
        <v>0.195918367346939</v>
      </c>
      <c r="V49" s="9">
        <f>V47+V48</f>
        <v>22.4</v>
      </c>
      <c r="W49" s="9">
        <f>W47+W48</f>
        <v>0</v>
      </c>
      <c r="X49" s="18">
        <f t="shared" si="7"/>
        <v>0.0642939150401837</v>
      </c>
      <c r="Y49" s="9">
        <f>Y47+Y48</f>
        <v>60.2</v>
      </c>
      <c r="Z49" s="9">
        <f>Z47+Z48</f>
        <v>9.6</v>
      </c>
      <c r="AA49" s="63">
        <f>Y49/(E49+Z49)</f>
        <v>0.168156424581006</v>
      </c>
    </row>
    <row r="50" ht="16" hidden="1" customHeight="1" spans="1:27">
      <c r="A50" s="1" t="s">
        <v>51</v>
      </c>
      <c r="B50" s="7" t="s">
        <v>33</v>
      </c>
      <c r="C50" s="9"/>
      <c r="D50" s="9">
        <v>281</v>
      </c>
      <c r="E50" s="9">
        <v>184.4</v>
      </c>
      <c r="F50" s="9">
        <v>105</v>
      </c>
      <c r="G50" s="18">
        <f t="shared" si="0"/>
        <v>0.56941431670282</v>
      </c>
      <c r="H50" s="54">
        <f t="shared" si="1"/>
        <v>1.59428571428571</v>
      </c>
      <c r="I50" s="9">
        <v>5.6</v>
      </c>
      <c r="J50" s="9">
        <v>9.4</v>
      </c>
      <c r="K50" s="18">
        <f t="shared" si="2"/>
        <v>0.0288957688338493</v>
      </c>
      <c r="L50" s="9">
        <v>14</v>
      </c>
      <c r="M50" s="9">
        <v>10.6</v>
      </c>
      <c r="N50" s="18">
        <f t="shared" si="3"/>
        <v>0.0717948717948718</v>
      </c>
      <c r="O50" s="9">
        <v>30.2</v>
      </c>
      <c r="P50" s="9">
        <v>58</v>
      </c>
      <c r="Q50" s="18">
        <f t="shared" si="4"/>
        <v>0.124587458745875</v>
      </c>
      <c r="R50" s="9">
        <v>67.4</v>
      </c>
      <c r="S50" s="18">
        <f t="shared" si="5"/>
        <v>0.365509761388286</v>
      </c>
      <c r="T50" s="9">
        <v>8.6</v>
      </c>
      <c r="U50" s="18">
        <f t="shared" si="6"/>
        <v>0.127596439169139</v>
      </c>
      <c r="V50" s="9">
        <v>8</v>
      </c>
      <c r="W50" s="9">
        <v>0.2</v>
      </c>
      <c r="X50" s="18">
        <f t="shared" si="7"/>
        <v>0.0433369447453954</v>
      </c>
      <c r="Y50" s="9">
        <v>33.6</v>
      </c>
      <c r="Z50" s="9">
        <v>5</v>
      </c>
      <c r="AA50" s="63">
        <f t="shared" ref="AA50:AA51" si="23">Y50/E50</f>
        <v>0.182212581344902</v>
      </c>
    </row>
    <row r="51" ht="16" hidden="1" customHeight="1" spans="1:27">
      <c r="A51" s="1" t="s">
        <v>51</v>
      </c>
      <c r="B51" s="7" t="s">
        <v>35</v>
      </c>
      <c r="C51" s="9"/>
      <c r="D51" s="9">
        <v>116.4</v>
      </c>
      <c r="E51" s="9">
        <v>254.2</v>
      </c>
      <c r="F51" s="9">
        <v>204.6</v>
      </c>
      <c r="G51" s="18">
        <f t="shared" si="0"/>
        <v>0.804878048780488</v>
      </c>
      <c r="H51" s="54">
        <f t="shared" si="1"/>
        <v>1.96871945259042</v>
      </c>
      <c r="I51" s="9">
        <v>22.4</v>
      </c>
      <c r="J51" s="9">
        <v>25.4</v>
      </c>
      <c r="K51" s="18">
        <f t="shared" si="2"/>
        <v>0.0801144492131617</v>
      </c>
      <c r="L51" s="9">
        <v>43.6</v>
      </c>
      <c r="M51" s="9">
        <v>29</v>
      </c>
      <c r="N51" s="18">
        <f t="shared" si="3"/>
        <v>0.153954802259887</v>
      </c>
      <c r="O51" s="9">
        <v>32</v>
      </c>
      <c r="P51" s="9">
        <v>91.6</v>
      </c>
      <c r="Q51" s="18">
        <f t="shared" si="4"/>
        <v>0.092539039907461</v>
      </c>
      <c r="R51" s="9">
        <v>166.8</v>
      </c>
      <c r="S51" s="18">
        <f t="shared" si="5"/>
        <v>0.656176239181747</v>
      </c>
      <c r="T51" s="9">
        <v>48</v>
      </c>
      <c r="U51" s="18">
        <f t="shared" si="6"/>
        <v>0.287769784172662</v>
      </c>
      <c r="V51" s="9">
        <v>35.4</v>
      </c>
      <c r="W51" s="9">
        <v>0.6</v>
      </c>
      <c r="X51" s="18">
        <f t="shared" si="7"/>
        <v>0.138932496075353</v>
      </c>
      <c r="Y51" s="9">
        <v>54.6</v>
      </c>
      <c r="Z51" s="9">
        <v>11</v>
      </c>
      <c r="AA51" s="63">
        <f t="shared" si="23"/>
        <v>0.214791502753737</v>
      </c>
    </row>
    <row r="52" ht="16" hidden="1" customHeight="1" spans="1:27">
      <c r="A52" s="1" t="s">
        <v>51</v>
      </c>
      <c r="B52" s="7" t="s">
        <v>36</v>
      </c>
      <c r="C52" s="9"/>
      <c r="D52" s="9">
        <f>D50+D51</f>
        <v>397.4</v>
      </c>
      <c r="E52" s="9">
        <f>E50+E51</f>
        <v>438.6</v>
      </c>
      <c r="F52" s="9">
        <f>F50+F51</f>
        <v>309.6</v>
      </c>
      <c r="G52" s="18">
        <f t="shared" si="0"/>
        <v>0.705882352941177</v>
      </c>
      <c r="H52" s="54">
        <f t="shared" si="1"/>
        <v>1.84173126614987</v>
      </c>
      <c r="I52" s="9">
        <f>I50+I51</f>
        <v>28</v>
      </c>
      <c r="J52" s="9">
        <f>J50+J51</f>
        <v>34.8</v>
      </c>
      <c r="K52" s="18">
        <f t="shared" si="2"/>
        <v>0.0591465990705534</v>
      </c>
      <c r="L52" s="9">
        <f>L50+L51</f>
        <v>57.6</v>
      </c>
      <c r="M52" s="9">
        <f>M50+M51</f>
        <v>39.6</v>
      </c>
      <c r="N52" s="18">
        <f t="shared" si="3"/>
        <v>0.120451693851945</v>
      </c>
      <c r="O52" s="9">
        <f>O50+O51</f>
        <v>62.2</v>
      </c>
      <c r="P52" s="9">
        <f>P50+P51</f>
        <v>149.6</v>
      </c>
      <c r="Q52" s="18">
        <f t="shared" si="4"/>
        <v>0.105746344780687</v>
      </c>
      <c r="R52" s="9">
        <f>R50+R51</f>
        <v>234.2</v>
      </c>
      <c r="S52" s="18">
        <f t="shared" si="5"/>
        <v>0.533971728226174</v>
      </c>
      <c r="T52" s="9">
        <f>T50+T51</f>
        <v>56.6</v>
      </c>
      <c r="U52" s="18">
        <f t="shared" si="6"/>
        <v>0.241673783091375</v>
      </c>
      <c r="V52" s="9">
        <f>V50+V51</f>
        <v>43.4</v>
      </c>
      <c r="W52" s="9">
        <f>W50+W51</f>
        <v>0.8</v>
      </c>
      <c r="X52" s="18">
        <f t="shared" si="7"/>
        <v>0.0987710514337733</v>
      </c>
      <c r="Y52" s="9">
        <f>Y50+Y51</f>
        <v>88.2</v>
      </c>
      <c r="Z52" s="9">
        <f>Z50+Z51</f>
        <v>16</v>
      </c>
      <c r="AA52" s="63">
        <f>Y52/(E52+Z52)</f>
        <v>0.194016717993841</v>
      </c>
    </row>
    <row r="53" ht="16" hidden="1" customHeight="1" spans="1:27">
      <c r="A53" s="1" t="s">
        <v>54</v>
      </c>
      <c r="B53" s="7" t="s">
        <v>33</v>
      </c>
      <c r="C53" s="9"/>
      <c r="D53" s="9">
        <v>309.4</v>
      </c>
      <c r="E53" s="9">
        <v>177.8</v>
      </c>
      <c r="F53" s="9">
        <v>90.4</v>
      </c>
      <c r="G53" s="18">
        <f t="shared" si="0"/>
        <v>0.508436445444319</v>
      </c>
      <c r="H53" s="54">
        <f t="shared" si="1"/>
        <v>1.56858407079646</v>
      </c>
      <c r="I53" s="9">
        <v>9.4</v>
      </c>
      <c r="J53" s="9">
        <v>12.6</v>
      </c>
      <c r="K53" s="18">
        <f t="shared" si="2"/>
        <v>0.0493697478991597</v>
      </c>
      <c r="L53" s="9">
        <v>13.2</v>
      </c>
      <c r="M53" s="9">
        <v>10.8</v>
      </c>
      <c r="N53" s="18">
        <f t="shared" si="3"/>
        <v>0.0699893955461294</v>
      </c>
      <c r="O53" s="9">
        <v>25.2</v>
      </c>
      <c r="P53" s="9">
        <v>51</v>
      </c>
      <c r="Q53" s="18">
        <f t="shared" si="4"/>
        <v>0.11013986013986</v>
      </c>
      <c r="R53" s="9">
        <v>59</v>
      </c>
      <c r="S53" s="18">
        <f t="shared" si="5"/>
        <v>0.331833520809899</v>
      </c>
      <c r="T53" s="9">
        <v>7.8</v>
      </c>
      <c r="U53" s="18">
        <f t="shared" si="6"/>
        <v>0.132203389830508</v>
      </c>
      <c r="V53" s="9">
        <v>6.2</v>
      </c>
      <c r="W53" s="9">
        <v>0</v>
      </c>
      <c r="X53" s="18">
        <f t="shared" si="7"/>
        <v>0.0348706411698538</v>
      </c>
      <c r="Y53" s="9">
        <v>21</v>
      </c>
      <c r="Z53" s="9">
        <v>4.8</v>
      </c>
      <c r="AA53" s="63">
        <f t="shared" ref="AA53:AA54" si="24">Y53/E53</f>
        <v>0.118110236220472</v>
      </c>
    </row>
    <row r="54" ht="16" hidden="1" customHeight="1" spans="1:27">
      <c r="A54" s="1" t="s">
        <v>54</v>
      </c>
      <c r="B54" s="7" t="s">
        <v>35</v>
      </c>
      <c r="C54" s="9"/>
      <c r="D54" s="9">
        <v>105.8</v>
      </c>
      <c r="E54" s="9">
        <v>291.2</v>
      </c>
      <c r="F54" s="9">
        <v>215.4</v>
      </c>
      <c r="G54" s="18">
        <f t="shared" si="0"/>
        <v>0.739697802197802</v>
      </c>
      <c r="H54" s="54">
        <f t="shared" si="1"/>
        <v>1.89507892293408</v>
      </c>
      <c r="I54" s="9">
        <v>24.4</v>
      </c>
      <c r="J54" s="9">
        <v>40.2</v>
      </c>
      <c r="K54" s="18">
        <f t="shared" si="2"/>
        <v>0.0736270368135184</v>
      </c>
      <c r="L54" s="9">
        <v>59.4</v>
      </c>
      <c r="M54" s="9">
        <v>44.6</v>
      </c>
      <c r="N54" s="18">
        <f t="shared" si="3"/>
        <v>0.176891006551519</v>
      </c>
      <c r="O54" s="9">
        <v>40.4</v>
      </c>
      <c r="P54" s="9">
        <v>104.6</v>
      </c>
      <c r="Q54" s="18">
        <f t="shared" si="4"/>
        <v>0.102071753410814</v>
      </c>
      <c r="R54" s="9">
        <v>154</v>
      </c>
      <c r="S54" s="18">
        <f t="shared" si="5"/>
        <v>0.528846153846154</v>
      </c>
      <c r="T54" s="9">
        <v>37.2</v>
      </c>
      <c r="U54" s="18">
        <f t="shared" si="6"/>
        <v>0.241558441558442</v>
      </c>
      <c r="V54" s="9">
        <v>20.6</v>
      </c>
      <c r="W54" s="9">
        <v>0</v>
      </c>
      <c r="X54" s="18">
        <f t="shared" si="7"/>
        <v>0.0707417582417583</v>
      </c>
      <c r="Y54" s="9">
        <v>72.2</v>
      </c>
      <c r="Z54" s="9">
        <v>17.2</v>
      </c>
      <c r="AA54" s="63">
        <f t="shared" si="24"/>
        <v>0.24793956043956</v>
      </c>
    </row>
    <row r="55" ht="16" hidden="1" customHeight="1" spans="1:27">
      <c r="A55" s="1" t="s">
        <v>54</v>
      </c>
      <c r="B55" s="7" t="s">
        <v>36</v>
      </c>
      <c r="C55" s="9"/>
      <c r="D55" s="9">
        <f>D53+D54</f>
        <v>415.2</v>
      </c>
      <c r="E55" s="9">
        <f>E53+E54</f>
        <v>469</v>
      </c>
      <c r="F55" s="9">
        <f>F53+F54</f>
        <v>305.8</v>
      </c>
      <c r="G55" s="18">
        <f t="shared" si="0"/>
        <v>0.652025586353945</v>
      </c>
      <c r="H55" s="54">
        <f t="shared" si="1"/>
        <v>1.79856115107914</v>
      </c>
      <c r="I55" s="9">
        <f>I53+I54</f>
        <v>33.8</v>
      </c>
      <c r="J55" s="9">
        <f>J53+J54</f>
        <v>52.8</v>
      </c>
      <c r="K55" s="18">
        <f t="shared" si="2"/>
        <v>0.0647757761594481</v>
      </c>
      <c r="L55" s="9">
        <f>L53+L54</f>
        <v>72.6</v>
      </c>
      <c r="M55" s="9">
        <f>M53+M54</f>
        <v>55.4</v>
      </c>
      <c r="N55" s="18">
        <f t="shared" si="3"/>
        <v>0.138443935926773</v>
      </c>
      <c r="O55" s="9">
        <f>O53+O54</f>
        <v>65.6</v>
      </c>
      <c r="P55" s="9">
        <f>P53+P54</f>
        <v>155.6</v>
      </c>
      <c r="Q55" s="18">
        <f t="shared" si="4"/>
        <v>0.105027217419148</v>
      </c>
      <c r="R55" s="9">
        <f>R53+R54</f>
        <v>213</v>
      </c>
      <c r="S55" s="18">
        <f t="shared" si="5"/>
        <v>0.454157782515991</v>
      </c>
      <c r="T55" s="9">
        <f>T53+T54</f>
        <v>45</v>
      </c>
      <c r="U55" s="18">
        <f t="shared" si="6"/>
        <v>0.211267605633803</v>
      </c>
      <c r="V55" s="9">
        <f>V53+V54</f>
        <v>26.8</v>
      </c>
      <c r="W55" s="9">
        <f>W53+W54</f>
        <v>0</v>
      </c>
      <c r="X55" s="18">
        <f t="shared" si="7"/>
        <v>0.0571428571428571</v>
      </c>
      <c r="Y55" s="9">
        <f>Y53+Y54</f>
        <v>93.2</v>
      </c>
      <c r="Z55" s="9">
        <f>Z53+Z54</f>
        <v>22</v>
      </c>
      <c r="AA55" s="63">
        <f>Y55/(E55+Z55)</f>
        <v>0.189816700610998</v>
      </c>
    </row>
    <row r="56" ht="16" hidden="1" customHeight="1" spans="1:27">
      <c r="A56" s="1" t="s">
        <v>55</v>
      </c>
      <c r="B56" s="7" t="s">
        <v>33</v>
      </c>
      <c r="C56" s="9"/>
      <c r="D56" s="9">
        <v>217.8</v>
      </c>
      <c r="E56" s="9">
        <v>194</v>
      </c>
      <c r="F56" s="9">
        <v>99.6</v>
      </c>
      <c r="G56" s="18">
        <f t="shared" si="0"/>
        <v>0.51340206185567</v>
      </c>
      <c r="H56" s="54">
        <f t="shared" si="1"/>
        <v>1.63253012048193</v>
      </c>
      <c r="I56" s="9">
        <v>7.4</v>
      </c>
      <c r="J56" s="9">
        <v>12.2</v>
      </c>
      <c r="K56" s="18">
        <f t="shared" si="2"/>
        <v>0.0358874878758487</v>
      </c>
      <c r="L56" s="9">
        <v>8</v>
      </c>
      <c r="M56" s="9">
        <v>6.2</v>
      </c>
      <c r="N56" s="18">
        <f t="shared" si="3"/>
        <v>0.03996003996004</v>
      </c>
      <c r="O56" s="9">
        <v>23.6</v>
      </c>
      <c r="P56" s="9">
        <v>57</v>
      </c>
      <c r="Q56" s="18">
        <f t="shared" si="4"/>
        <v>0.0940239043824701</v>
      </c>
      <c r="R56" s="9">
        <v>69.4</v>
      </c>
      <c r="S56" s="18">
        <f t="shared" si="5"/>
        <v>0.357731958762887</v>
      </c>
      <c r="T56" s="9">
        <v>9.8</v>
      </c>
      <c r="U56" s="18">
        <f t="shared" si="6"/>
        <v>0.141210374639769</v>
      </c>
      <c r="V56" s="9">
        <v>9</v>
      </c>
      <c r="W56" s="9">
        <v>0.2</v>
      </c>
      <c r="X56" s="18">
        <f t="shared" si="7"/>
        <v>0.0463439752832132</v>
      </c>
      <c r="Y56" s="9">
        <v>35.4</v>
      </c>
      <c r="Z56" s="9">
        <v>7.2</v>
      </c>
      <c r="AA56" s="63">
        <f t="shared" ref="AA56:AA57" si="25">Y56/E56</f>
        <v>0.182474226804124</v>
      </c>
    </row>
    <row r="57" ht="16" hidden="1" customHeight="1" spans="1:27">
      <c r="A57" s="1" t="s">
        <v>55</v>
      </c>
      <c r="B57" s="7" t="s">
        <v>35</v>
      </c>
      <c r="C57" s="9"/>
      <c r="D57" s="9">
        <v>127.6</v>
      </c>
      <c r="E57" s="9">
        <v>235</v>
      </c>
      <c r="F57" s="9">
        <v>186</v>
      </c>
      <c r="G57" s="18">
        <f t="shared" si="0"/>
        <v>0.791489361702128</v>
      </c>
      <c r="H57" s="54">
        <f t="shared" si="1"/>
        <v>1.84086021505376</v>
      </c>
      <c r="I57" s="9">
        <v>16.6</v>
      </c>
      <c r="J57" s="9">
        <v>23.8</v>
      </c>
      <c r="K57" s="18">
        <f t="shared" si="2"/>
        <v>0.0641421947449768</v>
      </c>
      <c r="L57" s="9">
        <v>44.4</v>
      </c>
      <c r="M57" s="9">
        <v>30.8</v>
      </c>
      <c r="N57" s="18">
        <f t="shared" si="3"/>
        <v>0.167042889390519</v>
      </c>
      <c r="O57" s="9">
        <v>29.6</v>
      </c>
      <c r="P57" s="9">
        <v>68.2</v>
      </c>
      <c r="Q57" s="18">
        <f t="shared" si="4"/>
        <v>0.0976253298153034</v>
      </c>
      <c r="R57" s="9">
        <v>132.2</v>
      </c>
      <c r="S57" s="18">
        <f t="shared" si="5"/>
        <v>0.562553191489362</v>
      </c>
      <c r="T57" s="9">
        <v>32.2</v>
      </c>
      <c r="U57" s="18">
        <f t="shared" si="6"/>
        <v>0.24357034795764</v>
      </c>
      <c r="V57" s="9">
        <v>20.2</v>
      </c>
      <c r="W57" s="9">
        <v>0.4</v>
      </c>
      <c r="X57" s="18">
        <f t="shared" si="7"/>
        <v>0.0858113848768054</v>
      </c>
      <c r="Y57" s="9">
        <v>67.2</v>
      </c>
      <c r="Z57" s="9">
        <v>10.2</v>
      </c>
      <c r="AA57" s="63">
        <f t="shared" si="25"/>
        <v>0.285957446808511</v>
      </c>
    </row>
    <row r="58" ht="16" hidden="1" customHeight="1" spans="1:27">
      <c r="A58" s="1" t="s">
        <v>55</v>
      </c>
      <c r="B58" s="7" t="s">
        <v>36</v>
      </c>
      <c r="C58" s="9"/>
      <c r="D58" s="9">
        <f>D56+D57</f>
        <v>345.4</v>
      </c>
      <c r="E58" s="9">
        <f>E56+E57</f>
        <v>429</v>
      </c>
      <c r="F58" s="9">
        <f>F56+F57</f>
        <v>285.6</v>
      </c>
      <c r="G58" s="18">
        <f t="shared" si="0"/>
        <v>0.665734265734266</v>
      </c>
      <c r="H58" s="54">
        <f t="shared" si="1"/>
        <v>1.76820728291317</v>
      </c>
      <c r="I58" s="9">
        <f>I56+I57</f>
        <v>24</v>
      </c>
      <c r="J58" s="9">
        <f>J56+J57</f>
        <v>36</v>
      </c>
      <c r="K58" s="18">
        <f t="shared" si="2"/>
        <v>0.0516129032258065</v>
      </c>
      <c r="L58" s="9">
        <f>L56+L57</f>
        <v>52.4</v>
      </c>
      <c r="M58" s="9">
        <f>M56+M57</f>
        <v>37</v>
      </c>
      <c r="N58" s="18">
        <f t="shared" si="3"/>
        <v>0.11244635193133</v>
      </c>
      <c r="O58" s="9">
        <f>O56+O57</f>
        <v>53.2</v>
      </c>
      <c r="P58" s="9">
        <f>P56+P57</f>
        <v>125.2</v>
      </c>
      <c r="Q58" s="18">
        <f t="shared" si="4"/>
        <v>0.0959942259112234</v>
      </c>
      <c r="R58" s="9">
        <f>R56+R57</f>
        <v>201.6</v>
      </c>
      <c r="S58" s="18">
        <f t="shared" si="5"/>
        <v>0.46993006993007</v>
      </c>
      <c r="T58" s="9">
        <f>T56+T57</f>
        <v>42</v>
      </c>
      <c r="U58" s="18">
        <f t="shared" si="6"/>
        <v>0.208333333333333</v>
      </c>
      <c r="V58" s="9">
        <f>V56+V57</f>
        <v>29.2</v>
      </c>
      <c r="W58" s="9">
        <f>W56+W57</f>
        <v>0.6</v>
      </c>
      <c r="X58" s="18">
        <f t="shared" si="7"/>
        <v>0.0679702048417132</v>
      </c>
      <c r="Y58" s="9">
        <f>Y56+Y57</f>
        <v>102.6</v>
      </c>
      <c r="Z58" s="9">
        <f>Z56+Z57</f>
        <v>17.4</v>
      </c>
      <c r="AA58" s="63">
        <f>Y58/(E58+Z58)</f>
        <v>0.229838709677419</v>
      </c>
    </row>
    <row r="59" ht="16" hidden="1" customHeight="1" spans="1:27">
      <c r="A59" s="1" t="s">
        <v>56</v>
      </c>
      <c r="B59" s="7" t="s">
        <v>33</v>
      </c>
      <c r="C59" s="9"/>
      <c r="D59" s="9">
        <v>241</v>
      </c>
      <c r="E59" s="9">
        <v>253.4</v>
      </c>
      <c r="F59" s="9">
        <v>134.4</v>
      </c>
      <c r="G59" s="18">
        <f t="shared" si="0"/>
        <v>0.530386740331492</v>
      </c>
      <c r="H59" s="54">
        <f t="shared" si="1"/>
        <v>1.58928571428571</v>
      </c>
      <c r="I59" s="9">
        <v>14.6</v>
      </c>
      <c r="J59" s="9">
        <v>17</v>
      </c>
      <c r="K59" s="18">
        <f t="shared" si="2"/>
        <v>0.0539940828402367</v>
      </c>
      <c r="L59" s="9">
        <v>18.4</v>
      </c>
      <c r="M59" s="9">
        <v>17</v>
      </c>
      <c r="N59" s="18">
        <f t="shared" si="3"/>
        <v>0.0680473372781065</v>
      </c>
      <c r="O59" s="9">
        <v>35.4</v>
      </c>
      <c r="P59" s="9">
        <v>68.4</v>
      </c>
      <c r="Q59" s="18">
        <f t="shared" si="4"/>
        <v>0.110006215040398</v>
      </c>
      <c r="R59" s="9">
        <v>88.2</v>
      </c>
      <c r="S59" s="18">
        <f t="shared" si="5"/>
        <v>0.348066298342541</v>
      </c>
      <c r="T59" s="9">
        <v>12</v>
      </c>
      <c r="U59" s="18">
        <f t="shared" si="6"/>
        <v>0.136054421768707</v>
      </c>
      <c r="V59" s="9">
        <v>6.8</v>
      </c>
      <c r="W59" s="9">
        <v>0</v>
      </c>
      <c r="X59" s="18">
        <f t="shared" si="7"/>
        <v>0.026835043409629</v>
      </c>
      <c r="Y59" s="9">
        <v>38.2</v>
      </c>
      <c r="Z59" s="9">
        <v>10.8</v>
      </c>
      <c r="AA59" s="63">
        <f t="shared" ref="AA59:AA60" si="26">Y59/E59</f>
        <v>0.150749802683504</v>
      </c>
    </row>
    <row r="60" ht="16" hidden="1" customHeight="1" spans="1:27">
      <c r="A60" s="1" t="s">
        <v>56</v>
      </c>
      <c r="B60" s="7" t="s">
        <v>35</v>
      </c>
      <c r="C60" s="9"/>
      <c r="D60" s="9">
        <v>166.8</v>
      </c>
      <c r="E60" s="9">
        <v>245.2</v>
      </c>
      <c r="F60" s="9">
        <v>185.8</v>
      </c>
      <c r="G60" s="18">
        <f t="shared" si="0"/>
        <v>0.757748776508972</v>
      </c>
      <c r="H60" s="54">
        <f t="shared" si="1"/>
        <v>1.83423035522067</v>
      </c>
      <c r="I60" s="9">
        <v>17.6</v>
      </c>
      <c r="J60" s="9">
        <v>23.4</v>
      </c>
      <c r="K60" s="18">
        <f t="shared" si="2"/>
        <v>0.0655249441548772</v>
      </c>
      <c r="L60" s="9">
        <v>54</v>
      </c>
      <c r="M60" s="9">
        <v>39.4</v>
      </c>
      <c r="N60" s="18">
        <f t="shared" si="3"/>
        <v>0.189739985945186</v>
      </c>
      <c r="O60" s="9">
        <v>22.4</v>
      </c>
      <c r="P60" s="9">
        <v>68.4</v>
      </c>
      <c r="Q60" s="18">
        <f t="shared" si="4"/>
        <v>0.0714285714285714</v>
      </c>
      <c r="R60" s="9">
        <v>132.4</v>
      </c>
      <c r="S60" s="18">
        <f t="shared" si="5"/>
        <v>0.539967373572594</v>
      </c>
      <c r="T60" s="9">
        <v>42.2</v>
      </c>
      <c r="U60" s="18">
        <f t="shared" si="6"/>
        <v>0.318731117824773</v>
      </c>
      <c r="V60" s="9">
        <v>25.4</v>
      </c>
      <c r="W60" s="9">
        <v>0.2</v>
      </c>
      <c r="X60" s="18">
        <f t="shared" si="7"/>
        <v>0.103504482477588</v>
      </c>
      <c r="Y60" s="9">
        <v>46.8</v>
      </c>
      <c r="Z60" s="9">
        <v>9.4</v>
      </c>
      <c r="AA60" s="63">
        <f t="shared" si="26"/>
        <v>0.190864600326264</v>
      </c>
    </row>
    <row r="61" ht="16" hidden="1" customHeight="1" spans="1:27">
      <c r="A61" s="1" t="s">
        <v>56</v>
      </c>
      <c r="B61" s="7" t="s">
        <v>36</v>
      </c>
      <c r="C61" s="9"/>
      <c r="D61" s="9">
        <f>D59+D60</f>
        <v>407.8</v>
      </c>
      <c r="E61" s="9">
        <f>E59+E60</f>
        <v>498.6</v>
      </c>
      <c r="F61" s="9">
        <f>F59+F60</f>
        <v>320.2</v>
      </c>
      <c r="G61" s="18">
        <f t="shared" si="0"/>
        <v>0.642198154833534</v>
      </c>
      <c r="H61" s="54">
        <f t="shared" si="1"/>
        <v>1.7314178638351</v>
      </c>
      <c r="I61" s="9">
        <f>I59+I60</f>
        <v>32.2</v>
      </c>
      <c r="J61" s="9">
        <f>J59+J60</f>
        <v>40.4</v>
      </c>
      <c r="K61" s="18">
        <f t="shared" si="2"/>
        <v>0.0597402597402597</v>
      </c>
      <c r="L61" s="9">
        <f>L59+L60</f>
        <v>72.4</v>
      </c>
      <c r="M61" s="9">
        <f>M59+M60</f>
        <v>56.4</v>
      </c>
      <c r="N61" s="18">
        <f t="shared" si="3"/>
        <v>0.13045045045045</v>
      </c>
      <c r="O61" s="9">
        <f>O59+O60</f>
        <v>57.8</v>
      </c>
      <c r="P61" s="9">
        <f>P59+P60</f>
        <v>136.8</v>
      </c>
      <c r="Q61" s="18">
        <f t="shared" si="4"/>
        <v>0.0909663204280768</v>
      </c>
      <c r="R61" s="9">
        <f>R59+R60</f>
        <v>220.6</v>
      </c>
      <c r="S61" s="18">
        <f t="shared" si="5"/>
        <v>0.442438828720417</v>
      </c>
      <c r="T61" s="9">
        <f>T59+T60</f>
        <v>54.2</v>
      </c>
      <c r="U61" s="18">
        <f t="shared" si="6"/>
        <v>0.245693563009973</v>
      </c>
      <c r="V61" s="9">
        <f>V59+V60</f>
        <v>32.2</v>
      </c>
      <c r="W61" s="9">
        <f>W59+W60</f>
        <v>0.2</v>
      </c>
      <c r="X61" s="18">
        <f t="shared" si="7"/>
        <v>0.0645549318364074</v>
      </c>
      <c r="Y61" s="9">
        <f>Y59+Y60</f>
        <v>85</v>
      </c>
      <c r="Z61" s="9">
        <f>Z59+Z60</f>
        <v>20.2</v>
      </c>
      <c r="AA61" s="63">
        <f>Y61/(E61+Z61)</f>
        <v>0.163839629915189</v>
      </c>
    </row>
    <row r="62" ht="16" hidden="1" customHeight="1" spans="1:27">
      <c r="A62" s="1" t="s">
        <v>57</v>
      </c>
      <c r="B62" s="7" t="s">
        <v>33</v>
      </c>
      <c r="C62" s="9"/>
      <c r="D62" s="9">
        <v>248.4</v>
      </c>
      <c r="E62" s="9">
        <v>300.2</v>
      </c>
      <c r="F62" s="9">
        <v>153</v>
      </c>
      <c r="G62" s="18">
        <f t="shared" si="0"/>
        <v>0.509660226515656</v>
      </c>
      <c r="H62" s="54">
        <f t="shared" si="1"/>
        <v>1.58692810457516</v>
      </c>
      <c r="I62" s="9">
        <v>21.6</v>
      </c>
      <c r="J62" s="9">
        <v>21.8</v>
      </c>
      <c r="K62" s="18">
        <f t="shared" si="2"/>
        <v>0.0670807453416149</v>
      </c>
      <c r="L62" s="9">
        <v>19.4</v>
      </c>
      <c r="M62" s="9">
        <v>17</v>
      </c>
      <c r="N62" s="18">
        <f t="shared" si="3"/>
        <v>0.0611601513240857</v>
      </c>
      <c r="O62" s="9">
        <v>37.4</v>
      </c>
      <c r="P62" s="9">
        <v>78.4</v>
      </c>
      <c r="Q62" s="18">
        <f t="shared" si="4"/>
        <v>0.0987849973586899</v>
      </c>
      <c r="R62" s="9">
        <v>92.4</v>
      </c>
      <c r="S62" s="18">
        <f t="shared" si="5"/>
        <v>0.307794803464357</v>
      </c>
      <c r="T62" s="9">
        <v>10.6</v>
      </c>
      <c r="U62" s="18">
        <f t="shared" si="6"/>
        <v>0.114718614718615</v>
      </c>
      <c r="V62" s="9">
        <v>8.6</v>
      </c>
      <c r="W62" s="9">
        <v>0.2</v>
      </c>
      <c r="X62" s="18">
        <f t="shared" si="7"/>
        <v>0.0286284953395473</v>
      </c>
      <c r="Y62" s="9">
        <v>52.8</v>
      </c>
      <c r="Z62" s="9">
        <v>10.8</v>
      </c>
      <c r="AA62" s="63">
        <f t="shared" ref="AA62:AA63" si="27">Y62/E62</f>
        <v>0.175882744836775</v>
      </c>
    </row>
    <row r="63" ht="16" hidden="1" customHeight="1" spans="1:27">
      <c r="A63" s="1" t="s">
        <v>57</v>
      </c>
      <c r="B63" s="7" t="s">
        <v>35</v>
      </c>
      <c r="C63" s="9"/>
      <c r="D63" s="9">
        <v>168.4</v>
      </c>
      <c r="E63" s="9">
        <v>272</v>
      </c>
      <c r="F63" s="9">
        <v>191.8</v>
      </c>
      <c r="G63" s="18">
        <f t="shared" si="0"/>
        <v>0.705147058823529</v>
      </c>
      <c r="H63" s="54">
        <f t="shared" si="1"/>
        <v>1.8029197080292</v>
      </c>
      <c r="I63" s="9">
        <v>18.6</v>
      </c>
      <c r="J63" s="9">
        <v>23</v>
      </c>
      <c r="K63" s="18">
        <f t="shared" si="2"/>
        <v>0.0630508474576271</v>
      </c>
      <c r="L63" s="9">
        <v>52</v>
      </c>
      <c r="M63" s="9">
        <v>39.4</v>
      </c>
      <c r="N63" s="18">
        <f t="shared" si="3"/>
        <v>0.166987797045601</v>
      </c>
      <c r="O63" s="9">
        <v>27.2</v>
      </c>
      <c r="P63" s="9">
        <v>71.2</v>
      </c>
      <c r="Q63" s="18">
        <f t="shared" si="4"/>
        <v>0.0792540792540792</v>
      </c>
      <c r="R63" s="9">
        <v>137.4</v>
      </c>
      <c r="S63" s="18">
        <f t="shared" si="5"/>
        <v>0.505147058823529</v>
      </c>
      <c r="T63" s="9">
        <v>42.8</v>
      </c>
      <c r="U63" s="18">
        <f t="shared" si="6"/>
        <v>0.311499272197962</v>
      </c>
      <c r="V63" s="9">
        <v>18.6</v>
      </c>
      <c r="W63" s="9">
        <v>0.2</v>
      </c>
      <c r="X63" s="18">
        <f t="shared" si="7"/>
        <v>0.0683321087435709</v>
      </c>
      <c r="Y63" s="9">
        <v>49.2</v>
      </c>
      <c r="Z63" s="9">
        <v>8.2</v>
      </c>
      <c r="AA63" s="63">
        <f t="shared" si="27"/>
        <v>0.180882352941176</v>
      </c>
    </row>
    <row r="64" ht="16" hidden="1" customHeight="1" spans="1:27">
      <c r="A64" s="1" t="s">
        <v>57</v>
      </c>
      <c r="B64" s="7" t="s">
        <v>36</v>
      </c>
      <c r="C64" s="9"/>
      <c r="D64" s="9">
        <f>D62+D63</f>
        <v>416.8</v>
      </c>
      <c r="E64" s="9">
        <f>E62+E63</f>
        <v>572.2</v>
      </c>
      <c r="F64" s="9">
        <f>F62+F63</f>
        <v>344.8</v>
      </c>
      <c r="G64" s="18">
        <f t="shared" si="0"/>
        <v>0.602586508213911</v>
      </c>
      <c r="H64" s="54">
        <f t="shared" si="1"/>
        <v>1.70707656612529</v>
      </c>
      <c r="I64" s="9">
        <f>I62+I63</f>
        <v>40.2</v>
      </c>
      <c r="J64" s="9">
        <f>J62+J63</f>
        <v>44.8</v>
      </c>
      <c r="K64" s="18">
        <f t="shared" si="2"/>
        <v>0.0651539708265802</v>
      </c>
      <c r="L64" s="9">
        <f>L62+L63</f>
        <v>71.4</v>
      </c>
      <c r="M64" s="9">
        <f>M62+M63</f>
        <v>56.4</v>
      </c>
      <c r="N64" s="18">
        <f t="shared" si="3"/>
        <v>0.11358574610245</v>
      </c>
      <c r="O64" s="9">
        <f>O62+O63</f>
        <v>64.6</v>
      </c>
      <c r="P64" s="9">
        <f>P62+P63</f>
        <v>149.6</v>
      </c>
      <c r="Q64" s="18">
        <f t="shared" si="4"/>
        <v>0.0894984760321419</v>
      </c>
      <c r="R64" s="9">
        <f>R62+R63</f>
        <v>229.8</v>
      </c>
      <c r="S64" s="18">
        <f t="shared" si="5"/>
        <v>0.401607829430269</v>
      </c>
      <c r="T64" s="9">
        <f>T62+T63</f>
        <v>53.4</v>
      </c>
      <c r="U64" s="18">
        <f t="shared" si="6"/>
        <v>0.232375979112272</v>
      </c>
      <c r="V64" s="9">
        <f>V62+V63</f>
        <v>27.2</v>
      </c>
      <c r="W64" s="9">
        <f>W62+W63</f>
        <v>0.4</v>
      </c>
      <c r="X64" s="18">
        <f t="shared" si="7"/>
        <v>0.047502619629759</v>
      </c>
      <c r="Y64" s="9">
        <f>Y62+Y63</f>
        <v>102</v>
      </c>
      <c r="Z64" s="9">
        <f>Z62+Z63</f>
        <v>19</v>
      </c>
      <c r="AA64" s="63">
        <f>Y64/(E64+Z64)</f>
        <v>0.172530446549391</v>
      </c>
    </row>
    <row r="65" ht="16" hidden="1" customHeight="1" spans="1:27">
      <c r="A65" s="1" t="s">
        <v>58</v>
      </c>
      <c r="B65" s="7" t="s">
        <v>33</v>
      </c>
      <c r="C65" s="9"/>
      <c r="D65" s="9">
        <v>256.8</v>
      </c>
      <c r="E65" s="9">
        <v>253.6</v>
      </c>
      <c r="F65" s="9">
        <v>139.8</v>
      </c>
      <c r="G65" s="18">
        <f t="shared" si="0"/>
        <v>0.551261829652997</v>
      </c>
      <c r="H65" s="54">
        <f t="shared" si="1"/>
        <v>1.55793991416309</v>
      </c>
      <c r="I65" s="9">
        <v>14</v>
      </c>
      <c r="J65" s="9">
        <v>14.6</v>
      </c>
      <c r="K65" s="18">
        <f t="shared" si="2"/>
        <v>0.052199850857569</v>
      </c>
      <c r="L65" s="9">
        <v>16.4</v>
      </c>
      <c r="M65" s="9">
        <v>12.8</v>
      </c>
      <c r="N65" s="18">
        <f t="shared" si="3"/>
        <v>0.0615615615615616</v>
      </c>
      <c r="O65" s="9">
        <v>33.2</v>
      </c>
      <c r="P65" s="9">
        <v>73.4</v>
      </c>
      <c r="Q65" s="18">
        <f t="shared" si="4"/>
        <v>0.101529051987768</v>
      </c>
      <c r="R65" s="9">
        <v>89.6</v>
      </c>
      <c r="S65" s="18">
        <f t="shared" si="5"/>
        <v>0.353312302839117</v>
      </c>
      <c r="T65" s="9">
        <v>14.8</v>
      </c>
      <c r="U65" s="18">
        <f t="shared" si="6"/>
        <v>0.165178571428571</v>
      </c>
      <c r="V65" s="9">
        <v>8</v>
      </c>
      <c r="W65" s="9">
        <v>0.4</v>
      </c>
      <c r="X65" s="18">
        <f t="shared" si="7"/>
        <v>0.031496062992126</v>
      </c>
      <c r="Y65" s="9">
        <v>41.8</v>
      </c>
      <c r="Z65" s="9">
        <v>6.4</v>
      </c>
      <c r="AA65" s="63">
        <f t="shared" ref="AA65:AA66" si="28">Y65/E65</f>
        <v>0.164826498422713</v>
      </c>
    </row>
    <row r="66" ht="16" hidden="1" customHeight="1" spans="1:27">
      <c r="A66" s="1" t="s">
        <v>58</v>
      </c>
      <c r="B66" s="7" t="s">
        <v>35</v>
      </c>
      <c r="C66" s="9"/>
      <c r="D66" s="9">
        <v>196.6</v>
      </c>
      <c r="E66" s="9">
        <v>247</v>
      </c>
      <c r="F66" s="9">
        <v>184.2</v>
      </c>
      <c r="G66" s="18">
        <f t="shared" si="0"/>
        <v>0.745748987854251</v>
      </c>
      <c r="H66" s="54">
        <f t="shared" si="1"/>
        <v>1.80456026058632</v>
      </c>
      <c r="I66" s="9">
        <v>12</v>
      </c>
      <c r="J66" s="9">
        <v>19.4</v>
      </c>
      <c r="K66" s="18">
        <f t="shared" si="2"/>
        <v>0.045045045045045</v>
      </c>
      <c r="L66" s="9">
        <v>56</v>
      </c>
      <c r="M66" s="9">
        <v>43.6</v>
      </c>
      <c r="N66" s="18">
        <f t="shared" si="3"/>
        <v>0.192704748795595</v>
      </c>
      <c r="O66" s="9">
        <v>24.8</v>
      </c>
      <c r="P66" s="9">
        <v>67.8</v>
      </c>
      <c r="Q66" s="18">
        <f t="shared" si="4"/>
        <v>0.0787801778907243</v>
      </c>
      <c r="R66" s="9">
        <v>132.4</v>
      </c>
      <c r="S66" s="18">
        <f t="shared" si="5"/>
        <v>0.536032388663968</v>
      </c>
      <c r="T66" s="9">
        <v>42.6</v>
      </c>
      <c r="U66" s="18">
        <f t="shared" si="6"/>
        <v>0.321752265861027</v>
      </c>
      <c r="V66" s="9">
        <v>20</v>
      </c>
      <c r="W66" s="9">
        <v>0.2</v>
      </c>
      <c r="X66" s="18">
        <f t="shared" si="7"/>
        <v>0.0809061488673139</v>
      </c>
      <c r="Y66" s="9">
        <v>44.6</v>
      </c>
      <c r="Z66" s="9">
        <v>7.2</v>
      </c>
      <c r="AA66" s="63">
        <f t="shared" si="28"/>
        <v>0.180566801619433</v>
      </c>
    </row>
    <row r="67" ht="16" hidden="1" customHeight="1" spans="1:27">
      <c r="A67" s="1" t="s">
        <v>58</v>
      </c>
      <c r="B67" s="7" t="s">
        <v>36</v>
      </c>
      <c r="C67" s="9"/>
      <c r="D67" s="9">
        <f>D65+D66</f>
        <v>453.4</v>
      </c>
      <c r="E67" s="9">
        <f>E65+E66</f>
        <v>500.6</v>
      </c>
      <c r="F67" s="9">
        <f>F65+F66</f>
        <v>324</v>
      </c>
      <c r="G67" s="18">
        <f t="shared" si="0"/>
        <v>0.647223332001598</v>
      </c>
      <c r="H67" s="54">
        <f t="shared" si="1"/>
        <v>1.69814814814815</v>
      </c>
      <c r="I67" s="9">
        <f>I65+I66</f>
        <v>26</v>
      </c>
      <c r="J67" s="9">
        <f>J65+J66</f>
        <v>34</v>
      </c>
      <c r="K67" s="18">
        <f t="shared" si="2"/>
        <v>0.0486344930789375</v>
      </c>
      <c r="L67" s="9">
        <f>L65+L66</f>
        <v>72.4</v>
      </c>
      <c r="M67" s="9">
        <f>M65+M66</f>
        <v>56.4</v>
      </c>
      <c r="N67" s="18">
        <f t="shared" si="3"/>
        <v>0.129982046678636</v>
      </c>
      <c r="O67" s="9">
        <f>O65+O66</f>
        <v>58</v>
      </c>
      <c r="P67" s="9">
        <f>P65+P66</f>
        <v>141.2</v>
      </c>
      <c r="Q67" s="18">
        <f t="shared" si="4"/>
        <v>0.0903708320349018</v>
      </c>
      <c r="R67" s="9">
        <f>R65+R66</f>
        <v>222</v>
      </c>
      <c r="S67" s="18">
        <f t="shared" si="5"/>
        <v>0.443467838593688</v>
      </c>
      <c r="T67" s="9">
        <f>T65+T66</f>
        <v>57.4</v>
      </c>
      <c r="U67" s="18">
        <f t="shared" si="6"/>
        <v>0.258558558558559</v>
      </c>
      <c r="V67" s="9">
        <f>V65+V66</f>
        <v>28</v>
      </c>
      <c r="W67" s="9">
        <f>W65+W66</f>
        <v>0.6</v>
      </c>
      <c r="X67" s="18">
        <f t="shared" si="7"/>
        <v>0.0558659217877095</v>
      </c>
      <c r="Y67" s="9">
        <f>Y65+Y66</f>
        <v>86.4</v>
      </c>
      <c r="Z67" s="9">
        <f>Z65+Z66</f>
        <v>13.6</v>
      </c>
      <c r="AA67" s="63">
        <f>Y67/(E67+Z67)</f>
        <v>0.168028004667445</v>
      </c>
    </row>
    <row r="68" ht="16" hidden="1" customHeight="1" spans="1:27">
      <c r="A68" s="1" t="s">
        <v>59</v>
      </c>
      <c r="B68" s="7" t="s">
        <v>33</v>
      </c>
      <c r="C68" s="9"/>
      <c r="D68" s="9">
        <v>220.8</v>
      </c>
      <c r="E68" s="9">
        <v>227.8</v>
      </c>
      <c r="F68" s="9">
        <v>132.6</v>
      </c>
      <c r="G68" s="18">
        <f t="shared" si="0"/>
        <v>0.582089552238806</v>
      </c>
      <c r="H68" s="54">
        <f t="shared" si="1"/>
        <v>1.63197586726999</v>
      </c>
      <c r="I68" s="9">
        <v>11</v>
      </c>
      <c r="J68" s="9">
        <v>10.8</v>
      </c>
      <c r="K68" s="18">
        <f t="shared" si="2"/>
        <v>0.0461022632020117</v>
      </c>
      <c r="L68" s="9">
        <v>16</v>
      </c>
      <c r="M68" s="9">
        <v>12.8</v>
      </c>
      <c r="N68" s="18">
        <f t="shared" si="3"/>
        <v>0.0665004156275977</v>
      </c>
      <c r="O68" s="9">
        <v>34.4</v>
      </c>
      <c r="P68" s="9">
        <v>78.4</v>
      </c>
      <c r="Q68" s="18">
        <f t="shared" si="4"/>
        <v>0.112344872632266</v>
      </c>
      <c r="R68" s="9">
        <v>91.6</v>
      </c>
      <c r="S68" s="18">
        <f t="shared" si="5"/>
        <v>0.402107111501317</v>
      </c>
      <c r="T68" s="9">
        <v>16.4</v>
      </c>
      <c r="U68" s="18">
        <f t="shared" si="6"/>
        <v>0.179039301310044</v>
      </c>
      <c r="V68" s="9">
        <v>9.4</v>
      </c>
      <c r="W68" s="9">
        <v>0</v>
      </c>
      <c r="X68" s="18">
        <f t="shared" si="7"/>
        <v>0.0412642669007902</v>
      </c>
      <c r="Y68" s="9">
        <v>37.6</v>
      </c>
      <c r="Z68" s="9">
        <v>5.8</v>
      </c>
      <c r="AA68" s="63">
        <f t="shared" ref="AA68:AA69" si="29">Y68/E68</f>
        <v>0.165057067603161</v>
      </c>
    </row>
    <row r="69" ht="16" hidden="1" customHeight="1" spans="1:27">
      <c r="A69" s="1" t="s">
        <v>59</v>
      </c>
      <c r="B69" s="7" t="s">
        <v>35</v>
      </c>
      <c r="C69" s="9"/>
      <c r="D69" s="9">
        <v>168.4</v>
      </c>
      <c r="E69" s="9">
        <v>234.8</v>
      </c>
      <c r="F69" s="9">
        <v>177.2</v>
      </c>
      <c r="G69" s="18">
        <f t="shared" si="0"/>
        <v>0.754684838160136</v>
      </c>
      <c r="H69" s="54">
        <f t="shared" si="1"/>
        <v>1.79909706546275</v>
      </c>
      <c r="I69" s="9">
        <v>14.2</v>
      </c>
      <c r="J69" s="9">
        <v>16.4</v>
      </c>
      <c r="K69" s="18">
        <f t="shared" si="2"/>
        <v>0.0565286624203822</v>
      </c>
      <c r="L69" s="9">
        <v>48.6</v>
      </c>
      <c r="M69" s="9">
        <v>36</v>
      </c>
      <c r="N69" s="18">
        <f t="shared" si="3"/>
        <v>0.179468242245199</v>
      </c>
      <c r="O69" s="9">
        <v>25.4</v>
      </c>
      <c r="P69" s="9">
        <v>61.2</v>
      </c>
      <c r="Q69" s="18">
        <f t="shared" si="4"/>
        <v>0.0858108108108108</v>
      </c>
      <c r="R69" s="9">
        <v>127.4</v>
      </c>
      <c r="S69" s="18">
        <f t="shared" si="5"/>
        <v>0.542589437819421</v>
      </c>
      <c r="T69" s="9">
        <v>38.6</v>
      </c>
      <c r="U69" s="18">
        <f t="shared" si="6"/>
        <v>0.30298273155416</v>
      </c>
      <c r="V69" s="9">
        <v>16.6</v>
      </c>
      <c r="W69" s="9">
        <v>0.2</v>
      </c>
      <c r="X69" s="18">
        <f t="shared" si="7"/>
        <v>0.0706382978723404</v>
      </c>
      <c r="Y69" s="9">
        <v>48</v>
      </c>
      <c r="Z69" s="9">
        <v>6.8</v>
      </c>
      <c r="AA69" s="63">
        <f t="shared" si="29"/>
        <v>0.20442930153322</v>
      </c>
    </row>
    <row r="70" ht="16" hidden="1" customHeight="1" spans="1:27">
      <c r="A70" s="1" t="s">
        <v>59</v>
      </c>
      <c r="B70" s="7" t="s">
        <v>36</v>
      </c>
      <c r="C70" s="9"/>
      <c r="D70" s="9">
        <f>D68+D69</f>
        <v>389.2</v>
      </c>
      <c r="E70" s="9">
        <f>E68+E69</f>
        <v>462.6</v>
      </c>
      <c r="F70" s="9">
        <f>F68+F69</f>
        <v>309.8</v>
      </c>
      <c r="G70" s="18">
        <f t="shared" si="0"/>
        <v>0.669693039342845</v>
      </c>
      <c r="H70" s="54">
        <f t="shared" si="1"/>
        <v>1.72756617172369</v>
      </c>
      <c r="I70" s="9">
        <f>I68+I69</f>
        <v>25.2</v>
      </c>
      <c r="J70" s="9">
        <f>J68+J69</f>
        <v>27.2</v>
      </c>
      <c r="K70" s="18">
        <f t="shared" si="2"/>
        <v>0.0514495712535729</v>
      </c>
      <c r="L70" s="9">
        <f>L68+L69</f>
        <v>64.6</v>
      </c>
      <c r="M70" s="9">
        <f>M68+M69</f>
        <v>48.8</v>
      </c>
      <c r="N70" s="18">
        <f t="shared" si="3"/>
        <v>0.126319906140008</v>
      </c>
      <c r="O70" s="9">
        <f>O68+O69</f>
        <v>59.8</v>
      </c>
      <c r="P70" s="9">
        <f>P68+P69</f>
        <v>139.6</v>
      </c>
      <c r="Q70" s="18">
        <f t="shared" si="4"/>
        <v>0.0993025572899369</v>
      </c>
      <c r="R70" s="9">
        <f>R68+R69</f>
        <v>219</v>
      </c>
      <c r="S70" s="18">
        <f t="shared" si="5"/>
        <v>0.473411154345006</v>
      </c>
      <c r="T70" s="9">
        <f>T68+T69</f>
        <v>55</v>
      </c>
      <c r="U70" s="18">
        <f t="shared" si="6"/>
        <v>0.251141552511416</v>
      </c>
      <c r="V70" s="9">
        <f>V68+V69</f>
        <v>26</v>
      </c>
      <c r="W70" s="9">
        <f>W68+W69</f>
        <v>0.2</v>
      </c>
      <c r="X70" s="18">
        <f t="shared" si="7"/>
        <v>0.0561797752808989</v>
      </c>
      <c r="Y70" s="9">
        <f>Y68+Y69</f>
        <v>85.6</v>
      </c>
      <c r="Z70" s="9">
        <f>Z68+Z69</f>
        <v>12.6</v>
      </c>
      <c r="AA70" s="63">
        <f>Y70/(E70+Z70)</f>
        <v>0.18013468013468</v>
      </c>
    </row>
    <row r="71" ht="16" hidden="1" customHeight="1" spans="1:27">
      <c r="A71" s="1" t="s">
        <v>60</v>
      </c>
      <c r="B71" s="7" t="s">
        <v>33</v>
      </c>
      <c r="C71" s="9"/>
      <c r="D71" s="9">
        <v>230.2</v>
      </c>
      <c r="E71" s="9">
        <v>240.2</v>
      </c>
      <c r="F71" s="9">
        <v>139</v>
      </c>
      <c r="G71" s="18">
        <f t="shared" si="0"/>
        <v>0.578684429641965</v>
      </c>
      <c r="H71" s="54">
        <f t="shared" si="1"/>
        <v>1.55395683453237</v>
      </c>
      <c r="I71" s="9">
        <v>6.6</v>
      </c>
      <c r="J71" s="9">
        <v>14.6</v>
      </c>
      <c r="K71" s="18">
        <f t="shared" si="2"/>
        <v>0.0259026687598116</v>
      </c>
      <c r="L71" s="9">
        <v>16.4</v>
      </c>
      <c r="M71" s="9">
        <v>13.6</v>
      </c>
      <c r="N71" s="18">
        <f t="shared" si="3"/>
        <v>0.0646178092986604</v>
      </c>
      <c r="O71" s="9">
        <v>32.4</v>
      </c>
      <c r="P71" s="9">
        <v>79.6</v>
      </c>
      <c r="Q71" s="18">
        <f t="shared" si="4"/>
        <v>0.101313320825516</v>
      </c>
      <c r="R71" s="9">
        <v>95.4</v>
      </c>
      <c r="S71" s="18">
        <f t="shared" si="5"/>
        <v>0.397169025811824</v>
      </c>
      <c r="T71" s="9">
        <v>10.8</v>
      </c>
      <c r="U71" s="18">
        <f t="shared" si="6"/>
        <v>0.113207547169811</v>
      </c>
      <c r="V71" s="9">
        <v>11.2</v>
      </c>
      <c r="W71" s="9">
        <v>0</v>
      </c>
      <c r="X71" s="18">
        <f t="shared" si="7"/>
        <v>0.0466278101582015</v>
      </c>
      <c r="Y71" s="9">
        <v>43.2</v>
      </c>
      <c r="Z71" s="9">
        <v>6.4</v>
      </c>
      <c r="AA71" s="63">
        <f t="shared" ref="AA71:AA72" si="30">Y71/E71</f>
        <v>0.17985012489592</v>
      </c>
    </row>
    <row r="72" ht="16" hidden="1" customHeight="1" spans="1:27">
      <c r="A72" s="1" t="s">
        <v>60</v>
      </c>
      <c r="B72" s="7" t="s">
        <v>35</v>
      </c>
      <c r="C72" s="9"/>
      <c r="D72" s="9">
        <v>186.6</v>
      </c>
      <c r="E72" s="9">
        <v>232.8</v>
      </c>
      <c r="F72" s="9">
        <v>174.6</v>
      </c>
      <c r="G72" s="18">
        <f t="shared" si="0"/>
        <v>0.75</v>
      </c>
      <c r="H72" s="54">
        <f t="shared" si="1"/>
        <v>1.80183276059565</v>
      </c>
      <c r="I72" s="9">
        <v>9.8</v>
      </c>
      <c r="J72" s="9">
        <v>13.6</v>
      </c>
      <c r="K72" s="18">
        <f t="shared" si="2"/>
        <v>0.0397727272727273</v>
      </c>
      <c r="L72" s="9">
        <v>48.8</v>
      </c>
      <c r="M72" s="9">
        <v>34.8</v>
      </c>
      <c r="N72" s="18">
        <f t="shared" si="3"/>
        <v>0.182361733931241</v>
      </c>
      <c r="O72" s="9">
        <v>23</v>
      </c>
      <c r="P72" s="9">
        <v>62.8</v>
      </c>
      <c r="Q72" s="18">
        <f t="shared" si="4"/>
        <v>0.077807848443843</v>
      </c>
      <c r="R72" s="9">
        <v>126.6</v>
      </c>
      <c r="S72" s="18">
        <f t="shared" si="5"/>
        <v>0.543814432989691</v>
      </c>
      <c r="T72" s="9">
        <v>42.2</v>
      </c>
      <c r="U72" s="18">
        <f t="shared" si="6"/>
        <v>0.333333333333333</v>
      </c>
      <c r="V72" s="9">
        <v>17.4</v>
      </c>
      <c r="W72" s="9">
        <v>0.2</v>
      </c>
      <c r="X72" s="18">
        <f t="shared" si="7"/>
        <v>0.0746781115879828</v>
      </c>
      <c r="Y72" s="9">
        <v>46.8</v>
      </c>
      <c r="Z72" s="9">
        <v>5.2</v>
      </c>
      <c r="AA72" s="63">
        <f t="shared" si="30"/>
        <v>0.201030927835052</v>
      </c>
    </row>
    <row r="73" ht="16" hidden="1" customHeight="1" spans="1:27">
      <c r="A73" s="1" t="s">
        <v>60</v>
      </c>
      <c r="B73" s="7" t="s">
        <v>36</v>
      </c>
      <c r="C73" s="9"/>
      <c r="D73" s="9">
        <f>D71+D72</f>
        <v>416.8</v>
      </c>
      <c r="E73" s="9">
        <f>E71+E72</f>
        <v>473</v>
      </c>
      <c r="F73" s="9">
        <f>F71+F72</f>
        <v>313.6</v>
      </c>
      <c r="G73" s="18">
        <f t="shared" si="0"/>
        <v>0.663002114164905</v>
      </c>
      <c r="H73" s="54">
        <f t="shared" si="1"/>
        <v>1.69196428571429</v>
      </c>
      <c r="I73" s="9">
        <f>I71+I72</f>
        <v>16.4</v>
      </c>
      <c r="J73" s="9">
        <f>J71+J72</f>
        <v>28.2</v>
      </c>
      <c r="K73" s="18">
        <f t="shared" si="2"/>
        <v>0.0327214684756584</v>
      </c>
      <c r="L73" s="9">
        <f>L71+L72</f>
        <v>65.2</v>
      </c>
      <c r="M73" s="9">
        <f>M71+M72</f>
        <v>48.4</v>
      </c>
      <c r="N73" s="18">
        <f t="shared" si="3"/>
        <v>0.125047947832758</v>
      </c>
      <c r="O73" s="9">
        <f>O71+O72</f>
        <v>55.4</v>
      </c>
      <c r="P73" s="9">
        <f>P71+P72</f>
        <v>142.4</v>
      </c>
      <c r="Q73" s="18">
        <f t="shared" si="4"/>
        <v>0.0900227494312642</v>
      </c>
      <c r="R73" s="9">
        <f>R71+R72</f>
        <v>222</v>
      </c>
      <c r="S73" s="18">
        <f t="shared" si="5"/>
        <v>0.469344608879493</v>
      </c>
      <c r="T73" s="9">
        <f>T71+T72</f>
        <v>53</v>
      </c>
      <c r="U73" s="18">
        <f t="shared" si="6"/>
        <v>0.238738738738739</v>
      </c>
      <c r="V73" s="9">
        <f>V71+V72</f>
        <v>28.6</v>
      </c>
      <c r="W73" s="9">
        <f>W71+W72</f>
        <v>0.2</v>
      </c>
      <c r="X73" s="18">
        <f t="shared" si="7"/>
        <v>0.0604395604395604</v>
      </c>
      <c r="Y73" s="9">
        <f>Y71+Y72</f>
        <v>90</v>
      </c>
      <c r="Z73" s="9">
        <f>Z71+Z72</f>
        <v>11.6</v>
      </c>
      <c r="AA73" s="63">
        <f>Y73/(E73+Z73)</f>
        <v>0.185720181593066</v>
      </c>
    </row>
    <row r="74" ht="16" hidden="1" customHeight="1" spans="1:27">
      <c r="A74" s="1" t="s">
        <v>61</v>
      </c>
      <c r="B74" s="7" t="s">
        <v>33</v>
      </c>
      <c r="C74" s="9"/>
      <c r="D74" s="9">
        <v>205</v>
      </c>
      <c r="E74" s="9">
        <v>237.4</v>
      </c>
      <c r="F74" s="9">
        <v>134.2</v>
      </c>
      <c r="G74" s="18">
        <f t="shared" si="0"/>
        <v>0.565290648694187</v>
      </c>
      <c r="H74" s="54">
        <f t="shared" si="1"/>
        <v>1.61549925484352</v>
      </c>
      <c r="I74" s="9">
        <v>8.4</v>
      </c>
      <c r="J74" s="9">
        <v>12</v>
      </c>
      <c r="K74" s="18">
        <f t="shared" si="2"/>
        <v>0.0336808340016038</v>
      </c>
      <c r="L74" s="9">
        <v>16.8</v>
      </c>
      <c r="M74" s="9">
        <v>14.2</v>
      </c>
      <c r="N74" s="18">
        <f t="shared" si="3"/>
        <v>0.0667726550079491</v>
      </c>
      <c r="O74" s="9">
        <v>38.4</v>
      </c>
      <c r="P74" s="9">
        <v>78.2</v>
      </c>
      <c r="Q74" s="18">
        <f t="shared" si="4"/>
        <v>0.121673003802281</v>
      </c>
      <c r="R74" s="9">
        <v>92.8</v>
      </c>
      <c r="S74" s="18">
        <f t="shared" si="5"/>
        <v>0.390901432181971</v>
      </c>
      <c r="T74" s="9">
        <v>12.8</v>
      </c>
      <c r="U74" s="18">
        <f t="shared" si="6"/>
        <v>0.137931034482759</v>
      </c>
      <c r="V74" s="9">
        <v>10.8</v>
      </c>
      <c r="W74" s="9">
        <v>0</v>
      </c>
      <c r="X74" s="18">
        <f t="shared" si="7"/>
        <v>0.0454928390901432</v>
      </c>
      <c r="Y74" s="9">
        <v>36.8</v>
      </c>
      <c r="Z74" s="9">
        <v>7.4</v>
      </c>
      <c r="AA74" s="63">
        <f t="shared" ref="AA74:AA75" si="31">Y74/E74</f>
        <v>0.155012636899747</v>
      </c>
    </row>
    <row r="75" ht="16" hidden="1" customHeight="1" spans="1:27">
      <c r="A75" s="1" t="s">
        <v>61</v>
      </c>
      <c r="B75" s="7" t="s">
        <v>35</v>
      </c>
      <c r="C75" s="9"/>
      <c r="D75" s="9">
        <v>172.6</v>
      </c>
      <c r="E75" s="9">
        <v>219</v>
      </c>
      <c r="F75" s="9">
        <v>153.8</v>
      </c>
      <c r="G75" s="18">
        <f t="shared" si="0"/>
        <v>0.702283105022831</v>
      </c>
      <c r="H75" s="54">
        <f t="shared" si="1"/>
        <v>1.7555266579974</v>
      </c>
      <c r="I75" s="9">
        <v>10.2</v>
      </c>
      <c r="J75" s="9">
        <v>14.8</v>
      </c>
      <c r="K75" s="18">
        <f t="shared" si="2"/>
        <v>0.0436270316509837</v>
      </c>
      <c r="L75" s="9">
        <v>49.2</v>
      </c>
      <c r="M75" s="9">
        <v>33.4</v>
      </c>
      <c r="N75" s="18">
        <f t="shared" si="3"/>
        <v>0.194928684627575</v>
      </c>
      <c r="O75" s="9">
        <v>19.6</v>
      </c>
      <c r="P75" s="9">
        <v>56</v>
      </c>
      <c r="Q75" s="18">
        <f t="shared" si="4"/>
        <v>0.0712727272727273</v>
      </c>
      <c r="R75" s="9">
        <v>103</v>
      </c>
      <c r="S75" s="18">
        <f t="shared" si="5"/>
        <v>0.470319634703196</v>
      </c>
      <c r="T75" s="9">
        <v>36.8</v>
      </c>
      <c r="U75" s="18">
        <f t="shared" si="6"/>
        <v>0.357281553398058</v>
      </c>
      <c r="V75" s="9">
        <v>15.4</v>
      </c>
      <c r="W75" s="9">
        <v>0</v>
      </c>
      <c r="X75" s="18">
        <f t="shared" si="7"/>
        <v>0.0703196347031964</v>
      </c>
      <c r="Y75" s="9">
        <v>35.8</v>
      </c>
      <c r="Z75" s="9">
        <v>5</v>
      </c>
      <c r="AA75" s="63">
        <f t="shared" si="31"/>
        <v>0.163470319634703</v>
      </c>
    </row>
    <row r="76" ht="16" hidden="1" customHeight="1" spans="1:27">
      <c r="A76" s="1" t="s">
        <v>61</v>
      </c>
      <c r="B76" s="7" t="s">
        <v>36</v>
      </c>
      <c r="C76" s="9"/>
      <c r="D76" s="9">
        <f>D74+D75</f>
        <v>377.6</v>
      </c>
      <c r="E76" s="9">
        <f>E74+E75</f>
        <v>456.4</v>
      </c>
      <c r="F76" s="9">
        <f>F74+F75</f>
        <v>288</v>
      </c>
      <c r="G76" s="18">
        <f t="shared" si="0"/>
        <v>0.63102541630149</v>
      </c>
      <c r="H76" s="54">
        <f t="shared" si="1"/>
        <v>1.69027777777778</v>
      </c>
      <c r="I76" s="9">
        <f>I74+I75</f>
        <v>18.6</v>
      </c>
      <c r="J76" s="9">
        <f>J74+J75</f>
        <v>26.8</v>
      </c>
      <c r="K76" s="18">
        <f t="shared" si="2"/>
        <v>0.0384933774834437</v>
      </c>
      <c r="L76" s="9">
        <f>L74+L75</f>
        <v>66</v>
      </c>
      <c r="M76" s="9">
        <f>M74+M75</f>
        <v>47.6</v>
      </c>
      <c r="N76" s="18">
        <f t="shared" si="3"/>
        <v>0.130952380952381</v>
      </c>
      <c r="O76" s="9">
        <f>O74+O75</f>
        <v>58</v>
      </c>
      <c r="P76" s="9">
        <f>P74+P75</f>
        <v>134.2</v>
      </c>
      <c r="Q76" s="18">
        <f t="shared" si="4"/>
        <v>0.0982052150355571</v>
      </c>
      <c r="R76" s="9">
        <f>R74+R75</f>
        <v>195.8</v>
      </c>
      <c r="S76" s="18">
        <f t="shared" si="5"/>
        <v>0.429009640666082</v>
      </c>
      <c r="T76" s="9">
        <f>T74+T75</f>
        <v>49.6</v>
      </c>
      <c r="U76" s="18">
        <f t="shared" si="6"/>
        <v>0.253319713993871</v>
      </c>
      <c r="V76" s="9">
        <f>V74+V75</f>
        <v>26.2</v>
      </c>
      <c r="W76" s="9">
        <f>W74+W75</f>
        <v>0</v>
      </c>
      <c r="X76" s="18">
        <f t="shared" si="7"/>
        <v>0.0574057843996494</v>
      </c>
      <c r="Y76" s="9">
        <f>Y74+Y75</f>
        <v>72.6</v>
      </c>
      <c r="Z76" s="9">
        <f>Z74+Z75</f>
        <v>12.4</v>
      </c>
      <c r="AA76" s="63">
        <f>Y76/(E76+Z76)</f>
        <v>0.154863481228669</v>
      </c>
    </row>
    <row r="77" ht="16" hidden="1" customHeight="1" spans="1:27">
      <c r="A77" s="1" t="s">
        <v>62</v>
      </c>
      <c r="B77" s="7" t="s">
        <v>33</v>
      </c>
      <c r="C77" s="9"/>
      <c r="D77" s="9">
        <v>235.4</v>
      </c>
      <c r="E77" s="9">
        <v>248.6</v>
      </c>
      <c r="F77" s="9">
        <v>139</v>
      </c>
      <c r="G77" s="18">
        <f t="shared" si="0"/>
        <v>0.559131134352373</v>
      </c>
      <c r="H77" s="54">
        <f t="shared" si="1"/>
        <v>1.57410071942446</v>
      </c>
      <c r="I77" s="9">
        <v>3.2</v>
      </c>
      <c r="J77" s="9">
        <v>10.4</v>
      </c>
      <c r="K77" s="18">
        <f t="shared" si="2"/>
        <v>0.0123552123552124</v>
      </c>
      <c r="L77" s="9">
        <v>16</v>
      </c>
      <c r="M77" s="9">
        <v>11.2</v>
      </c>
      <c r="N77" s="18">
        <f t="shared" si="3"/>
        <v>0.0615858352578907</v>
      </c>
      <c r="O77" s="9">
        <v>40.2</v>
      </c>
      <c r="P77" s="9">
        <v>83.6</v>
      </c>
      <c r="Q77" s="18">
        <f t="shared" si="4"/>
        <v>0.121011438892234</v>
      </c>
      <c r="R77" s="9">
        <v>94.2</v>
      </c>
      <c r="S77" s="18">
        <f t="shared" si="5"/>
        <v>0.378921962992759</v>
      </c>
      <c r="T77" s="9">
        <v>13.2</v>
      </c>
      <c r="U77" s="18">
        <f t="shared" si="6"/>
        <v>0.140127388535032</v>
      </c>
      <c r="V77" s="9">
        <v>11.8</v>
      </c>
      <c r="W77" s="9">
        <v>0</v>
      </c>
      <c r="X77" s="18">
        <f t="shared" si="7"/>
        <v>0.0474658085277554</v>
      </c>
      <c r="Y77" s="9">
        <v>40.2</v>
      </c>
      <c r="Z77" s="9">
        <v>5.4</v>
      </c>
      <c r="AA77" s="63">
        <f t="shared" ref="AA77:AA78" si="32">Y77/E77</f>
        <v>0.161705551086082</v>
      </c>
    </row>
    <row r="78" ht="16" hidden="1" customHeight="1" spans="1:27">
      <c r="A78" s="1" t="s">
        <v>62</v>
      </c>
      <c r="B78" s="7" t="s">
        <v>35</v>
      </c>
      <c r="C78" s="9"/>
      <c r="D78" s="9">
        <v>171</v>
      </c>
      <c r="E78" s="9">
        <v>266.8</v>
      </c>
      <c r="F78" s="9">
        <v>179.4</v>
      </c>
      <c r="G78" s="18">
        <f t="shared" si="0"/>
        <v>0.672413793103448</v>
      </c>
      <c r="H78" s="54">
        <f t="shared" si="1"/>
        <v>1.74581939799331</v>
      </c>
      <c r="I78" s="9">
        <v>10.6</v>
      </c>
      <c r="J78" s="9">
        <v>19.2</v>
      </c>
      <c r="K78" s="18">
        <f t="shared" si="2"/>
        <v>0.0370629370629371</v>
      </c>
      <c r="L78" s="9">
        <v>49</v>
      </c>
      <c r="M78" s="9">
        <v>35.2</v>
      </c>
      <c r="N78" s="18">
        <f t="shared" si="3"/>
        <v>0.162251655629139</v>
      </c>
      <c r="O78" s="9">
        <v>24.8</v>
      </c>
      <c r="P78" s="9">
        <v>67</v>
      </c>
      <c r="Q78" s="18">
        <f t="shared" si="4"/>
        <v>0.0742959856201318</v>
      </c>
      <c r="R78" s="9">
        <v>127.4</v>
      </c>
      <c r="S78" s="18">
        <f t="shared" si="5"/>
        <v>0.477511244377811</v>
      </c>
      <c r="T78" s="9">
        <v>44.2</v>
      </c>
      <c r="U78" s="18">
        <f t="shared" si="6"/>
        <v>0.346938775510204</v>
      </c>
      <c r="V78" s="9">
        <v>13.8</v>
      </c>
      <c r="W78" s="9">
        <v>0.2</v>
      </c>
      <c r="X78" s="18">
        <f t="shared" si="7"/>
        <v>0.051685393258427</v>
      </c>
      <c r="Y78" s="9">
        <v>43.4</v>
      </c>
      <c r="Z78" s="9">
        <v>7</v>
      </c>
      <c r="AA78" s="63">
        <f t="shared" si="32"/>
        <v>0.162668665667166</v>
      </c>
    </row>
    <row r="79" ht="16" hidden="1" customHeight="1" spans="1:27">
      <c r="A79" s="1" t="s">
        <v>62</v>
      </c>
      <c r="B79" s="7" t="s">
        <v>36</v>
      </c>
      <c r="C79" s="9"/>
      <c r="D79" s="9">
        <f>D77+D78</f>
        <v>406.4</v>
      </c>
      <c r="E79" s="9">
        <f>E77+E78</f>
        <v>515.4</v>
      </c>
      <c r="F79" s="9">
        <f>F77+F78</f>
        <v>318.4</v>
      </c>
      <c r="G79" s="18">
        <f t="shared" si="0"/>
        <v>0.617772603802872</v>
      </c>
      <c r="H79" s="54">
        <f t="shared" si="1"/>
        <v>1.67085427135678</v>
      </c>
      <c r="I79" s="9">
        <f>I77+I78</f>
        <v>13.8</v>
      </c>
      <c r="J79" s="9">
        <f>J77+J78</f>
        <v>29.6</v>
      </c>
      <c r="K79" s="18">
        <f t="shared" si="2"/>
        <v>0.0253211009174312</v>
      </c>
      <c r="L79" s="9">
        <f>L77+L78</f>
        <v>65</v>
      </c>
      <c r="M79" s="9">
        <f>M77+M78</f>
        <v>46.4</v>
      </c>
      <c r="N79" s="18">
        <f t="shared" si="3"/>
        <v>0.115699537201851</v>
      </c>
      <c r="O79" s="9">
        <f>O77+O78</f>
        <v>65</v>
      </c>
      <c r="P79" s="9">
        <f>P77+P78</f>
        <v>150.6</v>
      </c>
      <c r="Q79" s="18">
        <f t="shared" si="4"/>
        <v>0.0975975975975976</v>
      </c>
      <c r="R79" s="9">
        <f>R77+R78</f>
        <v>221.6</v>
      </c>
      <c r="S79" s="18">
        <f t="shared" si="5"/>
        <v>0.429957314707024</v>
      </c>
      <c r="T79" s="9">
        <f>T77+T78</f>
        <v>57.4</v>
      </c>
      <c r="U79" s="18">
        <f t="shared" si="6"/>
        <v>0.259025270758123</v>
      </c>
      <c r="V79" s="9">
        <f>V77+V78</f>
        <v>25.6</v>
      </c>
      <c r="W79" s="9">
        <f>W77+W78</f>
        <v>0.2</v>
      </c>
      <c r="X79" s="18">
        <f t="shared" si="7"/>
        <v>0.0496508921644686</v>
      </c>
      <c r="Y79" s="9">
        <f>Y77+Y78</f>
        <v>83.6</v>
      </c>
      <c r="Z79" s="9">
        <f>Z77+Z78</f>
        <v>12.4</v>
      </c>
      <c r="AA79" s="63">
        <f>Y79/(E79+Z79)</f>
        <v>0.158393330807124</v>
      </c>
    </row>
    <row r="80" ht="16" hidden="1" customHeight="1" spans="1:27">
      <c r="A80" s="1" t="s">
        <v>63</v>
      </c>
      <c r="B80" s="7" t="s">
        <v>33</v>
      </c>
      <c r="C80" s="9"/>
      <c r="D80" s="9">
        <v>163.6</v>
      </c>
      <c r="E80" s="9">
        <v>228</v>
      </c>
      <c r="F80" s="9">
        <v>121.8</v>
      </c>
      <c r="G80" s="18">
        <f t="shared" si="0"/>
        <v>0.534210526315789</v>
      </c>
      <c r="H80" s="54">
        <f t="shared" si="1"/>
        <v>1.55665024630542</v>
      </c>
      <c r="I80" s="9">
        <v>4.4</v>
      </c>
      <c r="J80" s="9">
        <v>10.8</v>
      </c>
      <c r="K80" s="18">
        <f t="shared" si="2"/>
        <v>0.0184254606365159</v>
      </c>
      <c r="L80" s="9">
        <v>13.6</v>
      </c>
      <c r="M80" s="9">
        <v>10.2</v>
      </c>
      <c r="N80" s="18">
        <f t="shared" si="3"/>
        <v>0.0570948782535684</v>
      </c>
      <c r="O80" s="9">
        <v>31.8</v>
      </c>
      <c r="P80" s="9">
        <v>74.2</v>
      </c>
      <c r="Q80" s="18">
        <f t="shared" si="4"/>
        <v>0.105228325612177</v>
      </c>
      <c r="R80" s="9">
        <v>90.4</v>
      </c>
      <c r="S80" s="18">
        <f t="shared" si="5"/>
        <v>0.396491228070175</v>
      </c>
      <c r="T80" s="9">
        <v>12.8</v>
      </c>
      <c r="U80" s="18">
        <f t="shared" si="6"/>
        <v>0.141592920353982</v>
      </c>
      <c r="V80" s="9">
        <v>7.2</v>
      </c>
      <c r="W80" s="9">
        <v>0.4</v>
      </c>
      <c r="X80" s="18">
        <f t="shared" si="7"/>
        <v>0.031523642732049</v>
      </c>
      <c r="Y80" s="9">
        <v>29.4</v>
      </c>
      <c r="Z80" s="9">
        <v>6</v>
      </c>
      <c r="AA80" s="63">
        <f t="shared" ref="AA80:AA81" si="33">Y80/E80</f>
        <v>0.128947368421053</v>
      </c>
    </row>
    <row r="81" ht="16" hidden="1" customHeight="1" spans="1:27">
      <c r="A81" s="1" t="s">
        <v>63</v>
      </c>
      <c r="B81" s="7" t="s">
        <v>35</v>
      </c>
      <c r="C81" s="9"/>
      <c r="D81" s="9">
        <v>227.8</v>
      </c>
      <c r="E81" s="9">
        <v>215.8</v>
      </c>
      <c r="F81" s="9">
        <v>159.8</v>
      </c>
      <c r="G81" s="18">
        <f t="shared" si="0"/>
        <v>0.74050046339203</v>
      </c>
      <c r="H81" s="54">
        <f t="shared" si="1"/>
        <v>1.74468085106383</v>
      </c>
      <c r="I81" s="9">
        <v>7</v>
      </c>
      <c r="J81" s="9">
        <v>11.4</v>
      </c>
      <c r="K81" s="18">
        <f t="shared" si="2"/>
        <v>0.0308098591549296</v>
      </c>
      <c r="L81" s="9">
        <v>44</v>
      </c>
      <c r="M81" s="9">
        <v>31.6</v>
      </c>
      <c r="N81" s="18">
        <f t="shared" si="3"/>
        <v>0.177849636216653</v>
      </c>
      <c r="O81" s="9">
        <v>19.8</v>
      </c>
      <c r="P81" s="9">
        <v>57.4</v>
      </c>
      <c r="Q81" s="18">
        <f t="shared" si="4"/>
        <v>0.0724743777452416</v>
      </c>
      <c r="R81" s="9">
        <v>113.4</v>
      </c>
      <c r="S81" s="18">
        <f t="shared" si="5"/>
        <v>0.52548656163114</v>
      </c>
      <c r="T81" s="9">
        <v>44.4</v>
      </c>
      <c r="U81" s="18">
        <f t="shared" si="6"/>
        <v>0.391534391534392</v>
      </c>
      <c r="V81" s="9">
        <v>13</v>
      </c>
      <c r="W81" s="9">
        <v>0</v>
      </c>
      <c r="X81" s="18">
        <f t="shared" si="7"/>
        <v>0.0602409638554217</v>
      </c>
      <c r="Y81" s="9">
        <v>37.2</v>
      </c>
      <c r="Z81" s="9">
        <v>5.4</v>
      </c>
      <c r="AA81" s="63">
        <f t="shared" si="33"/>
        <v>0.172381835032437</v>
      </c>
    </row>
    <row r="82" ht="16" hidden="1" customHeight="1" spans="1:27">
      <c r="A82" s="1" t="s">
        <v>63</v>
      </c>
      <c r="B82" s="7" t="s">
        <v>36</v>
      </c>
      <c r="C82" s="9"/>
      <c r="D82" s="9">
        <f>D80+D81</f>
        <v>391.4</v>
      </c>
      <c r="E82" s="9">
        <f>E80+E81</f>
        <v>443.8</v>
      </c>
      <c r="F82" s="9">
        <f>F80+F81</f>
        <v>281.6</v>
      </c>
      <c r="G82" s="18">
        <f t="shared" si="0"/>
        <v>0.634520054078414</v>
      </c>
      <c r="H82" s="54">
        <f t="shared" si="1"/>
        <v>1.66335227272727</v>
      </c>
      <c r="I82" s="9">
        <f>I80+I81</f>
        <v>11.4</v>
      </c>
      <c r="J82" s="9">
        <f>J80+J81</f>
        <v>22.2</v>
      </c>
      <c r="K82" s="18">
        <f t="shared" si="2"/>
        <v>0.0244635193133047</v>
      </c>
      <c r="L82" s="9">
        <f>L80+L81</f>
        <v>57.6</v>
      </c>
      <c r="M82" s="9">
        <f>M80+M81</f>
        <v>41.8</v>
      </c>
      <c r="N82" s="18">
        <f t="shared" si="3"/>
        <v>0.118616144975288</v>
      </c>
      <c r="O82" s="9">
        <f>O80+O81</f>
        <v>51.6</v>
      </c>
      <c r="P82" s="9">
        <f>P80+P81</f>
        <v>131.6</v>
      </c>
      <c r="Q82" s="18">
        <f t="shared" si="4"/>
        <v>0.0896767466110532</v>
      </c>
      <c r="R82" s="9">
        <f>R80+R81</f>
        <v>203.8</v>
      </c>
      <c r="S82" s="18">
        <f t="shared" si="5"/>
        <v>0.459215863001352</v>
      </c>
      <c r="T82" s="9">
        <f>T80+T81</f>
        <v>57.2</v>
      </c>
      <c r="U82" s="18">
        <f t="shared" si="6"/>
        <v>0.280667320902846</v>
      </c>
      <c r="V82" s="9">
        <f>V80+V81</f>
        <v>20.2</v>
      </c>
      <c r="W82" s="9">
        <f>W80+W81</f>
        <v>0.4</v>
      </c>
      <c r="X82" s="18">
        <f t="shared" si="7"/>
        <v>0.0454750112561909</v>
      </c>
      <c r="Y82" s="9">
        <f>Y80+Y81</f>
        <v>66.6</v>
      </c>
      <c r="Z82" s="9">
        <f>Z80+Z81</f>
        <v>11.4</v>
      </c>
      <c r="AA82" s="63">
        <f>Y82/(E82+Z82)</f>
        <v>0.146309314586995</v>
      </c>
    </row>
    <row r="83" ht="16" hidden="1" customHeight="1" spans="1:27">
      <c r="A83" s="1" t="s">
        <v>64</v>
      </c>
      <c r="B83" s="7" t="s">
        <v>33</v>
      </c>
      <c r="C83" s="9"/>
      <c r="D83" s="9">
        <v>224.2</v>
      </c>
      <c r="E83" s="9">
        <v>206.8</v>
      </c>
      <c r="F83" s="9">
        <v>117</v>
      </c>
      <c r="G83" s="18">
        <f t="shared" si="0"/>
        <v>0.565764023210832</v>
      </c>
      <c r="H83" s="54">
        <f t="shared" si="1"/>
        <v>1.53504273504274</v>
      </c>
      <c r="I83" s="9">
        <v>2.4</v>
      </c>
      <c r="J83" s="9">
        <v>8.6</v>
      </c>
      <c r="K83" s="18">
        <f t="shared" si="2"/>
        <v>0.011142061281337</v>
      </c>
      <c r="L83" s="9">
        <v>12.4</v>
      </c>
      <c r="M83" s="9">
        <v>8.4</v>
      </c>
      <c r="N83" s="18">
        <f t="shared" si="3"/>
        <v>0.0576208178438662</v>
      </c>
      <c r="O83" s="9">
        <v>29.2</v>
      </c>
      <c r="P83" s="9">
        <v>67.4</v>
      </c>
      <c r="Q83" s="18">
        <f t="shared" si="4"/>
        <v>0.106491611962071</v>
      </c>
      <c r="R83" s="9">
        <v>83.4</v>
      </c>
      <c r="S83" s="18">
        <f t="shared" si="5"/>
        <v>0.403288201160542</v>
      </c>
      <c r="T83" s="9">
        <v>12.4</v>
      </c>
      <c r="U83" s="18">
        <f t="shared" si="6"/>
        <v>0.148681055155875</v>
      </c>
      <c r="V83" s="9">
        <v>7.4</v>
      </c>
      <c r="W83" s="9">
        <v>0</v>
      </c>
      <c r="X83" s="18">
        <f t="shared" si="7"/>
        <v>0.0357833655705996</v>
      </c>
      <c r="Y83" s="9">
        <v>32.4</v>
      </c>
      <c r="Z83" s="9">
        <v>7</v>
      </c>
      <c r="AA83" s="63">
        <f t="shared" ref="AA83:AA84" si="34">Y83/E83</f>
        <v>0.156673114119923</v>
      </c>
    </row>
    <row r="84" ht="16" hidden="1" customHeight="1" spans="1:27">
      <c r="A84" s="1" t="s">
        <v>64</v>
      </c>
      <c r="B84" s="7" t="s">
        <v>35</v>
      </c>
      <c r="C84" s="9"/>
      <c r="D84" s="9">
        <v>158.4</v>
      </c>
      <c r="E84" s="9">
        <v>250.6</v>
      </c>
      <c r="F84" s="9">
        <v>167.8</v>
      </c>
      <c r="G84" s="18">
        <f t="shared" si="0"/>
        <v>0.669592976855547</v>
      </c>
      <c r="H84" s="54">
        <f t="shared" si="1"/>
        <v>1.71871275327771</v>
      </c>
      <c r="I84" s="9">
        <v>7.6</v>
      </c>
      <c r="J84" s="9">
        <v>12.2</v>
      </c>
      <c r="K84" s="18">
        <f t="shared" si="2"/>
        <v>0.0289193302891933</v>
      </c>
      <c r="L84" s="9">
        <v>52.8</v>
      </c>
      <c r="M84" s="9">
        <v>41.6</v>
      </c>
      <c r="N84" s="18">
        <f t="shared" si="3"/>
        <v>0.180698151950719</v>
      </c>
      <c r="O84" s="9">
        <v>19.8</v>
      </c>
      <c r="P84" s="9">
        <v>59.4</v>
      </c>
      <c r="Q84" s="18">
        <f t="shared" si="4"/>
        <v>0.0638709677419355</v>
      </c>
      <c r="R84" s="9">
        <v>114</v>
      </c>
      <c r="S84" s="18">
        <f t="shared" si="5"/>
        <v>0.454908220271349</v>
      </c>
      <c r="T84" s="9">
        <v>41.4</v>
      </c>
      <c r="U84" s="18">
        <f t="shared" si="6"/>
        <v>0.363157894736842</v>
      </c>
      <c r="V84" s="9">
        <v>16</v>
      </c>
      <c r="W84" s="9">
        <v>0</v>
      </c>
      <c r="X84" s="18">
        <f t="shared" si="7"/>
        <v>0.0638467677573823</v>
      </c>
      <c r="Y84" s="9">
        <v>36.8</v>
      </c>
      <c r="Z84" s="9">
        <v>5.2</v>
      </c>
      <c r="AA84" s="63">
        <f t="shared" si="34"/>
        <v>0.146847565841979</v>
      </c>
    </row>
    <row r="85" ht="16" hidden="1" customHeight="1" spans="1:27">
      <c r="A85" s="1" t="s">
        <v>64</v>
      </c>
      <c r="B85" s="7" t="s">
        <v>36</v>
      </c>
      <c r="C85" s="9"/>
      <c r="D85" s="9">
        <f>D83+D84</f>
        <v>382.6</v>
      </c>
      <c r="E85" s="9">
        <f>E83+E84</f>
        <v>457.4</v>
      </c>
      <c r="F85" s="9">
        <f>F83+F84</f>
        <v>284.8</v>
      </c>
      <c r="G85" s="18">
        <f t="shared" si="0"/>
        <v>0.622649759510276</v>
      </c>
      <c r="H85" s="54">
        <f t="shared" si="1"/>
        <v>1.64325842696629</v>
      </c>
      <c r="I85" s="9">
        <f>I83+I84</f>
        <v>10</v>
      </c>
      <c r="J85" s="9">
        <f>J83+J84</f>
        <v>20.8</v>
      </c>
      <c r="K85" s="18">
        <f t="shared" si="2"/>
        <v>0.0209117524048515</v>
      </c>
      <c r="L85" s="9">
        <f>L83+L84</f>
        <v>65.2</v>
      </c>
      <c r="M85" s="9">
        <f>M83+M84</f>
        <v>50</v>
      </c>
      <c r="N85" s="18">
        <f t="shared" si="3"/>
        <v>0.128498226251478</v>
      </c>
      <c r="O85" s="9">
        <f>O83+O84</f>
        <v>49</v>
      </c>
      <c r="P85" s="9">
        <f>P83+P84</f>
        <v>126.8</v>
      </c>
      <c r="Q85" s="18">
        <f t="shared" si="4"/>
        <v>0.0838753851420746</v>
      </c>
      <c r="R85" s="9">
        <f>R83+R84</f>
        <v>197.4</v>
      </c>
      <c r="S85" s="18">
        <f t="shared" si="5"/>
        <v>0.431569742020114</v>
      </c>
      <c r="T85" s="9">
        <f>T83+T84</f>
        <v>53.8</v>
      </c>
      <c r="U85" s="18">
        <f t="shared" si="6"/>
        <v>0.272543059777102</v>
      </c>
      <c r="V85" s="9">
        <f>V83+V84</f>
        <v>23.4</v>
      </c>
      <c r="W85" s="9">
        <f>W83+W84</f>
        <v>0</v>
      </c>
      <c r="X85" s="18">
        <f t="shared" si="7"/>
        <v>0.0511587232181898</v>
      </c>
      <c r="Y85" s="9">
        <f>Y83+Y84</f>
        <v>69.2</v>
      </c>
      <c r="Z85" s="9">
        <f>Z83+Z84</f>
        <v>12.2</v>
      </c>
      <c r="AA85" s="63">
        <f>Y85/(E85+Z85)</f>
        <v>0.147359454855196</v>
      </c>
    </row>
    <row r="86" ht="16" hidden="1" customHeight="1" spans="1:27">
      <c r="A86" s="1" t="s">
        <v>65</v>
      </c>
      <c r="B86" s="7" t="s">
        <v>33</v>
      </c>
      <c r="C86" s="9"/>
      <c r="D86" s="9">
        <v>268.4</v>
      </c>
      <c r="E86" s="9">
        <v>236</v>
      </c>
      <c r="F86" s="9">
        <v>136.8</v>
      </c>
      <c r="G86" s="18">
        <f t="shared" si="0"/>
        <v>0.579661016949153</v>
      </c>
      <c r="H86" s="54">
        <f t="shared" si="1"/>
        <v>1.60818713450292</v>
      </c>
      <c r="I86" s="9">
        <v>4.8</v>
      </c>
      <c r="J86" s="9">
        <v>13</v>
      </c>
      <c r="K86" s="18">
        <f t="shared" si="2"/>
        <v>0.0192771084337349</v>
      </c>
      <c r="L86" s="9">
        <v>17</v>
      </c>
      <c r="M86" s="9">
        <v>13</v>
      </c>
      <c r="N86" s="18">
        <f t="shared" si="3"/>
        <v>0.0682730923694779</v>
      </c>
      <c r="O86" s="9">
        <v>34.4</v>
      </c>
      <c r="P86" s="9">
        <v>77</v>
      </c>
      <c r="Q86" s="18">
        <f t="shared" si="4"/>
        <v>0.109904153354633</v>
      </c>
      <c r="R86" s="9">
        <v>93.8</v>
      </c>
      <c r="S86" s="18">
        <f t="shared" si="5"/>
        <v>0.397457627118644</v>
      </c>
      <c r="T86" s="9">
        <v>14.2</v>
      </c>
      <c r="U86" s="18">
        <f t="shared" si="6"/>
        <v>0.15138592750533</v>
      </c>
      <c r="V86" s="9">
        <v>10.2</v>
      </c>
      <c r="W86" s="9">
        <v>0</v>
      </c>
      <c r="X86" s="18">
        <f t="shared" si="7"/>
        <v>0.0432203389830508</v>
      </c>
      <c r="Y86" s="9">
        <v>45.6</v>
      </c>
      <c r="Z86" s="9">
        <v>6.2</v>
      </c>
      <c r="AA86" s="63">
        <f t="shared" ref="AA86:AA87" si="35">Y86/E86</f>
        <v>0.193220338983051</v>
      </c>
    </row>
    <row r="87" ht="16" hidden="1" customHeight="1" spans="1:27">
      <c r="A87" s="1" t="s">
        <v>65</v>
      </c>
      <c r="B87" s="7" t="s">
        <v>35</v>
      </c>
      <c r="C87" s="9"/>
      <c r="D87" s="9">
        <v>189.6</v>
      </c>
      <c r="E87" s="9">
        <v>270.2</v>
      </c>
      <c r="F87" s="9">
        <v>187.8</v>
      </c>
      <c r="G87" s="18">
        <f t="shared" si="0"/>
        <v>0.695040710584752</v>
      </c>
      <c r="H87" s="54">
        <f t="shared" si="1"/>
        <v>1.73588924387646</v>
      </c>
      <c r="I87" s="9">
        <v>8.6</v>
      </c>
      <c r="J87" s="9">
        <v>20.2</v>
      </c>
      <c r="K87" s="18">
        <f t="shared" si="2"/>
        <v>0.0296143250688705</v>
      </c>
      <c r="L87" s="9">
        <v>56.6</v>
      </c>
      <c r="M87" s="9">
        <v>40.4</v>
      </c>
      <c r="N87" s="18">
        <f t="shared" si="3"/>
        <v>0.18222794591114</v>
      </c>
      <c r="O87" s="9">
        <v>24.6</v>
      </c>
      <c r="P87" s="9">
        <v>68.4</v>
      </c>
      <c r="Q87" s="18">
        <f t="shared" si="4"/>
        <v>0.0726520968694625</v>
      </c>
      <c r="R87" s="9">
        <v>127.2</v>
      </c>
      <c r="S87" s="18">
        <f t="shared" si="5"/>
        <v>0.470762398223538</v>
      </c>
      <c r="T87" s="9">
        <v>45.6</v>
      </c>
      <c r="U87" s="18">
        <f t="shared" si="6"/>
        <v>0.358490566037736</v>
      </c>
      <c r="V87" s="9">
        <v>15</v>
      </c>
      <c r="W87" s="9">
        <v>0.2</v>
      </c>
      <c r="X87" s="18">
        <f t="shared" si="7"/>
        <v>0.0554733727810651</v>
      </c>
      <c r="Y87" s="9">
        <v>48.4</v>
      </c>
      <c r="Z87" s="9">
        <v>6.8</v>
      </c>
      <c r="AA87" s="63">
        <f t="shared" si="35"/>
        <v>0.179126572908956</v>
      </c>
    </row>
    <row r="88" ht="16" hidden="1" customHeight="1" spans="1:27">
      <c r="A88" s="1" t="s">
        <v>65</v>
      </c>
      <c r="B88" s="7" t="s">
        <v>36</v>
      </c>
      <c r="C88" s="9"/>
      <c r="D88" s="9">
        <f>D86+D87</f>
        <v>458</v>
      </c>
      <c r="E88" s="9">
        <f>E86+E87</f>
        <v>506.2</v>
      </c>
      <c r="F88" s="9">
        <f>F86+F87</f>
        <v>324.6</v>
      </c>
      <c r="G88" s="18">
        <f t="shared" si="0"/>
        <v>0.641248518372185</v>
      </c>
      <c r="H88" s="54">
        <f t="shared" si="1"/>
        <v>1.68207024029575</v>
      </c>
      <c r="I88" s="9">
        <f>I86+I87</f>
        <v>13.4</v>
      </c>
      <c r="J88" s="9">
        <f>J86+J87</f>
        <v>33.2</v>
      </c>
      <c r="K88" s="18">
        <f t="shared" si="2"/>
        <v>0.024842417500927</v>
      </c>
      <c r="L88" s="9">
        <f>L86+L87</f>
        <v>73.6</v>
      </c>
      <c r="M88" s="9">
        <f>M86+M87</f>
        <v>53.4</v>
      </c>
      <c r="N88" s="18">
        <f t="shared" si="3"/>
        <v>0.131522516082916</v>
      </c>
      <c r="O88" s="9">
        <f>O86+O87</f>
        <v>59</v>
      </c>
      <c r="P88" s="9">
        <f>P86+P87</f>
        <v>145.4</v>
      </c>
      <c r="Q88" s="18">
        <f t="shared" si="4"/>
        <v>0.0905463474524248</v>
      </c>
      <c r="R88" s="9">
        <f>R86+R87</f>
        <v>221</v>
      </c>
      <c r="S88" s="18">
        <f t="shared" si="5"/>
        <v>0.436586329514026</v>
      </c>
      <c r="T88" s="9">
        <f>T86+T87</f>
        <v>59.8</v>
      </c>
      <c r="U88" s="18">
        <f t="shared" si="6"/>
        <v>0.270588235294118</v>
      </c>
      <c r="V88" s="9">
        <f>V86+V87</f>
        <v>25.2</v>
      </c>
      <c r="W88" s="9">
        <f>W86+W87</f>
        <v>0.2</v>
      </c>
      <c r="X88" s="18">
        <f t="shared" si="7"/>
        <v>0.0497630331753555</v>
      </c>
      <c r="Y88" s="9">
        <f>Y86+Y87</f>
        <v>94</v>
      </c>
      <c r="Z88" s="9">
        <f>Z86+Z87</f>
        <v>13</v>
      </c>
      <c r="AA88" s="63">
        <f>Y88/(E88+Z88)</f>
        <v>0.181047765793528</v>
      </c>
    </row>
    <row r="89" ht="16" hidden="1" customHeight="1" spans="1:27">
      <c r="A89" s="1" t="s">
        <v>66</v>
      </c>
      <c r="B89" s="7" t="s">
        <v>33</v>
      </c>
      <c r="C89" s="9"/>
      <c r="D89" s="9">
        <v>335.8</v>
      </c>
      <c r="E89" s="9">
        <v>252</v>
      </c>
      <c r="F89" s="9">
        <v>136.6</v>
      </c>
      <c r="G89" s="18">
        <f t="shared" si="0"/>
        <v>0.542063492063492</v>
      </c>
      <c r="H89" s="54">
        <f t="shared" si="1"/>
        <v>1.60322108345534</v>
      </c>
      <c r="I89" s="9">
        <v>11.4</v>
      </c>
      <c r="J89" s="9">
        <v>10</v>
      </c>
      <c r="K89" s="18">
        <f t="shared" si="2"/>
        <v>0.0435114503816794</v>
      </c>
      <c r="L89" s="9">
        <v>15.4</v>
      </c>
      <c r="M89" s="9">
        <v>12</v>
      </c>
      <c r="N89" s="18">
        <f t="shared" si="3"/>
        <v>0.0583333333333333</v>
      </c>
      <c r="O89" s="9">
        <v>35.2</v>
      </c>
      <c r="P89" s="9">
        <v>82</v>
      </c>
      <c r="Q89" s="18">
        <f t="shared" si="4"/>
        <v>0.105389221556886</v>
      </c>
      <c r="R89" s="9">
        <v>96.6</v>
      </c>
      <c r="S89" s="18">
        <f t="shared" si="5"/>
        <v>0.383333333333333</v>
      </c>
      <c r="T89" s="9">
        <v>11.8</v>
      </c>
      <c r="U89" s="18">
        <f t="shared" si="6"/>
        <v>0.122153209109731</v>
      </c>
      <c r="V89" s="9">
        <v>9.6</v>
      </c>
      <c r="W89" s="9">
        <v>0</v>
      </c>
      <c r="X89" s="18">
        <f t="shared" si="7"/>
        <v>0.0380952380952381</v>
      </c>
      <c r="Y89" s="9">
        <v>39</v>
      </c>
      <c r="Z89" s="9">
        <v>5.6</v>
      </c>
      <c r="AA89" s="63">
        <f t="shared" ref="AA89:AA90" si="36">Y89/E89</f>
        <v>0.154761904761905</v>
      </c>
    </row>
    <row r="90" ht="16" hidden="1" customHeight="1" spans="1:27">
      <c r="A90" s="1" t="s">
        <v>66</v>
      </c>
      <c r="B90" s="7" t="s">
        <v>35</v>
      </c>
      <c r="C90" s="9"/>
      <c r="D90" s="9">
        <v>174.8</v>
      </c>
      <c r="E90" s="9">
        <v>328.4</v>
      </c>
      <c r="F90" s="9">
        <v>249.6</v>
      </c>
      <c r="G90" s="18">
        <f t="shared" si="0"/>
        <v>0.760048721071864</v>
      </c>
      <c r="H90" s="54">
        <f t="shared" si="1"/>
        <v>1.82451923076923</v>
      </c>
      <c r="I90" s="9">
        <v>13.4</v>
      </c>
      <c r="J90" s="9">
        <v>23.8</v>
      </c>
      <c r="K90" s="18">
        <f t="shared" si="2"/>
        <v>0.0380465644520159</v>
      </c>
      <c r="L90" s="9">
        <v>61.6</v>
      </c>
      <c r="M90" s="9">
        <v>45.6</v>
      </c>
      <c r="N90" s="18">
        <f t="shared" si="3"/>
        <v>0.164705882352941</v>
      </c>
      <c r="O90" s="9">
        <v>36.8</v>
      </c>
      <c r="P90" s="9">
        <v>99.4</v>
      </c>
      <c r="Q90" s="18">
        <f t="shared" si="4"/>
        <v>0.0860215053763441</v>
      </c>
      <c r="R90" s="9">
        <v>185.6</v>
      </c>
      <c r="S90" s="18">
        <f t="shared" si="5"/>
        <v>0.56516443361754</v>
      </c>
      <c r="T90" s="9">
        <v>61.2</v>
      </c>
      <c r="U90" s="18">
        <f t="shared" si="6"/>
        <v>0.329741379310345</v>
      </c>
      <c r="V90" s="9">
        <v>28.8</v>
      </c>
      <c r="W90" s="9">
        <v>0.2</v>
      </c>
      <c r="X90" s="18">
        <f t="shared" si="7"/>
        <v>0.0876445526475959</v>
      </c>
      <c r="Y90" s="9">
        <v>68</v>
      </c>
      <c r="Z90" s="9">
        <v>7.8</v>
      </c>
      <c r="AA90" s="63">
        <f t="shared" si="36"/>
        <v>0.207064555420219</v>
      </c>
    </row>
    <row r="91" ht="16" hidden="1" customHeight="1" spans="1:27">
      <c r="A91" s="1" t="s">
        <v>66</v>
      </c>
      <c r="B91" s="7" t="s">
        <v>36</v>
      </c>
      <c r="C91" s="9"/>
      <c r="D91" s="9">
        <f>D89+D90</f>
        <v>510.6</v>
      </c>
      <c r="E91" s="9">
        <f>E89+E90</f>
        <v>580.4</v>
      </c>
      <c r="F91" s="9">
        <f>F89+F90</f>
        <v>386.2</v>
      </c>
      <c r="G91" s="18">
        <f t="shared" si="0"/>
        <v>0.665403170227429</v>
      </c>
      <c r="H91" s="54">
        <f t="shared" si="1"/>
        <v>1.74624546866908</v>
      </c>
      <c r="I91" s="9">
        <f>I89+I90</f>
        <v>24.8</v>
      </c>
      <c r="J91" s="9">
        <f>J89+J90</f>
        <v>33.8</v>
      </c>
      <c r="K91" s="18">
        <f t="shared" si="2"/>
        <v>0.0403777271247151</v>
      </c>
      <c r="L91" s="9">
        <f>L89+L90</f>
        <v>77</v>
      </c>
      <c r="M91" s="9">
        <f>M89+M90</f>
        <v>57.6</v>
      </c>
      <c r="N91" s="18">
        <f t="shared" si="3"/>
        <v>0.120689655172414</v>
      </c>
      <c r="O91" s="9">
        <f>O89+O90</f>
        <v>72</v>
      </c>
      <c r="P91" s="9">
        <f>P89+P90</f>
        <v>181.4</v>
      </c>
      <c r="Q91" s="18">
        <f t="shared" si="4"/>
        <v>0.0945129955368863</v>
      </c>
      <c r="R91" s="9">
        <f>R89+R90</f>
        <v>282.2</v>
      </c>
      <c r="S91" s="18">
        <f t="shared" si="5"/>
        <v>0.486216402481048</v>
      </c>
      <c r="T91" s="9">
        <f>T89+T90</f>
        <v>73</v>
      </c>
      <c r="U91" s="18">
        <f t="shared" si="6"/>
        <v>0.258681785967399</v>
      </c>
      <c r="V91" s="9">
        <f>V89+V90</f>
        <v>38.4</v>
      </c>
      <c r="W91" s="9">
        <f>W89+W90</f>
        <v>0.2</v>
      </c>
      <c r="X91" s="18">
        <f t="shared" si="7"/>
        <v>0.066138477437134</v>
      </c>
      <c r="Y91" s="9">
        <f>Y89+Y90</f>
        <v>107</v>
      </c>
      <c r="Z91" s="9">
        <f>Z89+Z90</f>
        <v>13.4</v>
      </c>
      <c r="AA91" s="63">
        <f>Y91/(E91+Z91)</f>
        <v>0.18019535197036</v>
      </c>
    </row>
    <row r="92" ht="16" hidden="1" customHeight="1" spans="1:27">
      <c r="A92" s="1" t="s">
        <v>67</v>
      </c>
      <c r="B92" s="7" t="s">
        <v>33</v>
      </c>
      <c r="C92" s="9"/>
      <c r="D92" s="9">
        <v>323.6</v>
      </c>
      <c r="E92" s="9">
        <v>251.8</v>
      </c>
      <c r="F92" s="9">
        <v>142</v>
      </c>
      <c r="G92" s="18">
        <f t="shared" si="0"/>
        <v>0.563939634630659</v>
      </c>
      <c r="H92" s="54">
        <f t="shared" si="1"/>
        <v>1.56338028169014</v>
      </c>
      <c r="I92" s="9">
        <v>5.8</v>
      </c>
      <c r="J92" s="9">
        <v>13</v>
      </c>
      <c r="K92" s="18">
        <f t="shared" si="2"/>
        <v>0.0219033232628399</v>
      </c>
      <c r="L92" s="9">
        <v>18.4</v>
      </c>
      <c r="M92" s="9">
        <v>14.6</v>
      </c>
      <c r="N92" s="18">
        <f t="shared" si="3"/>
        <v>0.0690690690690691</v>
      </c>
      <c r="O92" s="9">
        <v>39</v>
      </c>
      <c r="P92" s="9">
        <v>86.6</v>
      </c>
      <c r="Q92" s="18">
        <f t="shared" si="4"/>
        <v>0.115248226950355</v>
      </c>
      <c r="R92" s="9">
        <v>100.8</v>
      </c>
      <c r="S92" s="18">
        <f t="shared" si="5"/>
        <v>0.400317712470214</v>
      </c>
      <c r="T92" s="9">
        <v>13</v>
      </c>
      <c r="U92" s="18">
        <f t="shared" si="6"/>
        <v>0.128968253968254</v>
      </c>
      <c r="V92" s="9">
        <v>11</v>
      </c>
      <c r="W92" s="9">
        <v>0.2</v>
      </c>
      <c r="X92" s="18">
        <f t="shared" si="7"/>
        <v>0.0436507936507936</v>
      </c>
      <c r="Y92" s="9">
        <v>34</v>
      </c>
      <c r="Z92" s="9">
        <v>5.4</v>
      </c>
      <c r="AA92" s="63">
        <f t="shared" ref="AA92:AA93" si="37">Y92/E92</f>
        <v>0.135027799841144</v>
      </c>
    </row>
    <row r="93" ht="16" hidden="1" customHeight="1" spans="1:27">
      <c r="A93" s="1" t="s">
        <v>67</v>
      </c>
      <c r="B93" s="7" t="s">
        <v>35</v>
      </c>
      <c r="C93" s="9"/>
      <c r="D93" s="9">
        <v>200</v>
      </c>
      <c r="E93" s="9">
        <v>318</v>
      </c>
      <c r="F93" s="9">
        <v>236.2</v>
      </c>
      <c r="G93" s="18">
        <f t="shared" si="0"/>
        <v>0.742767295597484</v>
      </c>
      <c r="H93" s="54">
        <f t="shared" si="1"/>
        <v>1.80101608806097</v>
      </c>
      <c r="I93" s="9">
        <v>9.6</v>
      </c>
      <c r="J93" s="9">
        <v>22.2</v>
      </c>
      <c r="K93" s="18">
        <f t="shared" si="2"/>
        <v>0.0282186948853616</v>
      </c>
      <c r="L93" s="9">
        <v>62.8</v>
      </c>
      <c r="M93" s="9">
        <v>45.8</v>
      </c>
      <c r="N93" s="18">
        <f t="shared" si="3"/>
        <v>0.17262231995602</v>
      </c>
      <c r="O93" s="9">
        <v>32</v>
      </c>
      <c r="P93" s="9">
        <v>85.2</v>
      </c>
      <c r="Q93" s="18">
        <f t="shared" si="4"/>
        <v>0.0793650793650794</v>
      </c>
      <c r="R93" s="9">
        <v>161.6</v>
      </c>
      <c r="S93" s="18">
        <f t="shared" si="5"/>
        <v>0.508176100628931</v>
      </c>
      <c r="T93" s="9">
        <v>56.2</v>
      </c>
      <c r="U93" s="18">
        <f t="shared" si="6"/>
        <v>0.347772277227723</v>
      </c>
      <c r="V93" s="9">
        <v>21</v>
      </c>
      <c r="W93" s="9">
        <v>0</v>
      </c>
      <c r="X93" s="18">
        <f t="shared" si="7"/>
        <v>0.0660377358490566</v>
      </c>
      <c r="Y93" s="9">
        <v>82.2</v>
      </c>
      <c r="Z93" s="9">
        <v>9.2</v>
      </c>
      <c r="AA93" s="63">
        <f t="shared" si="37"/>
        <v>0.258490566037736</v>
      </c>
    </row>
    <row r="94" ht="16" hidden="1" customHeight="1" spans="1:27">
      <c r="A94" s="1" t="s">
        <v>67</v>
      </c>
      <c r="B94" s="7" t="s">
        <v>36</v>
      </c>
      <c r="C94" s="9"/>
      <c r="D94" s="9">
        <f>D92+D93</f>
        <v>523.6</v>
      </c>
      <c r="E94" s="9">
        <f>E92+E93</f>
        <v>569.8</v>
      </c>
      <c r="F94" s="9">
        <f>F92+F93</f>
        <v>378.2</v>
      </c>
      <c r="G94" s="18">
        <f t="shared" si="0"/>
        <v>0.663741663741664</v>
      </c>
      <c r="H94" s="54">
        <f t="shared" si="1"/>
        <v>1.71179270227393</v>
      </c>
      <c r="I94" s="9">
        <f>I92+I93</f>
        <v>15.4</v>
      </c>
      <c r="J94" s="9">
        <f>J92+J93</f>
        <v>35.2</v>
      </c>
      <c r="K94" s="18">
        <f t="shared" si="2"/>
        <v>0.0254545454545455</v>
      </c>
      <c r="L94" s="9">
        <f>L92+L93</f>
        <v>81.2</v>
      </c>
      <c r="M94" s="9">
        <f>M92+M93</f>
        <v>60.4</v>
      </c>
      <c r="N94" s="18">
        <f t="shared" si="3"/>
        <v>0.128847984766741</v>
      </c>
      <c r="O94" s="9">
        <f>O92+O93</f>
        <v>71</v>
      </c>
      <c r="P94" s="9">
        <f>P92+P93</f>
        <v>171.8</v>
      </c>
      <c r="Q94" s="18">
        <f t="shared" si="4"/>
        <v>0.0957389428263215</v>
      </c>
      <c r="R94" s="9">
        <f>R92+R93</f>
        <v>262.4</v>
      </c>
      <c r="S94" s="18">
        <f t="shared" si="5"/>
        <v>0.460512460512461</v>
      </c>
      <c r="T94" s="9">
        <f>T92+T93</f>
        <v>69.2</v>
      </c>
      <c r="U94" s="18">
        <f t="shared" si="6"/>
        <v>0.263719512195122</v>
      </c>
      <c r="V94" s="9">
        <f>V92+V93</f>
        <v>32</v>
      </c>
      <c r="W94" s="9">
        <f>W92+W93</f>
        <v>0.2</v>
      </c>
      <c r="X94" s="18">
        <f t="shared" si="7"/>
        <v>0.056140350877193</v>
      </c>
      <c r="Y94" s="9">
        <f>Y92+Y93</f>
        <v>116.2</v>
      </c>
      <c r="Z94" s="9">
        <f>Z92+Z93</f>
        <v>14.6</v>
      </c>
      <c r="AA94" s="63">
        <f>Y94/(E94+Z94)</f>
        <v>0.198836413415469</v>
      </c>
    </row>
    <row r="95" ht="16" hidden="1" customHeight="1" spans="1:27">
      <c r="A95" s="1" t="s">
        <v>68</v>
      </c>
      <c r="B95" s="7" t="s">
        <v>33</v>
      </c>
      <c r="C95" s="9"/>
      <c r="D95" s="9">
        <v>245.2</v>
      </c>
      <c r="E95" s="9">
        <v>266.8</v>
      </c>
      <c r="F95" s="9">
        <v>151.4</v>
      </c>
      <c r="G95" s="18">
        <f t="shared" si="0"/>
        <v>0.567466266866567</v>
      </c>
      <c r="H95" s="54">
        <f t="shared" si="1"/>
        <v>1.50198150594452</v>
      </c>
      <c r="I95" s="9">
        <v>5.6</v>
      </c>
      <c r="J95" s="9">
        <v>12</v>
      </c>
      <c r="K95" s="18">
        <f t="shared" si="2"/>
        <v>0.0200860832137733</v>
      </c>
      <c r="L95" s="9">
        <v>17.4</v>
      </c>
      <c r="M95" s="9">
        <v>13</v>
      </c>
      <c r="N95" s="18">
        <f t="shared" si="3"/>
        <v>0.0621872766261615</v>
      </c>
      <c r="O95" s="9">
        <v>35.4</v>
      </c>
      <c r="P95" s="9">
        <v>85.8</v>
      </c>
      <c r="Q95" s="18">
        <f t="shared" si="4"/>
        <v>0.100397050482133</v>
      </c>
      <c r="R95" s="9">
        <v>103</v>
      </c>
      <c r="S95" s="18">
        <f t="shared" si="5"/>
        <v>0.386056971514243</v>
      </c>
      <c r="T95" s="9">
        <v>12</v>
      </c>
      <c r="U95" s="18">
        <f t="shared" si="6"/>
        <v>0.116504854368932</v>
      </c>
      <c r="V95" s="9">
        <v>11</v>
      </c>
      <c r="W95" s="9">
        <v>0</v>
      </c>
      <c r="X95" s="18">
        <f t="shared" si="7"/>
        <v>0.0412293853073463</v>
      </c>
      <c r="Y95" s="9">
        <v>43</v>
      </c>
      <c r="Z95" s="9">
        <v>5</v>
      </c>
      <c r="AA95" s="63">
        <f t="shared" ref="AA95:AA96" si="38">Y95/E95</f>
        <v>0.161169415292354</v>
      </c>
    </row>
    <row r="96" ht="16" hidden="1" customHeight="1" spans="1:27">
      <c r="A96" s="1" t="s">
        <v>68</v>
      </c>
      <c r="B96" s="7" t="s">
        <v>35</v>
      </c>
      <c r="C96" s="9"/>
      <c r="D96" s="9">
        <v>179</v>
      </c>
      <c r="E96" s="9">
        <v>274.4</v>
      </c>
      <c r="F96" s="9">
        <v>204.6</v>
      </c>
      <c r="G96" s="18">
        <f t="shared" si="0"/>
        <v>0.745626822157434</v>
      </c>
      <c r="H96" s="54">
        <f t="shared" si="1"/>
        <v>1.73607038123167</v>
      </c>
      <c r="I96" s="9">
        <v>9.8</v>
      </c>
      <c r="J96" s="9">
        <v>22.6</v>
      </c>
      <c r="K96" s="18">
        <f t="shared" si="2"/>
        <v>0.032996632996633</v>
      </c>
      <c r="L96" s="9">
        <v>57</v>
      </c>
      <c r="M96" s="9">
        <v>41.8</v>
      </c>
      <c r="N96" s="18">
        <f t="shared" si="3"/>
        <v>0.180265654648956</v>
      </c>
      <c r="O96" s="9">
        <v>30.6</v>
      </c>
      <c r="P96" s="9">
        <v>80.6</v>
      </c>
      <c r="Q96" s="18">
        <f t="shared" si="4"/>
        <v>0.0861971830985915</v>
      </c>
      <c r="R96" s="9">
        <v>142.4</v>
      </c>
      <c r="S96" s="18">
        <f t="shared" si="5"/>
        <v>0.518950437317784</v>
      </c>
      <c r="T96" s="9">
        <v>46</v>
      </c>
      <c r="U96" s="18">
        <f t="shared" si="6"/>
        <v>0.323033707865169</v>
      </c>
      <c r="V96" s="9">
        <v>16.6</v>
      </c>
      <c r="W96" s="9">
        <v>0</v>
      </c>
      <c r="X96" s="18">
        <f t="shared" si="7"/>
        <v>0.0604956268221574</v>
      </c>
      <c r="Y96" s="9">
        <v>52.8</v>
      </c>
      <c r="Z96" s="9">
        <v>8.2</v>
      </c>
      <c r="AA96" s="63">
        <f t="shared" si="38"/>
        <v>0.192419825072886</v>
      </c>
    </row>
    <row r="97" ht="16" hidden="1" customHeight="1" spans="1:27">
      <c r="A97" s="1" t="s">
        <v>68</v>
      </c>
      <c r="B97" s="7" t="s">
        <v>36</v>
      </c>
      <c r="C97" s="9"/>
      <c r="D97" s="9">
        <f>D95+D96</f>
        <v>424.2</v>
      </c>
      <c r="E97" s="9">
        <f>E95+E96</f>
        <v>541.2</v>
      </c>
      <c r="F97" s="9">
        <f>F95+F96</f>
        <v>356</v>
      </c>
      <c r="G97" s="18">
        <f t="shared" si="0"/>
        <v>0.65779748706578</v>
      </c>
      <c r="H97" s="54">
        <f t="shared" si="1"/>
        <v>1.63651685393258</v>
      </c>
      <c r="I97" s="9">
        <f>I95+I96</f>
        <v>15.4</v>
      </c>
      <c r="J97" s="9">
        <f>J95+J96</f>
        <v>34.6</v>
      </c>
      <c r="K97" s="18">
        <f t="shared" si="2"/>
        <v>0.0267453977075373</v>
      </c>
      <c r="L97" s="9">
        <f>L95+L96</f>
        <v>74.4</v>
      </c>
      <c r="M97" s="9">
        <f>M95+M96</f>
        <v>54.8</v>
      </c>
      <c r="N97" s="18">
        <f t="shared" si="3"/>
        <v>0.124832214765101</v>
      </c>
      <c r="O97" s="9">
        <f>O95+O96</f>
        <v>66</v>
      </c>
      <c r="P97" s="9">
        <f>P95+P96</f>
        <v>166.4</v>
      </c>
      <c r="Q97" s="18">
        <f t="shared" si="4"/>
        <v>0.0932730356133409</v>
      </c>
      <c r="R97" s="9">
        <f>R95+R96</f>
        <v>245.4</v>
      </c>
      <c r="S97" s="18">
        <f t="shared" si="5"/>
        <v>0.453436807095344</v>
      </c>
      <c r="T97" s="9">
        <f>T95+T96</f>
        <v>58</v>
      </c>
      <c r="U97" s="18">
        <f t="shared" si="6"/>
        <v>0.236348818255909</v>
      </c>
      <c r="V97" s="9">
        <f>V95+V96</f>
        <v>27.6</v>
      </c>
      <c r="W97" s="9">
        <f>W95+W96</f>
        <v>0</v>
      </c>
      <c r="X97" s="18">
        <f t="shared" si="7"/>
        <v>0.0509977827050998</v>
      </c>
      <c r="Y97" s="9">
        <f>Y95+Y96</f>
        <v>95.8</v>
      </c>
      <c r="Z97" s="9">
        <f>Z95+Z96</f>
        <v>13.2</v>
      </c>
      <c r="AA97" s="63">
        <f>Y97/(E97+Z97)</f>
        <v>0.172799422799423</v>
      </c>
    </row>
    <row r="98" ht="16" hidden="1" customHeight="1" spans="1:27">
      <c r="A98" s="1" t="s">
        <v>69</v>
      </c>
      <c r="B98" s="7" t="s">
        <v>33</v>
      </c>
      <c r="C98" s="9"/>
      <c r="D98" s="9">
        <v>189.6</v>
      </c>
      <c r="E98" s="9">
        <v>257.6</v>
      </c>
      <c r="F98" s="9">
        <v>136.8</v>
      </c>
      <c r="G98" s="18">
        <f t="shared" si="0"/>
        <v>0.531055900621118</v>
      </c>
      <c r="H98" s="54">
        <f t="shared" si="1"/>
        <v>1.59649122807018</v>
      </c>
      <c r="I98" s="9">
        <v>6.2</v>
      </c>
      <c r="J98" s="9">
        <v>13.2</v>
      </c>
      <c r="K98" s="18">
        <f t="shared" si="2"/>
        <v>0.0228951255539143</v>
      </c>
      <c r="L98" s="9">
        <v>15.8</v>
      </c>
      <c r="M98" s="9">
        <v>13.4</v>
      </c>
      <c r="N98" s="18">
        <f t="shared" si="3"/>
        <v>0.0583025830258303</v>
      </c>
      <c r="O98" s="9">
        <v>36.4</v>
      </c>
      <c r="P98" s="9">
        <v>84.8</v>
      </c>
      <c r="Q98" s="18">
        <f t="shared" si="4"/>
        <v>0.106308411214953</v>
      </c>
      <c r="R98" s="9">
        <v>100.2</v>
      </c>
      <c r="S98" s="18">
        <f t="shared" si="5"/>
        <v>0.388975155279503</v>
      </c>
      <c r="T98" s="9">
        <v>14.6</v>
      </c>
      <c r="U98" s="18">
        <f t="shared" si="6"/>
        <v>0.145708582834331</v>
      </c>
      <c r="V98" s="9">
        <v>10</v>
      </c>
      <c r="W98" s="9">
        <v>0</v>
      </c>
      <c r="X98" s="18">
        <f t="shared" si="7"/>
        <v>0.0388198757763975</v>
      </c>
      <c r="Y98" s="9">
        <v>35.2</v>
      </c>
      <c r="Z98" s="9">
        <v>5.6</v>
      </c>
      <c r="AA98" s="63">
        <f t="shared" ref="AA98:AA99" si="39">Y98/E98</f>
        <v>0.136645962732919</v>
      </c>
    </row>
    <row r="99" ht="16" hidden="1" customHeight="1" spans="1:27">
      <c r="A99" s="1" t="s">
        <v>69</v>
      </c>
      <c r="B99" s="7" t="s">
        <v>35</v>
      </c>
      <c r="C99" s="9"/>
      <c r="D99" s="9">
        <v>138.8</v>
      </c>
      <c r="E99" s="9">
        <v>279.6</v>
      </c>
      <c r="F99" s="9">
        <v>206</v>
      </c>
      <c r="G99" s="18">
        <f t="shared" si="0"/>
        <v>0.736766809728183</v>
      </c>
      <c r="H99" s="54">
        <f t="shared" si="1"/>
        <v>1.73980582524272</v>
      </c>
      <c r="I99" s="9">
        <v>7.2</v>
      </c>
      <c r="J99" s="9">
        <v>16.6</v>
      </c>
      <c r="K99" s="18">
        <f t="shared" si="2"/>
        <v>0.0243079000675219</v>
      </c>
      <c r="L99" s="9">
        <v>60.8</v>
      </c>
      <c r="M99" s="9">
        <v>46.4</v>
      </c>
      <c r="N99" s="18">
        <f t="shared" si="3"/>
        <v>0.186503067484663</v>
      </c>
      <c r="O99" s="9">
        <v>27.4</v>
      </c>
      <c r="P99" s="9">
        <v>75.8</v>
      </c>
      <c r="Q99" s="18">
        <f t="shared" si="4"/>
        <v>0.0770962296004502</v>
      </c>
      <c r="R99" s="9">
        <v>143.2</v>
      </c>
      <c r="S99" s="18">
        <f t="shared" si="5"/>
        <v>0.512160228898426</v>
      </c>
      <c r="T99" s="9">
        <v>56.4</v>
      </c>
      <c r="U99" s="18">
        <f t="shared" si="6"/>
        <v>0.393854748603352</v>
      </c>
      <c r="V99" s="9">
        <v>17.4</v>
      </c>
      <c r="W99" s="9">
        <v>0.4</v>
      </c>
      <c r="X99" s="18">
        <f t="shared" si="7"/>
        <v>0.0621428571428571</v>
      </c>
      <c r="Y99" s="9">
        <v>46</v>
      </c>
      <c r="Z99" s="9">
        <v>5.4</v>
      </c>
      <c r="AA99" s="63">
        <f t="shared" si="39"/>
        <v>0.164520743919886</v>
      </c>
    </row>
    <row r="100" ht="16" hidden="1" customHeight="1" spans="1:27">
      <c r="A100" s="1" t="s">
        <v>69</v>
      </c>
      <c r="B100" s="7" t="s">
        <v>36</v>
      </c>
      <c r="C100" s="9"/>
      <c r="D100" s="9">
        <f>D98+D99</f>
        <v>328.4</v>
      </c>
      <c r="E100" s="9">
        <f>E98+E99</f>
        <v>537.2</v>
      </c>
      <c r="F100" s="9">
        <f>F98+F99</f>
        <v>342.8</v>
      </c>
      <c r="G100" s="18">
        <f t="shared" si="0"/>
        <v>0.638123603871928</v>
      </c>
      <c r="H100" s="54">
        <f t="shared" si="1"/>
        <v>1.68261376896149</v>
      </c>
      <c r="I100" s="9">
        <f>I98+I99</f>
        <v>13.4</v>
      </c>
      <c r="J100" s="9">
        <f>J98+J99</f>
        <v>29.8</v>
      </c>
      <c r="K100" s="18">
        <f t="shared" si="2"/>
        <v>0.0236331569664903</v>
      </c>
      <c r="L100" s="9">
        <f>L98+L99</f>
        <v>76.6</v>
      </c>
      <c r="M100" s="9">
        <f>M98+M99</f>
        <v>59.8</v>
      </c>
      <c r="N100" s="18">
        <f t="shared" si="3"/>
        <v>0.128308207705193</v>
      </c>
      <c r="O100" s="9">
        <f>O98+O99</f>
        <v>63.8</v>
      </c>
      <c r="P100" s="9">
        <f>P98+P99</f>
        <v>160.6</v>
      </c>
      <c r="Q100" s="18">
        <f t="shared" si="4"/>
        <v>0.0914302092290054</v>
      </c>
      <c r="R100" s="9">
        <f>R98+R99</f>
        <v>243.4</v>
      </c>
      <c r="S100" s="18">
        <f t="shared" si="5"/>
        <v>0.453090096798213</v>
      </c>
      <c r="T100" s="9">
        <f>T98+T99</f>
        <v>71</v>
      </c>
      <c r="U100" s="18">
        <f t="shared" si="6"/>
        <v>0.291700903861956</v>
      </c>
      <c r="V100" s="9">
        <f>V98+V99</f>
        <v>27.4</v>
      </c>
      <c r="W100" s="9">
        <f>W98+W99</f>
        <v>0.4</v>
      </c>
      <c r="X100" s="18">
        <f t="shared" si="7"/>
        <v>0.0509672619047619</v>
      </c>
      <c r="Y100" s="9">
        <f>Y98+Y99</f>
        <v>81.2</v>
      </c>
      <c r="Z100" s="9">
        <f>Z98+Z99</f>
        <v>11</v>
      </c>
      <c r="AA100" s="63">
        <f>Y100/(E100+Z100)</f>
        <v>0.14812112367749</v>
      </c>
    </row>
    <row r="101" ht="16" hidden="1" customHeight="1" spans="1:27">
      <c r="A101" s="1" t="s">
        <v>72</v>
      </c>
      <c r="B101" s="7" t="s">
        <v>33</v>
      </c>
      <c r="C101" s="9"/>
      <c r="D101" s="9">
        <v>271.4</v>
      </c>
      <c r="E101" s="9">
        <v>251.4</v>
      </c>
      <c r="F101" s="9">
        <v>140.6</v>
      </c>
      <c r="G101" s="18">
        <f t="shared" si="0"/>
        <v>0.559268098647574</v>
      </c>
      <c r="H101" s="54">
        <f t="shared" si="1"/>
        <v>1.5149359886202</v>
      </c>
      <c r="I101" s="9">
        <v>5.4</v>
      </c>
      <c r="J101" s="9">
        <v>11.6</v>
      </c>
      <c r="K101" s="18">
        <f t="shared" si="2"/>
        <v>0.020532319391635</v>
      </c>
      <c r="L101" s="9">
        <v>17.2</v>
      </c>
      <c r="M101" s="9">
        <v>14.2</v>
      </c>
      <c r="N101" s="18">
        <f t="shared" si="3"/>
        <v>0.0647590361445783</v>
      </c>
      <c r="O101" s="9">
        <v>35</v>
      </c>
      <c r="P101" s="9">
        <v>79.8</v>
      </c>
      <c r="Q101" s="18">
        <f t="shared" si="4"/>
        <v>0.105676328502415</v>
      </c>
      <c r="R101" s="9">
        <v>95.6</v>
      </c>
      <c r="S101" s="18">
        <f t="shared" si="5"/>
        <v>0.380270485282418</v>
      </c>
      <c r="T101" s="9">
        <v>10.6</v>
      </c>
      <c r="U101" s="18">
        <f t="shared" si="6"/>
        <v>0.110878661087866</v>
      </c>
      <c r="V101" s="9">
        <v>11.2</v>
      </c>
      <c r="W101" s="9">
        <v>0</v>
      </c>
      <c r="X101" s="18">
        <f t="shared" si="7"/>
        <v>0.0445505171042164</v>
      </c>
      <c r="Y101" s="9">
        <v>38</v>
      </c>
      <c r="Z101" s="9">
        <v>7.8</v>
      </c>
      <c r="AA101" s="63">
        <f t="shared" ref="AA101:AA102" si="40">Y101/E101</f>
        <v>0.15115354017502</v>
      </c>
    </row>
    <row r="102" ht="16" hidden="1" customHeight="1" spans="1:27">
      <c r="A102" s="1" t="s">
        <v>72</v>
      </c>
      <c r="B102" s="7" t="s">
        <v>35</v>
      </c>
      <c r="C102" s="9"/>
      <c r="D102" s="9">
        <v>187.4</v>
      </c>
      <c r="E102" s="9">
        <v>257.4</v>
      </c>
      <c r="F102" s="9">
        <v>193.4</v>
      </c>
      <c r="G102" s="18">
        <f t="shared" si="0"/>
        <v>0.751359751359751</v>
      </c>
      <c r="H102" s="54">
        <f t="shared" si="1"/>
        <v>1.73733195449845</v>
      </c>
      <c r="I102" s="9">
        <v>6.6</v>
      </c>
      <c r="J102" s="9">
        <v>13</v>
      </c>
      <c r="K102" s="18">
        <f t="shared" si="2"/>
        <v>0.0244082840236686</v>
      </c>
      <c r="L102" s="9">
        <v>58</v>
      </c>
      <c r="M102" s="9">
        <v>44.4</v>
      </c>
      <c r="N102" s="18">
        <f t="shared" si="3"/>
        <v>0.192180251822399</v>
      </c>
      <c r="O102" s="9">
        <v>27.6</v>
      </c>
      <c r="P102" s="9">
        <v>75.6</v>
      </c>
      <c r="Q102" s="18">
        <f t="shared" si="4"/>
        <v>0.0828828828828829</v>
      </c>
      <c r="R102" s="9">
        <v>134.6</v>
      </c>
      <c r="S102" s="18">
        <f t="shared" si="5"/>
        <v>0.522921522921523</v>
      </c>
      <c r="T102" s="9">
        <v>48.4</v>
      </c>
      <c r="U102" s="18">
        <f t="shared" si="6"/>
        <v>0.359583952451709</v>
      </c>
      <c r="V102" s="9">
        <v>18.6</v>
      </c>
      <c r="W102" s="9">
        <v>0</v>
      </c>
      <c r="X102" s="18">
        <f t="shared" si="7"/>
        <v>0.0722610722610723</v>
      </c>
      <c r="Y102" s="9">
        <v>42.2</v>
      </c>
      <c r="Z102" s="9">
        <v>4.6</v>
      </c>
      <c r="AA102" s="63">
        <f t="shared" si="40"/>
        <v>0.163947163947164</v>
      </c>
    </row>
    <row r="103" ht="16" hidden="1" customHeight="1" spans="1:27">
      <c r="A103" s="1" t="s">
        <v>72</v>
      </c>
      <c r="B103" s="7" t="s">
        <v>36</v>
      </c>
      <c r="C103" s="9"/>
      <c r="D103" s="9">
        <f>D101+D102</f>
        <v>458.8</v>
      </c>
      <c r="E103" s="9">
        <f>E101+E102</f>
        <v>508.8</v>
      </c>
      <c r="F103" s="9">
        <f>F101+F102</f>
        <v>334</v>
      </c>
      <c r="G103" s="18">
        <f t="shared" si="0"/>
        <v>0.656446540880503</v>
      </c>
      <c r="H103" s="54">
        <f t="shared" si="1"/>
        <v>1.6437125748503</v>
      </c>
      <c r="I103" s="9">
        <f>I101+I102</f>
        <v>12</v>
      </c>
      <c r="J103" s="9">
        <f>J101+J102</f>
        <v>24.6</v>
      </c>
      <c r="K103" s="18">
        <f t="shared" si="2"/>
        <v>0.0224971878515186</v>
      </c>
      <c r="L103" s="9">
        <f>L101+L102</f>
        <v>75.2</v>
      </c>
      <c r="M103" s="9">
        <f>M101+M102</f>
        <v>58.6</v>
      </c>
      <c r="N103" s="18">
        <f t="shared" si="3"/>
        <v>0.13253436728939</v>
      </c>
      <c r="O103" s="9">
        <f>O101+O102</f>
        <v>62.6</v>
      </c>
      <c r="P103" s="9">
        <f>P101+P102</f>
        <v>155.4</v>
      </c>
      <c r="Q103" s="18">
        <f t="shared" si="4"/>
        <v>0.0942487202649804</v>
      </c>
      <c r="R103" s="9">
        <f>R101+R102</f>
        <v>230.2</v>
      </c>
      <c r="S103" s="18">
        <f t="shared" si="5"/>
        <v>0.452437106918239</v>
      </c>
      <c r="T103" s="9">
        <f>T101+T102</f>
        <v>59</v>
      </c>
      <c r="U103" s="18">
        <f t="shared" si="6"/>
        <v>0.25629887054735</v>
      </c>
      <c r="V103" s="9">
        <f>V101+V102</f>
        <v>29.8</v>
      </c>
      <c r="W103" s="9">
        <f>W101+W102</f>
        <v>0</v>
      </c>
      <c r="X103" s="18">
        <f t="shared" si="7"/>
        <v>0.0585691823899371</v>
      </c>
      <c r="Y103" s="9">
        <f>Y101+Y102</f>
        <v>80.2</v>
      </c>
      <c r="Z103" s="9">
        <f>Z101+Z102</f>
        <v>12.4</v>
      </c>
      <c r="AA103" s="63">
        <f>Y103/(E103+Z103)</f>
        <v>0.153875671527245</v>
      </c>
    </row>
    <row r="104" ht="16" hidden="1" customHeight="1" spans="1:27">
      <c r="A104" s="1" t="s">
        <v>73</v>
      </c>
      <c r="B104" s="7" t="s">
        <v>33</v>
      </c>
      <c r="C104" s="9"/>
      <c r="D104" s="9">
        <v>229.4</v>
      </c>
      <c r="E104" s="9">
        <v>268.4</v>
      </c>
      <c r="F104" s="9">
        <v>152.8</v>
      </c>
      <c r="G104" s="18">
        <f t="shared" si="0"/>
        <v>0.56929955290611</v>
      </c>
      <c r="H104" s="54">
        <f t="shared" si="1"/>
        <v>1.59162303664921</v>
      </c>
      <c r="I104" s="9">
        <v>4</v>
      </c>
      <c r="J104" s="9">
        <v>9.2</v>
      </c>
      <c r="K104" s="18">
        <f t="shared" si="2"/>
        <v>0.0144092219020173</v>
      </c>
      <c r="L104" s="9">
        <v>15.8</v>
      </c>
      <c r="M104" s="9">
        <v>12.4</v>
      </c>
      <c r="N104" s="18">
        <f t="shared" si="3"/>
        <v>0.0562678062678063</v>
      </c>
      <c r="O104" s="9">
        <v>42.6</v>
      </c>
      <c r="P104" s="9">
        <v>92.8</v>
      </c>
      <c r="Q104" s="18">
        <f t="shared" si="4"/>
        <v>0.117940199335548</v>
      </c>
      <c r="R104" s="9">
        <v>109</v>
      </c>
      <c r="S104" s="18">
        <f t="shared" si="5"/>
        <v>0.406110283159464</v>
      </c>
      <c r="T104" s="9">
        <v>12</v>
      </c>
      <c r="U104" s="18">
        <f t="shared" si="6"/>
        <v>0.110091743119266</v>
      </c>
      <c r="V104" s="9">
        <v>14.2</v>
      </c>
      <c r="W104" s="9">
        <v>0</v>
      </c>
      <c r="X104" s="18">
        <f t="shared" si="7"/>
        <v>0.0529061102831595</v>
      </c>
      <c r="Y104" s="9">
        <v>45.6</v>
      </c>
      <c r="Z104" s="9">
        <v>6.2</v>
      </c>
      <c r="AA104" s="63">
        <f t="shared" ref="AA104:AA105" si="41">Y104/E104</f>
        <v>0.169895678092399</v>
      </c>
    </row>
    <row r="105" ht="16" hidden="1" customHeight="1" spans="1:27">
      <c r="A105" s="1" t="s">
        <v>73</v>
      </c>
      <c r="B105" s="7" t="s">
        <v>35</v>
      </c>
      <c r="C105" s="9"/>
      <c r="D105" s="9">
        <v>196.8</v>
      </c>
      <c r="E105" s="9">
        <v>236.8</v>
      </c>
      <c r="F105" s="9">
        <v>172.6</v>
      </c>
      <c r="G105" s="18">
        <f t="shared" si="0"/>
        <v>0.728885135135135</v>
      </c>
      <c r="H105" s="54">
        <f t="shared" si="1"/>
        <v>1.71378910776362</v>
      </c>
      <c r="I105" s="9">
        <v>5.6</v>
      </c>
      <c r="J105" s="9">
        <v>11.6</v>
      </c>
      <c r="K105" s="18">
        <f t="shared" si="2"/>
        <v>0.0225442834138486</v>
      </c>
      <c r="L105" s="9">
        <v>53</v>
      </c>
      <c r="M105" s="9">
        <v>40.6</v>
      </c>
      <c r="N105" s="18">
        <f t="shared" si="3"/>
        <v>0.191059841384283</v>
      </c>
      <c r="O105" s="9">
        <v>19.6</v>
      </c>
      <c r="P105" s="9">
        <v>66.4</v>
      </c>
      <c r="Q105" s="18">
        <f t="shared" si="4"/>
        <v>0.0646437994722955</v>
      </c>
      <c r="R105" s="9">
        <v>121</v>
      </c>
      <c r="S105" s="18">
        <f t="shared" si="5"/>
        <v>0.51097972972973</v>
      </c>
      <c r="T105" s="9">
        <v>41.6</v>
      </c>
      <c r="U105" s="18">
        <f t="shared" si="6"/>
        <v>0.343801652892562</v>
      </c>
      <c r="V105" s="9">
        <v>12.4</v>
      </c>
      <c r="W105" s="9">
        <v>0</v>
      </c>
      <c r="X105" s="18">
        <f t="shared" si="7"/>
        <v>0.0523648648648649</v>
      </c>
      <c r="Y105" s="9">
        <v>42.6</v>
      </c>
      <c r="Z105" s="9">
        <v>4.2</v>
      </c>
      <c r="AA105" s="63">
        <f t="shared" si="41"/>
        <v>0.179898648648649</v>
      </c>
    </row>
    <row r="106" ht="16" hidden="1" customHeight="1" spans="1:27">
      <c r="A106" s="1" t="s">
        <v>73</v>
      </c>
      <c r="B106" s="7" t="s">
        <v>36</v>
      </c>
      <c r="C106" s="9"/>
      <c r="D106" s="9">
        <f>D104+D105</f>
        <v>426.2</v>
      </c>
      <c r="E106" s="9">
        <f>E104+E105</f>
        <v>505.2</v>
      </c>
      <c r="F106" s="9">
        <f>F104+F105</f>
        <v>325.4</v>
      </c>
      <c r="G106" s="18">
        <f t="shared" si="0"/>
        <v>0.644101346001584</v>
      </c>
      <c r="H106" s="54">
        <f t="shared" si="1"/>
        <v>1.65642286416718</v>
      </c>
      <c r="I106" s="9">
        <f>I104+I105</f>
        <v>9.6</v>
      </c>
      <c r="J106" s="9">
        <f>J104+J105</f>
        <v>20.8</v>
      </c>
      <c r="K106" s="18">
        <f t="shared" si="2"/>
        <v>0.0182509505703422</v>
      </c>
      <c r="L106" s="9">
        <f>L104+L105</f>
        <v>68.8</v>
      </c>
      <c r="M106" s="9">
        <f>M104+M105</f>
        <v>53</v>
      </c>
      <c r="N106" s="18">
        <f t="shared" si="3"/>
        <v>0.123253314224292</v>
      </c>
      <c r="O106" s="9">
        <f>O104+O105</f>
        <v>62.2</v>
      </c>
      <c r="P106" s="9">
        <f>P104+P105</f>
        <v>159.2</v>
      </c>
      <c r="Q106" s="18">
        <f t="shared" si="4"/>
        <v>0.0936183022275738</v>
      </c>
      <c r="R106" s="9">
        <f>R104+R105</f>
        <v>230</v>
      </c>
      <c r="S106" s="18">
        <f t="shared" si="5"/>
        <v>0.455265241488519</v>
      </c>
      <c r="T106" s="9">
        <f>T104+T105</f>
        <v>53.6</v>
      </c>
      <c r="U106" s="18">
        <f t="shared" si="6"/>
        <v>0.23304347826087</v>
      </c>
      <c r="V106" s="9">
        <f>V104+V105</f>
        <v>26.6</v>
      </c>
      <c r="W106" s="9">
        <f>W104+W105</f>
        <v>0</v>
      </c>
      <c r="X106" s="18">
        <f t="shared" si="7"/>
        <v>0.052652414885194</v>
      </c>
      <c r="Y106" s="9">
        <f>Y104+Y105</f>
        <v>88.2</v>
      </c>
      <c r="Z106" s="9">
        <f>Z104+Z105</f>
        <v>10.4</v>
      </c>
      <c r="AA106" s="63">
        <f>Y106/(E106+Z106)</f>
        <v>0.171062839410396</v>
      </c>
    </row>
    <row r="107" ht="16" hidden="1" customHeight="1" spans="1:27">
      <c r="A107" s="1" t="s">
        <v>74</v>
      </c>
      <c r="B107" s="7" t="s">
        <v>33</v>
      </c>
      <c r="C107" s="9"/>
      <c r="D107" s="9">
        <v>247.2</v>
      </c>
      <c r="E107" s="9">
        <v>263.2</v>
      </c>
      <c r="F107" s="9">
        <v>149.8</v>
      </c>
      <c r="G107" s="18">
        <f t="shared" si="0"/>
        <v>0.569148936170213</v>
      </c>
      <c r="H107" s="54">
        <f t="shared" si="1"/>
        <v>1.60881174899866</v>
      </c>
      <c r="I107" s="9">
        <v>4.4</v>
      </c>
      <c r="J107" s="9">
        <v>9.8</v>
      </c>
      <c r="K107" s="18">
        <f t="shared" si="2"/>
        <v>0.0161172161172161</v>
      </c>
      <c r="L107" s="9">
        <v>15.2</v>
      </c>
      <c r="M107" s="9">
        <v>11.6</v>
      </c>
      <c r="N107" s="18">
        <f t="shared" si="3"/>
        <v>0.0553129548762736</v>
      </c>
      <c r="O107" s="9">
        <v>34.4</v>
      </c>
      <c r="P107" s="9">
        <v>87.8</v>
      </c>
      <c r="Q107" s="18">
        <f t="shared" si="4"/>
        <v>0.098005698005698</v>
      </c>
      <c r="R107" s="9">
        <v>108.6</v>
      </c>
      <c r="S107" s="18">
        <f t="shared" si="5"/>
        <v>0.412613981762918</v>
      </c>
      <c r="T107" s="9">
        <v>15.2</v>
      </c>
      <c r="U107" s="18">
        <f t="shared" si="6"/>
        <v>0.139963167587477</v>
      </c>
      <c r="V107" s="9">
        <v>15.4</v>
      </c>
      <c r="W107" s="9">
        <v>0</v>
      </c>
      <c r="X107" s="18">
        <f t="shared" si="7"/>
        <v>0.0585106382978723</v>
      </c>
      <c r="Y107" s="9">
        <v>47.8</v>
      </c>
      <c r="Z107" s="9">
        <v>7.8</v>
      </c>
      <c r="AA107" s="63">
        <f t="shared" ref="AA107:AA108" si="42">Y107/E107</f>
        <v>0.18161094224924</v>
      </c>
    </row>
    <row r="108" ht="16" hidden="1" customHeight="1" spans="1:27">
      <c r="A108" s="1" t="s">
        <v>74</v>
      </c>
      <c r="B108" s="7" t="s">
        <v>35</v>
      </c>
      <c r="C108" s="9"/>
      <c r="D108" s="9">
        <v>198.2</v>
      </c>
      <c r="E108" s="9">
        <v>242.2</v>
      </c>
      <c r="F108" s="9">
        <v>178.8</v>
      </c>
      <c r="G108" s="18">
        <f t="shared" si="0"/>
        <v>0.738232865400495</v>
      </c>
      <c r="H108" s="54">
        <f t="shared" si="1"/>
        <v>1.75950782997763</v>
      </c>
      <c r="I108" s="9">
        <v>5.6</v>
      </c>
      <c r="J108" s="9">
        <v>12.2</v>
      </c>
      <c r="K108" s="18">
        <f t="shared" si="2"/>
        <v>0.0220125786163522</v>
      </c>
      <c r="L108" s="9">
        <v>51.8</v>
      </c>
      <c r="M108" s="9">
        <v>38.4</v>
      </c>
      <c r="N108" s="18">
        <f t="shared" si="3"/>
        <v>0.184604419101924</v>
      </c>
      <c r="O108" s="9">
        <v>27</v>
      </c>
      <c r="P108" s="9">
        <v>75</v>
      </c>
      <c r="Q108" s="18">
        <f t="shared" si="4"/>
        <v>0.0851197982345523</v>
      </c>
      <c r="R108" s="9">
        <v>125.8</v>
      </c>
      <c r="S108" s="18">
        <f t="shared" si="5"/>
        <v>0.519405450041288</v>
      </c>
      <c r="T108" s="9">
        <v>42.2</v>
      </c>
      <c r="U108" s="18">
        <f t="shared" si="6"/>
        <v>0.335453100158983</v>
      </c>
      <c r="V108" s="9">
        <v>20.8</v>
      </c>
      <c r="W108" s="9">
        <v>0.4</v>
      </c>
      <c r="X108" s="18">
        <f t="shared" si="7"/>
        <v>0.0857378400659522</v>
      </c>
      <c r="Y108" s="9">
        <v>41.4</v>
      </c>
      <c r="Z108" s="9">
        <v>4</v>
      </c>
      <c r="AA108" s="63">
        <f t="shared" si="42"/>
        <v>0.170933113129645</v>
      </c>
    </row>
    <row r="109" ht="16" hidden="1" customHeight="1" spans="1:27">
      <c r="A109" s="1" t="s">
        <v>74</v>
      </c>
      <c r="B109" s="7" t="s">
        <v>36</v>
      </c>
      <c r="C109" s="9"/>
      <c r="D109" s="9">
        <f>D107+D108</f>
        <v>445.4</v>
      </c>
      <c r="E109" s="9">
        <f>E107+E108</f>
        <v>505.4</v>
      </c>
      <c r="F109" s="9">
        <f>F107+F108</f>
        <v>328.6</v>
      </c>
      <c r="G109" s="18">
        <f t="shared" si="0"/>
        <v>0.650178076770875</v>
      </c>
      <c r="H109" s="54">
        <f t="shared" si="1"/>
        <v>1.69080949482654</v>
      </c>
      <c r="I109" s="9">
        <f>I107+I108</f>
        <v>10</v>
      </c>
      <c r="J109" s="9">
        <f>J107+J108</f>
        <v>22</v>
      </c>
      <c r="K109" s="18">
        <f t="shared" si="2"/>
        <v>0.0189609404626469</v>
      </c>
      <c r="L109" s="9">
        <f>L107+L108</f>
        <v>67</v>
      </c>
      <c r="M109" s="9">
        <f>M107+M108</f>
        <v>50</v>
      </c>
      <c r="N109" s="18">
        <f t="shared" si="3"/>
        <v>0.120633777457688</v>
      </c>
      <c r="O109" s="9">
        <f>O107+O108</f>
        <v>61.4</v>
      </c>
      <c r="P109" s="9">
        <f>P107+P108</f>
        <v>162.8</v>
      </c>
      <c r="Q109" s="18">
        <f t="shared" si="4"/>
        <v>0.0918886560909907</v>
      </c>
      <c r="R109" s="9">
        <f>R107+R108</f>
        <v>234.4</v>
      </c>
      <c r="S109" s="18">
        <f t="shared" si="5"/>
        <v>0.463791056588841</v>
      </c>
      <c r="T109" s="9">
        <f>T107+T108</f>
        <v>57.4</v>
      </c>
      <c r="U109" s="18">
        <f t="shared" si="6"/>
        <v>0.244880546075085</v>
      </c>
      <c r="V109" s="9">
        <f>V107+V108</f>
        <v>36.2</v>
      </c>
      <c r="W109" s="9">
        <f>W107+W108</f>
        <v>0.4</v>
      </c>
      <c r="X109" s="18">
        <f t="shared" si="7"/>
        <v>0.0715697904310004</v>
      </c>
      <c r="Y109" s="9">
        <f>Y107+Y108</f>
        <v>89.2</v>
      </c>
      <c r="Z109" s="9">
        <f>Z107+Z108</f>
        <v>11.8</v>
      </c>
      <c r="AA109" s="63">
        <f>Y109/(E109+Z109)</f>
        <v>0.17246713070379</v>
      </c>
    </row>
    <row r="110" ht="16" hidden="1" customHeight="1" spans="1:27">
      <c r="A110" s="1" t="s">
        <v>75</v>
      </c>
      <c r="B110" s="7" t="s">
        <v>33</v>
      </c>
      <c r="C110" s="9"/>
      <c r="D110" s="9">
        <v>276</v>
      </c>
      <c r="E110" s="9">
        <v>259.8</v>
      </c>
      <c r="F110" s="9">
        <v>134.6</v>
      </c>
      <c r="G110" s="18">
        <f t="shared" si="0"/>
        <v>0.518090839107005</v>
      </c>
      <c r="H110" s="54">
        <f t="shared" si="1"/>
        <v>1.52451708766716</v>
      </c>
      <c r="I110" s="9">
        <v>6.4</v>
      </c>
      <c r="J110" s="9">
        <v>14.2</v>
      </c>
      <c r="K110" s="18">
        <f t="shared" si="2"/>
        <v>0.0233576642335766</v>
      </c>
      <c r="L110" s="9">
        <v>15.4</v>
      </c>
      <c r="M110" s="9">
        <v>13.6</v>
      </c>
      <c r="N110" s="18">
        <f t="shared" si="3"/>
        <v>0.0563277249451353</v>
      </c>
      <c r="O110" s="9">
        <v>33.6</v>
      </c>
      <c r="P110" s="9">
        <v>75.8</v>
      </c>
      <c r="Q110" s="18">
        <f t="shared" si="4"/>
        <v>0.100119189511323</v>
      </c>
      <c r="R110" s="9">
        <v>95</v>
      </c>
      <c r="S110" s="18">
        <f t="shared" si="5"/>
        <v>0.365665896843726</v>
      </c>
      <c r="T110" s="9">
        <v>12.4</v>
      </c>
      <c r="U110" s="18">
        <f t="shared" si="6"/>
        <v>0.130526315789474</v>
      </c>
      <c r="V110" s="9">
        <v>7.4</v>
      </c>
      <c r="W110" s="9">
        <v>0</v>
      </c>
      <c r="X110" s="18">
        <f t="shared" si="7"/>
        <v>0.0284834488067744</v>
      </c>
      <c r="Y110" s="9">
        <v>35</v>
      </c>
      <c r="Z110" s="9">
        <v>6.4</v>
      </c>
      <c r="AA110" s="63">
        <f t="shared" ref="AA110:AA111" si="43">Y110/E110</f>
        <v>0.134719014626636</v>
      </c>
    </row>
    <row r="111" ht="16" hidden="1" customHeight="1" spans="1:27">
      <c r="A111" s="1" t="s">
        <v>75</v>
      </c>
      <c r="B111" s="7" t="s">
        <v>35</v>
      </c>
      <c r="C111" s="9"/>
      <c r="D111" s="9">
        <v>191.8</v>
      </c>
      <c r="E111" s="9">
        <v>267.8</v>
      </c>
      <c r="F111" s="9">
        <v>193.4</v>
      </c>
      <c r="G111" s="18">
        <f t="shared" si="0"/>
        <v>0.72218073188947</v>
      </c>
      <c r="H111" s="54">
        <f t="shared" si="1"/>
        <v>1.75801447776629</v>
      </c>
      <c r="I111" s="9">
        <v>8.2</v>
      </c>
      <c r="J111" s="9">
        <v>14.6</v>
      </c>
      <c r="K111" s="18">
        <f t="shared" si="2"/>
        <v>0.0290368271954674</v>
      </c>
      <c r="L111" s="9">
        <v>60.6</v>
      </c>
      <c r="M111" s="9">
        <v>50</v>
      </c>
      <c r="N111" s="18">
        <f t="shared" si="3"/>
        <v>0.190685966016362</v>
      </c>
      <c r="O111" s="9">
        <v>28.2</v>
      </c>
      <c r="P111" s="9">
        <v>75.4</v>
      </c>
      <c r="Q111" s="18">
        <f t="shared" si="4"/>
        <v>0.0821678321678322</v>
      </c>
      <c r="R111" s="9">
        <v>127.6</v>
      </c>
      <c r="S111" s="18">
        <f t="shared" si="5"/>
        <v>0.47647498132935</v>
      </c>
      <c r="T111" s="9">
        <v>42.4</v>
      </c>
      <c r="U111" s="18">
        <f t="shared" si="6"/>
        <v>0.332288401253919</v>
      </c>
      <c r="V111" s="9">
        <v>21</v>
      </c>
      <c r="W111" s="9">
        <v>0.2</v>
      </c>
      <c r="X111" s="18">
        <f t="shared" si="7"/>
        <v>0.0783582089552239</v>
      </c>
      <c r="Y111" s="9">
        <v>52</v>
      </c>
      <c r="Z111" s="9">
        <v>5.6</v>
      </c>
      <c r="AA111" s="63">
        <f t="shared" si="43"/>
        <v>0.194174757281553</v>
      </c>
    </row>
    <row r="112" ht="16" hidden="1" customHeight="1" spans="1:27">
      <c r="A112" s="1" t="s">
        <v>75</v>
      </c>
      <c r="B112" s="7" t="s">
        <v>36</v>
      </c>
      <c r="C112" s="9"/>
      <c r="D112" s="9">
        <f>D110+D111</f>
        <v>467.8</v>
      </c>
      <c r="E112" s="9">
        <f>E110+E111</f>
        <v>527.6</v>
      </c>
      <c r="F112" s="9">
        <f>F110+F111</f>
        <v>328</v>
      </c>
      <c r="G112" s="18">
        <f t="shared" si="0"/>
        <v>0.621683093252464</v>
      </c>
      <c r="H112" s="54">
        <f t="shared" si="1"/>
        <v>1.66219512195122</v>
      </c>
      <c r="I112" s="9">
        <f>I110+I111</f>
        <v>14.6</v>
      </c>
      <c r="J112" s="9">
        <f>J110+J111</f>
        <v>28.8</v>
      </c>
      <c r="K112" s="18">
        <f t="shared" si="2"/>
        <v>0.0262401150251618</v>
      </c>
      <c r="L112" s="9">
        <f>L110+L111</f>
        <v>76</v>
      </c>
      <c r="M112" s="9">
        <f>M110+M111</f>
        <v>63.6</v>
      </c>
      <c r="N112" s="18">
        <f t="shared" si="3"/>
        <v>0.128552097428958</v>
      </c>
      <c r="O112" s="9">
        <f>O110+O111</f>
        <v>61.8</v>
      </c>
      <c r="P112" s="9">
        <f>P110+P111</f>
        <v>151.2</v>
      </c>
      <c r="Q112" s="18">
        <f t="shared" si="4"/>
        <v>0.0910430170889805</v>
      </c>
      <c r="R112" s="9">
        <f>R110+R111</f>
        <v>222.6</v>
      </c>
      <c r="S112" s="18">
        <f t="shared" si="5"/>
        <v>0.421910538286581</v>
      </c>
      <c r="T112" s="9">
        <f>T110+T111</f>
        <v>54.8</v>
      </c>
      <c r="U112" s="18">
        <f t="shared" si="6"/>
        <v>0.24618149146451</v>
      </c>
      <c r="V112" s="9">
        <f>V110+V111</f>
        <v>28.4</v>
      </c>
      <c r="W112" s="9">
        <f>W110+W111</f>
        <v>0.2</v>
      </c>
      <c r="X112" s="18">
        <f t="shared" si="7"/>
        <v>0.0538082607048124</v>
      </c>
      <c r="Y112" s="9">
        <f>Y110+Y111</f>
        <v>87</v>
      </c>
      <c r="Z112" s="9">
        <f>Z110+Z111</f>
        <v>12</v>
      </c>
      <c r="AA112" s="63">
        <f>Y112/(E112+Z112)</f>
        <v>0.161230541141586</v>
      </c>
    </row>
    <row r="113" ht="16" hidden="1" customHeight="1" spans="1:27">
      <c r="A113" s="1" t="s">
        <v>76</v>
      </c>
      <c r="B113" s="7" t="s">
        <v>33</v>
      </c>
      <c r="C113" s="9"/>
      <c r="D113" s="9">
        <v>265</v>
      </c>
      <c r="E113" s="9">
        <v>317.4</v>
      </c>
      <c r="F113" s="9">
        <v>145.2</v>
      </c>
      <c r="G113" s="18">
        <f t="shared" si="0"/>
        <v>0.457466918714556</v>
      </c>
      <c r="H113" s="54">
        <f t="shared" si="1"/>
        <v>1.55371900826446</v>
      </c>
      <c r="I113" s="9">
        <v>8.8</v>
      </c>
      <c r="J113" s="9">
        <v>13.8</v>
      </c>
      <c r="K113" s="18">
        <f t="shared" si="2"/>
        <v>0.0265700483091787</v>
      </c>
      <c r="L113" s="9">
        <v>15.6</v>
      </c>
      <c r="M113" s="9">
        <v>14.8</v>
      </c>
      <c r="N113" s="18">
        <f t="shared" si="3"/>
        <v>0.0469596628537026</v>
      </c>
      <c r="O113" s="9">
        <v>28.4</v>
      </c>
      <c r="P113" s="9">
        <v>77.2</v>
      </c>
      <c r="Q113" s="18">
        <f t="shared" si="4"/>
        <v>0.0719716168271668</v>
      </c>
      <c r="R113" s="9">
        <v>106.6</v>
      </c>
      <c r="S113" s="18">
        <f t="shared" si="5"/>
        <v>0.335853812224323</v>
      </c>
      <c r="T113" s="9">
        <v>15.4</v>
      </c>
      <c r="U113" s="18">
        <f t="shared" si="6"/>
        <v>0.144465290806754</v>
      </c>
      <c r="V113" s="9">
        <v>12.6</v>
      </c>
      <c r="W113" s="9">
        <v>0</v>
      </c>
      <c r="X113" s="18">
        <f t="shared" si="7"/>
        <v>0.0396975425330813</v>
      </c>
      <c r="Y113" s="9">
        <v>38.2</v>
      </c>
      <c r="Z113" s="9">
        <v>6</v>
      </c>
      <c r="AA113" s="63">
        <f t="shared" ref="AA113:AA114" si="44">Y113/E113</f>
        <v>0.120352867044739</v>
      </c>
    </row>
    <row r="114" ht="16" hidden="1" customHeight="1" spans="1:27">
      <c r="A114" s="1" t="s">
        <v>76</v>
      </c>
      <c r="B114" s="7" t="s">
        <v>35</v>
      </c>
      <c r="C114" s="9"/>
      <c r="D114" s="9">
        <v>191</v>
      </c>
      <c r="E114" s="9">
        <v>278</v>
      </c>
      <c r="F114" s="9">
        <v>197.2</v>
      </c>
      <c r="G114" s="18">
        <f t="shared" si="0"/>
        <v>0.709352517985611</v>
      </c>
      <c r="H114" s="54">
        <f t="shared" si="1"/>
        <v>1.7079107505071</v>
      </c>
      <c r="I114" s="9">
        <v>10.6</v>
      </c>
      <c r="J114" s="9">
        <v>20.8</v>
      </c>
      <c r="K114" s="18">
        <f t="shared" si="2"/>
        <v>0.035475234270415</v>
      </c>
      <c r="L114" s="9">
        <v>55.8</v>
      </c>
      <c r="M114" s="9">
        <v>44.2</v>
      </c>
      <c r="N114" s="18">
        <f t="shared" si="3"/>
        <v>0.173184357541899</v>
      </c>
      <c r="O114" s="9">
        <v>25.6</v>
      </c>
      <c r="P114" s="9">
        <v>76</v>
      </c>
      <c r="Q114" s="18">
        <f t="shared" si="4"/>
        <v>0.072316384180791</v>
      </c>
      <c r="R114" s="9">
        <v>136.6</v>
      </c>
      <c r="S114" s="18">
        <f t="shared" si="5"/>
        <v>0.49136690647482</v>
      </c>
      <c r="T114" s="9">
        <v>48</v>
      </c>
      <c r="U114" s="18">
        <f t="shared" si="6"/>
        <v>0.351390922401171</v>
      </c>
      <c r="V114" s="9">
        <v>15.6</v>
      </c>
      <c r="W114" s="9">
        <v>0.6</v>
      </c>
      <c r="X114" s="18">
        <f t="shared" si="7"/>
        <v>0.0559942569992821</v>
      </c>
      <c r="Y114" s="9">
        <v>44.6</v>
      </c>
      <c r="Z114" s="9">
        <v>6.8</v>
      </c>
      <c r="AA114" s="63">
        <f t="shared" si="44"/>
        <v>0.160431654676259</v>
      </c>
    </row>
    <row r="115" ht="16" hidden="1" customHeight="1" spans="1:27">
      <c r="A115" s="1" t="s">
        <v>76</v>
      </c>
      <c r="B115" s="7" t="s">
        <v>36</v>
      </c>
      <c r="C115" s="9"/>
      <c r="D115" s="9">
        <f>D113+D114</f>
        <v>456</v>
      </c>
      <c r="E115" s="9">
        <f>E113+E114</f>
        <v>595.4</v>
      </c>
      <c r="F115" s="9">
        <f>F113+F114</f>
        <v>342.4</v>
      </c>
      <c r="G115" s="18">
        <f t="shared" si="0"/>
        <v>0.575075579442392</v>
      </c>
      <c r="H115" s="54">
        <f t="shared" si="1"/>
        <v>1.64252336448598</v>
      </c>
      <c r="I115" s="9">
        <f>I113+I114</f>
        <v>19.4</v>
      </c>
      <c r="J115" s="9">
        <f>J113+J114</f>
        <v>34.6</v>
      </c>
      <c r="K115" s="18">
        <f t="shared" si="2"/>
        <v>0.0307936507936508</v>
      </c>
      <c r="L115" s="9">
        <f>L113+L114</f>
        <v>71.4</v>
      </c>
      <c r="M115" s="9">
        <f>M113+M114</f>
        <v>59</v>
      </c>
      <c r="N115" s="18">
        <f t="shared" si="3"/>
        <v>0.109107579462103</v>
      </c>
      <c r="O115" s="9">
        <f>O113+O114</f>
        <v>54</v>
      </c>
      <c r="P115" s="9">
        <f>P113+P114</f>
        <v>153.2</v>
      </c>
      <c r="Q115" s="18">
        <f t="shared" si="4"/>
        <v>0.0721346513491852</v>
      </c>
      <c r="R115" s="9">
        <f>R113+R114</f>
        <v>243.2</v>
      </c>
      <c r="S115" s="18">
        <f t="shared" si="5"/>
        <v>0.408464897547867</v>
      </c>
      <c r="T115" s="9">
        <f>T113+T114</f>
        <v>63.4</v>
      </c>
      <c r="U115" s="18">
        <f t="shared" si="6"/>
        <v>0.260690789473684</v>
      </c>
      <c r="V115" s="9">
        <f>V113+V114</f>
        <v>28.2</v>
      </c>
      <c r="W115" s="9">
        <f>W113+W114</f>
        <v>0.6</v>
      </c>
      <c r="X115" s="18">
        <f t="shared" si="7"/>
        <v>0.0473154362416107</v>
      </c>
      <c r="Y115" s="9">
        <f>Y113+Y114</f>
        <v>82.8</v>
      </c>
      <c r="Z115" s="9">
        <f>Z113+Z114</f>
        <v>12.8</v>
      </c>
      <c r="AA115" s="63">
        <f>Y115/(E115+Z115)</f>
        <v>0.136139427819796</v>
      </c>
    </row>
    <row r="116" ht="34" hidden="1" spans="1:27">
      <c r="A116" s="1" t="s">
        <v>77</v>
      </c>
      <c r="B116" s="7" t="s">
        <v>33</v>
      </c>
      <c r="C116" s="9"/>
      <c r="D116" s="9">
        <v>197.8</v>
      </c>
      <c r="E116" s="9">
        <v>287.2</v>
      </c>
      <c r="F116" s="9">
        <v>135.8</v>
      </c>
      <c r="G116" s="18">
        <f t="shared" si="0"/>
        <v>0.472841225626741</v>
      </c>
      <c r="H116" s="54">
        <f t="shared" si="1"/>
        <v>1.51693667157585</v>
      </c>
      <c r="I116" s="9">
        <v>10.8</v>
      </c>
      <c r="J116" s="9">
        <v>17.6</v>
      </c>
      <c r="K116" s="18">
        <f t="shared" si="2"/>
        <v>0.0354330708661417</v>
      </c>
      <c r="L116" s="9">
        <v>14.2</v>
      </c>
      <c r="M116" s="9">
        <v>12.2</v>
      </c>
      <c r="N116" s="18">
        <f t="shared" si="3"/>
        <v>0.0474281897127589</v>
      </c>
      <c r="O116" s="9">
        <v>28.2</v>
      </c>
      <c r="P116" s="9">
        <v>75.4</v>
      </c>
      <c r="Q116" s="18">
        <f t="shared" si="4"/>
        <v>0.0777716492002206</v>
      </c>
      <c r="R116" s="9">
        <v>96.2</v>
      </c>
      <c r="S116" s="18">
        <f t="shared" si="5"/>
        <v>0.334958217270195</v>
      </c>
      <c r="T116" s="9">
        <v>13.4</v>
      </c>
      <c r="U116" s="18">
        <f t="shared" si="6"/>
        <v>0.139293139293139</v>
      </c>
      <c r="V116" s="9">
        <v>10.8</v>
      </c>
      <c r="W116" s="9">
        <v>0</v>
      </c>
      <c r="X116" s="18">
        <f t="shared" si="7"/>
        <v>0.0376044568245125</v>
      </c>
      <c r="Y116" s="9">
        <v>32.4</v>
      </c>
      <c r="Z116" s="9">
        <v>10.2</v>
      </c>
      <c r="AA116" s="63">
        <f t="shared" ref="AA116:AA117" si="45">Y116/E116</f>
        <v>0.112813370473538</v>
      </c>
    </row>
    <row r="117" hidden="1" spans="1:27">
      <c r="A117" s="1" t="s">
        <v>77</v>
      </c>
      <c r="B117" s="7" t="s">
        <v>35</v>
      </c>
      <c r="C117" s="9"/>
      <c r="D117" s="9">
        <v>216.8</v>
      </c>
      <c r="E117" s="9">
        <v>241.8</v>
      </c>
      <c r="F117" s="9">
        <v>163</v>
      </c>
      <c r="G117" s="18">
        <f t="shared" si="0"/>
        <v>0.674110835401158</v>
      </c>
      <c r="H117" s="54">
        <f t="shared" si="1"/>
        <v>1.71042944785276</v>
      </c>
      <c r="I117" s="9">
        <v>6.4</v>
      </c>
      <c r="J117" s="9">
        <v>12.4</v>
      </c>
      <c r="K117" s="18">
        <f t="shared" si="2"/>
        <v>0.025177025963808</v>
      </c>
      <c r="L117" s="9">
        <v>47.4</v>
      </c>
      <c r="M117" s="9">
        <v>36.2</v>
      </c>
      <c r="N117" s="18">
        <f t="shared" si="3"/>
        <v>0.170503597122302</v>
      </c>
      <c r="O117" s="9">
        <v>26.2</v>
      </c>
      <c r="P117" s="9">
        <v>67.2</v>
      </c>
      <c r="Q117" s="18">
        <f t="shared" si="4"/>
        <v>0.084789644012945</v>
      </c>
      <c r="R117" s="9">
        <v>111.8</v>
      </c>
      <c r="S117" s="18">
        <f t="shared" si="5"/>
        <v>0.462365591397849</v>
      </c>
      <c r="T117" s="9">
        <v>41.2</v>
      </c>
      <c r="U117" s="18">
        <f t="shared" si="6"/>
        <v>0.368515205724508</v>
      </c>
      <c r="V117" s="9">
        <v>11.4</v>
      </c>
      <c r="W117" s="9">
        <v>0</v>
      </c>
      <c r="X117" s="18">
        <f t="shared" si="7"/>
        <v>0.0471464019851117</v>
      </c>
      <c r="Y117" s="9">
        <v>34.4</v>
      </c>
      <c r="Z117" s="9">
        <v>4.4</v>
      </c>
      <c r="AA117" s="63">
        <f t="shared" si="45"/>
        <v>0.142266335814723</v>
      </c>
    </row>
    <row r="118" hidden="1" spans="1:27">
      <c r="A118" s="1" t="s">
        <v>77</v>
      </c>
      <c r="B118" s="7" t="s">
        <v>36</v>
      </c>
      <c r="C118" s="9"/>
      <c r="D118" s="9">
        <f>D116+D117</f>
        <v>414.6</v>
      </c>
      <c r="E118" s="9">
        <f>E116+E117</f>
        <v>529</v>
      </c>
      <c r="F118" s="9">
        <f>F116+F117</f>
        <v>298.8</v>
      </c>
      <c r="G118" s="18">
        <f t="shared" si="0"/>
        <v>0.564839319470699</v>
      </c>
      <c r="H118" s="54">
        <f t="shared" si="1"/>
        <v>1.62248995983936</v>
      </c>
      <c r="I118" s="9">
        <f>I116+I117</f>
        <v>17.2</v>
      </c>
      <c r="J118" s="9">
        <f>J116+J117</f>
        <v>30</v>
      </c>
      <c r="K118" s="18">
        <f t="shared" si="2"/>
        <v>0.0307692307692308</v>
      </c>
      <c r="L118" s="9">
        <f>L116+L117</f>
        <v>61.6</v>
      </c>
      <c r="M118" s="9">
        <f>M116+M117</f>
        <v>48.4</v>
      </c>
      <c r="N118" s="18">
        <f t="shared" si="3"/>
        <v>0.106685140284032</v>
      </c>
      <c r="O118" s="9">
        <f>O116+O117</f>
        <v>54.4</v>
      </c>
      <c r="P118" s="9">
        <f>P116+P117</f>
        <v>142.6</v>
      </c>
      <c r="Q118" s="18">
        <f t="shared" si="4"/>
        <v>0.0810005955926146</v>
      </c>
      <c r="R118" s="9">
        <f>R116+R117</f>
        <v>208</v>
      </c>
      <c r="S118" s="18">
        <f t="shared" si="5"/>
        <v>0.393194706994329</v>
      </c>
      <c r="T118" s="9">
        <f>T116+T117</f>
        <v>54.6</v>
      </c>
      <c r="U118" s="18">
        <f t="shared" si="6"/>
        <v>0.2625</v>
      </c>
      <c r="V118" s="9">
        <f>V116+V117</f>
        <v>22.2</v>
      </c>
      <c r="W118" s="9">
        <f>W116+W117</f>
        <v>0</v>
      </c>
      <c r="X118" s="18">
        <f t="shared" si="7"/>
        <v>0.0419659735349716</v>
      </c>
      <c r="Y118" s="9">
        <f>Y116+Y117</f>
        <v>66.8</v>
      </c>
      <c r="Z118" s="9">
        <f>Z116+Z117</f>
        <v>14.6</v>
      </c>
      <c r="AA118" s="63">
        <f>Y118/(E118+Z118)</f>
        <v>0.122884473877851</v>
      </c>
    </row>
    <row r="119" ht="34" hidden="1" spans="1:27">
      <c r="A119" s="1" t="s">
        <v>78</v>
      </c>
      <c r="B119" s="7" t="s">
        <v>33</v>
      </c>
      <c r="C119" s="9"/>
      <c r="D119" s="9">
        <v>270.6</v>
      </c>
      <c r="E119" s="9">
        <v>324.8</v>
      </c>
      <c r="F119" s="9">
        <v>148.6</v>
      </c>
      <c r="G119" s="18">
        <f t="shared" si="0"/>
        <v>0.457512315270936</v>
      </c>
      <c r="H119" s="54">
        <f t="shared" si="1"/>
        <v>1.56393001345895</v>
      </c>
      <c r="I119" s="9">
        <v>10</v>
      </c>
      <c r="J119" s="9">
        <v>19.4</v>
      </c>
      <c r="K119" s="18">
        <f t="shared" si="2"/>
        <v>0.0290528762347472</v>
      </c>
      <c r="L119" s="9">
        <v>17.4</v>
      </c>
      <c r="M119" s="9">
        <v>15.2</v>
      </c>
      <c r="N119" s="18">
        <f t="shared" si="3"/>
        <v>0.0511764705882353</v>
      </c>
      <c r="O119" s="9">
        <v>32.4</v>
      </c>
      <c r="P119" s="9">
        <v>79</v>
      </c>
      <c r="Q119" s="18">
        <f t="shared" si="4"/>
        <v>0.0802377414561664</v>
      </c>
      <c r="R119" s="9">
        <v>104</v>
      </c>
      <c r="S119" s="18">
        <f t="shared" si="5"/>
        <v>0.320197044334975</v>
      </c>
      <c r="T119" s="9">
        <v>14.8</v>
      </c>
      <c r="U119" s="18">
        <f t="shared" si="6"/>
        <v>0.142307692307692</v>
      </c>
      <c r="V119" s="9">
        <v>10.8</v>
      </c>
      <c r="W119" s="9">
        <v>0</v>
      </c>
      <c r="X119" s="18">
        <f t="shared" si="7"/>
        <v>0.0332512315270936</v>
      </c>
      <c r="Y119" s="9">
        <v>43</v>
      </c>
      <c r="Z119" s="9">
        <v>9.4</v>
      </c>
      <c r="AA119" s="63">
        <f t="shared" ref="AA119:AA120" si="46">Y119/E119</f>
        <v>0.132389162561576</v>
      </c>
    </row>
    <row r="120" hidden="1" spans="1:27">
      <c r="A120" s="1" t="s">
        <v>78</v>
      </c>
      <c r="B120" s="7" t="s">
        <v>35</v>
      </c>
      <c r="C120" s="9"/>
      <c r="D120" s="9">
        <v>241.8</v>
      </c>
      <c r="E120" s="9">
        <v>273.6</v>
      </c>
      <c r="F120" s="9">
        <v>187</v>
      </c>
      <c r="G120" s="18">
        <f t="shared" si="0"/>
        <v>0.683479532163743</v>
      </c>
      <c r="H120" s="54">
        <f t="shared" si="1"/>
        <v>1.66844919786096</v>
      </c>
      <c r="I120" s="9">
        <v>8.2</v>
      </c>
      <c r="J120" s="9">
        <v>15.4</v>
      </c>
      <c r="K120" s="18">
        <f t="shared" si="2"/>
        <v>0.0283737024221453</v>
      </c>
      <c r="L120" s="9">
        <v>47.8</v>
      </c>
      <c r="M120" s="9">
        <v>37</v>
      </c>
      <c r="N120" s="18">
        <f t="shared" si="3"/>
        <v>0.153895685769478</v>
      </c>
      <c r="O120" s="9">
        <v>23.4</v>
      </c>
      <c r="P120" s="9">
        <v>69</v>
      </c>
      <c r="Q120" s="18">
        <f t="shared" si="4"/>
        <v>0.0683012259194396</v>
      </c>
      <c r="R120" s="9">
        <v>127.4</v>
      </c>
      <c r="S120" s="18">
        <f t="shared" si="5"/>
        <v>0.465643274853801</v>
      </c>
      <c r="T120" s="9">
        <v>43.2</v>
      </c>
      <c r="U120" s="18">
        <f t="shared" si="6"/>
        <v>0.339089481946625</v>
      </c>
      <c r="V120" s="9">
        <v>14.2</v>
      </c>
      <c r="W120" s="9">
        <v>0</v>
      </c>
      <c r="X120" s="18">
        <f t="shared" si="7"/>
        <v>0.0519005847953216</v>
      </c>
      <c r="Y120" s="9">
        <v>47.8</v>
      </c>
      <c r="Z120" s="9">
        <v>7.2</v>
      </c>
      <c r="AA120" s="63">
        <f t="shared" si="46"/>
        <v>0.174707602339181</v>
      </c>
    </row>
    <row r="121" hidden="1" spans="1:27">
      <c r="A121" s="1" t="s">
        <v>78</v>
      </c>
      <c r="B121" s="7" t="s">
        <v>36</v>
      </c>
      <c r="C121" s="9"/>
      <c r="D121" s="9">
        <f>D119+D120</f>
        <v>512.4</v>
      </c>
      <c r="E121" s="9">
        <f>E119+E120</f>
        <v>598.4</v>
      </c>
      <c r="F121" s="9">
        <f>F119+F120</f>
        <v>335.6</v>
      </c>
      <c r="G121" s="18">
        <f t="shared" si="0"/>
        <v>0.560828877005348</v>
      </c>
      <c r="H121" s="54">
        <f t="shared" si="1"/>
        <v>1.62216924910608</v>
      </c>
      <c r="I121" s="9">
        <f>I119+I120</f>
        <v>18.2</v>
      </c>
      <c r="J121" s="9">
        <f>J119+J120</f>
        <v>34.8</v>
      </c>
      <c r="K121" s="18">
        <f t="shared" si="2"/>
        <v>0.0287428932406822</v>
      </c>
      <c r="L121" s="9">
        <f>L119+L120</f>
        <v>65.2</v>
      </c>
      <c r="M121" s="9">
        <f>M119+M120</f>
        <v>52.2</v>
      </c>
      <c r="N121" s="18">
        <f t="shared" si="3"/>
        <v>0.10021518598217</v>
      </c>
      <c r="O121" s="9">
        <f>O119+O120</f>
        <v>55.8</v>
      </c>
      <c r="P121" s="9">
        <f>P119+P120</f>
        <v>148</v>
      </c>
      <c r="Q121" s="18">
        <f t="shared" si="4"/>
        <v>0.0747588424437299</v>
      </c>
      <c r="R121" s="9">
        <f>R119+R120</f>
        <v>231.4</v>
      </c>
      <c r="S121" s="18">
        <f t="shared" si="5"/>
        <v>0.386697860962567</v>
      </c>
      <c r="T121" s="9">
        <f>T119+T120</f>
        <v>58</v>
      </c>
      <c r="U121" s="18">
        <f t="shared" si="6"/>
        <v>0.250648228176318</v>
      </c>
      <c r="V121" s="9">
        <f>V119+V120</f>
        <v>25</v>
      </c>
      <c r="W121" s="9">
        <f>W119+W120</f>
        <v>0</v>
      </c>
      <c r="X121" s="18">
        <f t="shared" si="7"/>
        <v>0.0417780748663102</v>
      </c>
      <c r="Y121" s="9">
        <f>Y119+Y120</f>
        <v>90.8</v>
      </c>
      <c r="Z121" s="9">
        <f>Z119+Z120</f>
        <v>16.6</v>
      </c>
      <c r="AA121" s="63">
        <f>Y121/(E121+Z121)</f>
        <v>0.147642276422764</v>
      </c>
    </row>
    <row r="122" ht="34" hidden="1" spans="1:27">
      <c r="A122" s="1" t="s">
        <v>79</v>
      </c>
      <c r="B122" s="7" t="s">
        <v>33</v>
      </c>
      <c r="C122" s="9"/>
      <c r="D122" s="9">
        <v>240.8</v>
      </c>
      <c r="E122" s="9">
        <v>331</v>
      </c>
      <c r="F122" s="9">
        <v>147.8</v>
      </c>
      <c r="G122" s="18">
        <f t="shared" si="0"/>
        <v>0.446525679758308</v>
      </c>
      <c r="H122" s="54">
        <f t="shared" si="1"/>
        <v>1.54939106901218</v>
      </c>
      <c r="I122" s="9">
        <v>9.2</v>
      </c>
      <c r="J122" s="9">
        <v>16</v>
      </c>
      <c r="K122" s="18">
        <f t="shared" si="2"/>
        <v>0.0265129682997118</v>
      </c>
      <c r="L122" s="9">
        <v>17.8</v>
      </c>
      <c r="M122" s="9">
        <v>15.2</v>
      </c>
      <c r="N122" s="18">
        <f t="shared" si="3"/>
        <v>0.0514153668399769</v>
      </c>
      <c r="O122" s="9">
        <v>38.6</v>
      </c>
      <c r="P122" s="9">
        <v>85.6</v>
      </c>
      <c r="Q122" s="18">
        <f t="shared" si="4"/>
        <v>0.0926548247719635</v>
      </c>
      <c r="R122" s="9">
        <v>102.6</v>
      </c>
      <c r="S122" s="18">
        <f t="shared" si="5"/>
        <v>0.309969788519637</v>
      </c>
      <c r="T122" s="9">
        <v>14</v>
      </c>
      <c r="U122" s="18">
        <f t="shared" si="6"/>
        <v>0.1364522417154</v>
      </c>
      <c r="V122" s="9">
        <v>14.6</v>
      </c>
      <c r="W122" s="9">
        <v>0.4</v>
      </c>
      <c r="X122" s="18">
        <f t="shared" si="7"/>
        <v>0.044055522027761</v>
      </c>
      <c r="Y122" s="9">
        <v>32.2</v>
      </c>
      <c r="Z122" s="9">
        <v>9.6</v>
      </c>
      <c r="AA122" s="63">
        <f t="shared" ref="AA122:AA123" si="47">Y122/E122</f>
        <v>0.0972809667673716</v>
      </c>
    </row>
    <row r="123" hidden="1" spans="1:27">
      <c r="A123" s="1" t="s">
        <v>79</v>
      </c>
      <c r="B123" s="7" t="s">
        <v>35</v>
      </c>
      <c r="C123" s="9"/>
      <c r="D123" s="9">
        <v>229</v>
      </c>
      <c r="E123" s="9">
        <v>262.2</v>
      </c>
      <c r="F123" s="9">
        <v>167.2</v>
      </c>
      <c r="G123" s="18">
        <f t="shared" si="0"/>
        <v>0.63768115942029</v>
      </c>
      <c r="H123" s="54">
        <f t="shared" si="1"/>
        <v>1.71411483253589</v>
      </c>
      <c r="I123" s="9">
        <v>8.2</v>
      </c>
      <c r="J123" s="9">
        <v>14.6</v>
      </c>
      <c r="K123" s="18">
        <f t="shared" si="2"/>
        <v>0.0296242774566474</v>
      </c>
      <c r="L123" s="9">
        <v>44.6</v>
      </c>
      <c r="M123" s="9">
        <v>30.4</v>
      </c>
      <c r="N123" s="18">
        <f t="shared" si="3"/>
        <v>0.152426520847573</v>
      </c>
      <c r="O123" s="9">
        <v>25.6</v>
      </c>
      <c r="P123" s="9">
        <v>66.6</v>
      </c>
      <c r="Q123" s="18">
        <f t="shared" si="4"/>
        <v>0.0778588807785888</v>
      </c>
      <c r="R123" s="9">
        <v>114.2</v>
      </c>
      <c r="S123" s="18">
        <f t="shared" si="5"/>
        <v>0.435545385202136</v>
      </c>
      <c r="T123" s="9">
        <v>40.4</v>
      </c>
      <c r="U123" s="18">
        <f t="shared" si="6"/>
        <v>0.353765323992995</v>
      </c>
      <c r="V123" s="9">
        <v>13.4</v>
      </c>
      <c r="W123" s="9">
        <v>0.2</v>
      </c>
      <c r="X123" s="18">
        <f t="shared" si="7"/>
        <v>0.0510670731707317</v>
      </c>
      <c r="Y123" s="9">
        <v>40.2</v>
      </c>
      <c r="Z123" s="9">
        <v>6.6</v>
      </c>
      <c r="AA123" s="63">
        <f t="shared" si="47"/>
        <v>0.153318077803204</v>
      </c>
    </row>
    <row r="124" hidden="1" spans="1:27">
      <c r="A124" s="1" t="s">
        <v>79</v>
      </c>
      <c r="B124" s="7" t="s">
        <v>36</v>
      </c>
      <c r="C124" s="9"/>
      <c r="D124" s="9">
        <f>D122+D123</f>
        <v>469.8</v>
      </c>
      <c r="E124" s="9">
        <f>E122+E123</f>
        <v>593.2</v>
      </c>
      <c r="F124" s="9">
        <f>F122+F123</f>
        <v>315</v>
      </c>
      <c r="G124" s="18">
        <f t="shared" si="0"/>
        <v>0.531018206338503</v>
      </c>
      <c r="H124" s="54">
        <f t="shared" si="1"/>
        <v>1.6368253968254</v>
      </c>
      <c r="I124" s="9">
        <f>I122+I123</f>
        <v>17.4</v>
      </c>
      <c r="J124" s="9">
        <f>J122+J123</f>
        <v>30.6</v>
      </c>
      <c r="K124" s="18">
        <f t="shared" si="2"/>
        <v>0.0278935556268035</v>
      </c>
      <c r="L124" s="9">
        <f>L122+L123</f>
        <v>62.4</v>
      </c>
      <c r="M124" s="9">
        <f>M122+M123</f>
        <v>45.6</v>
      </c>
      <c r="N124" s="18">
        <f t="shared" si="3"/>
        <v>0.097683155917345</v>
      </c>
      <c r="O124" s="9">
        <f>O122+O123</f>
        <v>64.2</v>
      </c>
      <c r="P124" s="9">
        <f>P122+P123</f>
        <v>152.2</v>
      </c>
      <c r="Q124" s="18">
        <f t="shared" si="4"/>
        <v>0.0861282532868259</v>
      </c>
      <c r="R124" s="9">
        <f>R122+R123</f>
        <v>216.8</v>
      </c>
      <c r="S124" s="18">
        <f t="shared" si="5"/>
        <v>0.365475387727579</v>
      </c>
      <c r="T124" s="9">
        <f>T122+T123</f>
        <v>54.4</v>
      </c>
      <c r="U124" s="18">
        <f t="shared" si="6"/>
        <v>0.250922509225092</v>
      </c>
      <c r="V124" s="9">
        <f>V122+V123</f>
        <v>28</v>
      </c>
      <c r="W124" s="9">
        <f>W122+W123</f>
        <v>0.6</v>
      </c>
      <c r="X124" s="18">
        <f t="shared" si="7"/>
        <v>0.0471539238800943</v>
      </c>
      <c r="Y124" s="9">
        <f>Y122+Y123</f>
        <v>72.4</v>
      </c>
      <c r="Z124" s="9">
        <f>Z122+Z123</f>
        <v>16.2</v>
      </c>
      <c r="AA124" s="63">
        <f>Y124/(E124+Z124)</f>
        <v>0.118805382343288</v>
      </c>
    </row>
    <row r="125" ht="34" hidden="1" spans="1:27">
      <c r="A125" s="7" t="s">
        <v>80</v>
      </c>
      <c r="B125" s="7" t="s">
        <v>33</v>
      </c>
      <c r="C125" s="9"/>
      <c r="D125" s="9">
        <v>224.4</v>
      </c>
      <c r="E125" s="9">
        <v>300</v>
      </c>
      <c r="F125" s="9">
        <v>139.2</v>
      </c>
      <c r="G125" s="18">
        <f t="shared" si="0"/>
        <v>0.464</v>
      </c>
      <c r="H125" s="54">
        <f t="shared" si="1"/>
        <v>1.52442528735632</v>
      </c>
      <c r="I125" s="9">
        <v>7.6</v>
      </c>
      <c r="J125" s="9">
        <v>13</v>
      </c>
      <c r="K125" s="18">
        <f t="shared" si="2"/>
        <v>0.0242811501597444</v>
      </c>
      <c r="L125" s="9">
        <v>17.2</v>
      </c>
      <c r="M125" s="9">
        <v>15.2</v>
      </c>
      <c r="N125" s="18">
        <f t="shared" si="3"/>
        <v>0.0545685279187817</v>
      </c>
      <c r="O125" s="9">
        <v>34.8</v>
      </c>
      <c r="P125" s="9">
        <v>84</v>
      </c>
      <c r="Q125" s="18">
        <f t="shared" si="4"/>
        <v>0.090625</v>
      </c>
      <c r="R125" s="9">
        <v>94.6</v>
      </c>
      <c r="S125" s="18">
        <f t="shared" si="5"/>
        <v>0.315333333333333</v>
      </c>
      <c r="T125" s="9">
        <v>10.8</v>
      </c>
      <c r="U125" s="18">
        <f t="shared" si="6"/>
        <v>0.114164904862579</v>
      </c>
      <c r="V125" s="9">
        <v>10</v>
      </c>
      <c r="W125" s="9">
        <v>0.4</v>
      </c>
      <c r="X125" s="18">
        <f t="shared" si="7"/>
        <v>0.033288948069241</v>
      </c>
      <c r="Y125" s="9">
        <v>37.2</v>
      </c>
      <c r="Z125" s="9">
        <v>6.4</v>
      </c>
      <c r="AA125" s="63">
        <f t="shared" ref="AA125:AA126" si="48">Y125/E125</f>
        <v>0.124</v>
      </c>
    </row>
    <row r="126" hidden="1" spans="1:27">
      <c r="A126" s="7" t="s">
        <v>80</v>
      </c>
      <c r="B126" s="7" t="s">
        <v>35</v>
      </c>
      <c r="C126" s="9"/>
      <c r="D126" s="9">
        <v>257.4</v>
      </c>
      <c r="E126" s="9">
        <v>264.6</v>
      </c>
      <c r="F126" s="9">
        <v>176.4</v>
      </c>
      <c r="G126" s="18">
        <f t="shared" si="0"/>
        <v>0.666666666666667</v>
      </c>
      <c r="H126" s="54">
        <f t="shared" si="1"/>
        <v>1.69047619047619</v>
      </c>
      <c r="I126" s="9">
        <v>9</v>
      </c>
      <c r="J126" s="9">
        <v>20</v>
      </c>
      <c r="K126" s="18">
        <f t="shared" si="2"/>
        <v>0.0316233309908644</v>
      </c>
      <c r="L126" s="9">
        <v>58</v>
      </c>
      <c r="M126" s="9">
        <v>43.6</v>
      </c>
      <c r="N126" s="18">
        <f t="shared" si="3"/>
        <v>0.188189487345879</v>
      </c>
      <c r="O126" s="9">
        <v>28.2</v>
      </c>
      <c r="P126" s="9">
        <v>65.4</v>
      </c>
      <c r="Q126" s="18">
        <f t="shared" si="4"/>
        <v>0.0854545454545454</v>
      </c>
      <c r="R126" s="9">
        <v>108</v>
      </c>
      <c r="S126" s="18">
        <f t="shared" si="5"/>
        <v>0.408163265306122</v>
      </c>
      <c r="T126" s="9">
        <v>39.4</v>
      </c>
      <c r="U126" s="18">
        <f t="shared" si="6"/>
        <v>0.364814814814815</v>
      </c>
      <c r="V126" s="9">
        <v>12</v>
      </c>
      <c r="W126" s="9">
        <v>0.2</v>
      </c>
      <c r="X126" s="18">
        <f t="shared" si="7"/>
        <v>0.0453172205438066</v>
      </c>
      <c r="Y126" s="9">
        <v>43.6</v>
      </c>
      <c r="Z126" s="9">
        <v>5.4</v>
      </c>
      <c r="AA126" s="63">
        <f t="shared" si="48"/>
        <v>0.164777021919879</v>
      </c>
    </row>
    <row r="127" hidden="1" spans="1:27">
      <c r="A127" s="7" t="s">
        <v>80</v>
      </c>
      <c r="B127" s="7" t="s">
        <v>36</v>
      </c>
      <c r="C127" s="9"/>
      <c r="D127" s="9">
        <f>D125+D126</f>
        <v>481.8</v>
      </c>
      <c r="E127" s="9">
        <f>E125+E126</f>
        <v>564.6</v>
      </c>
      <c r="F127" s="9">
        <f>F125+F126</f>
        <v>315.6</v>
      </c>
      <c r="G127" s="18">
        <f t="shared" si="0"/>
        <v>0.558979808714134</v>
      </c>
      <c r="H127" s="54">
        <f t="shared" si="1"/>
        <v>1.61723700887199</v>
      </c>
      <c r="I127" s="9">
        <f>I125+I126</f>
        <v>16.6</v>
      </c>
      <c r="J127" s="9">
        <f>J125+J126</f>
        <v>33</v>
      </c>
      <c r="K127" s="18">
        <f t="shared" si="2"/>
        <v>0.0277777777777778</v>
      </c>
      <c r="L127" s="9">
        <f>L125+L126</f>
        <v>75.2</v>
      </c>
      <c r="M127" s="9">
        <f>M125+M126</f>
        <v>58.8</v>
      </c>
      <c r="N127" s="18">
        <f t="shared" si="3"/>
        <v>0.120628809752968</v>
      </c>
      <c r="O127" s="9">
        <f>O125+O126</f>
        <v>63</v>
      </c>
      <c r="P127" s="9">
        <f>P125+P126</f>
        <v>149.4</v>
      </c>
      <c r="Q127" s="18">
        <f t="shared" si="4"/>
        <v>0.0882352941176471</v>
      </c>
      <c r="R127" s="9">
        <f>R125+R126</f>
        <v>202.6</v>
      </c>
      <c r="S127" s="18">
        <f t="shared" si="5"/>
        <v>0.358838115479986</v>
      </c>
      <c r="T127" s="9">
        <f>T125+T126</f>
        <v>50.2</v>
      </c>
      <c r="U127" s="18">
        <f t="shared" si="6"/>
        <v>0.247778874629812</v>
      </c>
      <c r="V127" s="9">
        <f>V125+V126</f>
        <v>22</v>
      </c>
      <c r="W127" s="9">
        <f>W125+W126</f>
        <v>0.6</v>
      </c>
      <c r="X127" s="18">
        <f t="shared" si="7"/>
        <v>0.0389242745930644</v>
      </c>
      <c r="Y127" s="9">
        <f>Y125+Y126</f>
        <v>80.8</v>
      </c>
      <c r="Z127" s="9">
        <f>Z125+Z126</f>
        <v>11.8</v>
      </c>
      <c r="AA127" s="63">
        <f>Y127/(E127+Z127)</f>
        <v>0.140180430256766</v>
      </c>
    </row>
    <row r="128" ht="34" hidden="1" spans="1:27">
      <c r="A128" s="7" t="s">
        <v>81</v>
      </c>
      <c r="B128" s="7" t="s">
        <v>33</v>
      </c>
      <c r="C128" s="9"/>
      <c r="D128" s="9">
        <v>234.2</v>
      </c>
      <c r="E128" s="9">
        <v>302.6</v>
      </c>
      <c r="F128" s="9">
        <v>150.6</v>
      </c>
      <c r="G128" s="18">
        <f t="shared" si="0"/>
        <v>0.497686715135492</v>
      </c>
      <c r="H128" s="54">
        <f t="shared" si="1"/>
        <v>1.62815405046481</v>
      </c>
      <c r="I128" s="9">
        <v>6.8</v>
      </c>
      <c r="J128" s="9">
        <v>14</v>
      </c>
      <c r="K128" s="18">
        <f t="shared" si="2"/>
        <v>0.0214782059380922</v>
      </c>
      <c r="L128" s="9">
        <v>15.4</v>
      </c>
      <c r="M128" s="9">
        <v>12.2</v>
      </c>
      <c r="N128" s="18">
        <f t="shared" si="3"/>
        <v>0.0489199491740788</v>
      </c>
      <c r="O128" s="9">
        <v>33.8</v>
      </c>
      <c r="P128" s="9">
        <v>90.4</v>
      </c>
      <c r="Q128" s="18">
        <f t="shared" si="4"/>
        <v>0.0860050890585242</v>
      </c>
      <c r="R128" s="9">
        <v>113.4</v>
      </c>
      <c r="S128" s="18">
        <f t="shared" si="5"/>
        <v>0.374752148050231</v>
      </c>
      <c r="T128" s="9">
        <v>17.2</v>
      </c>
      <c r="U128" s="18">
        <f t="shared" si="6"/>
        <v>0.151675485008818</v>
      </c>
      <c r="V128" s="9">
        <v>15.2</v>
      </c>
      <c r="W128" s="9">
        <v>0.2</v>
      </c>
      <c r="X128" s="18">
        <f t="shared" si="7"/>
        <v>0.0501981505944518</v>
      </c>
      <c r="Y128" s="9">
        <v>43.4</v>
      </c>
      <c r="Z128" s="9">
        <v>7.6</v>
      </c>
      <c r="AA128" s="63">
        <f t="shared" ref="AA128:AA129" si="49">Y128/E128</f>
        <v>0.143423661599471</v>
      </c>
    </row>
    <row r="129" hidden="1" spans="1:27">
      <c r="A129" s="7" t="s">
        <v>81</v>
      </c>
      <c r="B129" s="7" t="s">
        <v>35</v>
      </c>
      <c r="C129" s="9"/>
      <c r="D129" s="9">
        <v>249.2</v>
      </c>
      <c r="E129" s="9">
        <v>235</v>
      </c>
      <c r="F129" s="9">
        <v>153</v>
      </c>
      <c r="G129" s="18">
        <f t="shared" si="0"/>
        <v>0.651063829787234</v>
      </c>
      <c r="H129" s="54">
        <f t="shared" si="1"/>
        <v>1.62875816993464</v>
      </c>
      <c r="I129" s="9">
        <v>9.2</v>
      </c>
      <c r="J129" s="9">
        <v>19.6</v>
      </c>
      <c r="K129" s="18">
        <f t="shared" si="2"/>
        <v>0.0361351139041634</v>
      </c>
      <c r="L129" s="9">
        <v>50</v>
      </c>
      <c r="M129" s="9">
        <v>35.2</v>
      </c>
      <c r="N129" s="18">
        <f t="shared" si="3"/>
        <v>0.185048112509252</v>
      </c>
      <c r="O129" s="9">
        <v>18.8</v>
      </c>
      <c r="P129" s="9">
        <v>62.8</v>
      </c>
      <c r="Q129" s="18">
        <f t="shared" si="4"/>
        <v>0.0631296171927468</v>
      </c>
      <c r="R129" s="9">
        <v>102.4</v>
      </c>
      <c r="S129" s="18">
        <f t="shared" si="5"/>
        <v>0.435744680851064</v>
      </c>
      <c r="T129" s="9">
        <v>34.2</v>
      </c>
      <c r="U129" s="18">
        <f t="shared" si="6"/>
        <v>0.333984375</v>
      </c>
      <c r="V129" s="9">
        <v>8.4</v>
      </c>
      <c r="W129" s="9">
        <v>0.4</v>
      </c>
      <c r="X129" s="18">
        <f t="shared" si="7"/>
        <v>0.0356839422259983</v>
      </c>
      <c r="Y129" s="9">
        <v>26.2</v>
      </c>
      <c r="Z129" s="9">
        <v>6.6</v>
      </c>
      <c r="AA129" s="63">
        <f t="shared" si="49"/>
        <v>0.111489361702128</v>
      </c>
    </row>
    <row r="130" hidden="1" spans="1:27">
      <c r="A130" s="7" t="s">
        <v>81</v>
      </c>
      <c r="B130" s="7" t="s">
        <v>36</v>
      </c>
      <c r="C130" s="9"/>
      <c r="D130" s="9">
        <f>D128+D129</f>
        <v>483.4</v>
      </c>
      <c r="E130" s="9">
        <f>E128+E129</f>
        <v>537.6</v>
      </c>
      <c r="F130" s="9">
        <f>F128+F129</f>
        <v>303.6</v>
      </c>
      <c r="G130" s="18">
        <f t="shared" si="0"/>
        <v>0.564732142857143</v>
      </c>
      <c r="H130" s="54">
        <f t="shared" si="1"/>
        <v>1.62845849802372</v>
      </c>
      <c r="I130" s="9">
        <f>I128+I129</f>
        <v>16</v>
      </c>
      <c r="J130" s="9">
        <f>J128+J129</f>
        <v>33.6</v>
      </c>
      <c r="K130" s="18">
        <f t="shared" si="2"/>
        <v>0.0280112044817927</v>
      </c>
      <c r="L130" s="9">
        <f>L128+L129</f>
        <v>65.4</v>
      </c>
      <c r="M130" s="9">
        <f>M128+M129</f>
        <v>47.4</v>
      </c>
      <c r="N130" s="18">
        <f t="shared" si="3"/>
        <v>0.111794871794872</v>
      </c>
      <c r="O130" s="9">
        <f>O128+O129</f>
        <v>52.6</v>
      </c>
      <c r="P130" s="9">
        <f>P128+P129</f>
        <v>153.2</v>
      </c>
      <c r="Q130" s="18">
        <f t="shared" si="4"/>
        <v>0.0761436016213086</v>
      </c>
      <c r="R130" s="9">
        <f>R128+R129</f>
        <v>215.8</v>
      </c>
      <c r="S130" s="18">
        <f t="shared" si="5"/>
        <v>0.40141369047619</v>
      </c>
      <c r="T130" s="9">
        <f>T128+T129</f>
        <v>51.4</v>
      </c>
      <c r="U130" s="18">
        <f t="shared" si="6"/>
        <v>0.238183503243744</v>
      </c>
      <c r="V130" s="9">
        <f>V128+V129</f>
        <v>23.6</v>
      </c>
      <c r="W130" s="9">
        <f>W128+W129</f>
        <v>0.6</v>
      </c>
      <c r="X130" s="18">
        <f t="shared" si="7"/>
        <v>0.0438498699368265</v>
      </c>
      <c r="Y130" s="9">
        <f>Y128+Y129</f>
        <v>69.6</v>
      </c>
      <c r="Z130" s="9">
        <f>Z128+Z129</f>
        <v>14.2</v>
      </c>
      <c r="AA130" s="63">
        <f>Y130/(E130+Z130)</f>
        <v>0.126132656759696</v>
      </c>
    </row>
    <row r="131" ht="34" hidden="1" spans="1:27">
      <c r="A131" s="7" t="s">
        <v>82</v>
      </c>
      <c r="B131" s="7" t="s">
        <v>33</v>
      </c>
      <c r="C131" s="9"/>
      <c r="D131" s="9">
        <v>210.2</v>
      </c>
      <c r="E131" s="9">
        <v>280.4</v>
      </c>
      <c r="F131" s="9">
        <v>138.2</v>
      </c>
      <c r="G131" s="18">
        <f t="shared" si="0"/>
        <v>0.492867332382311</v>
      </c>
      <c r="H131" s="54">
        <f t="shared" si="1"/>
        <v>1.55137481910275</v>
      </c>
      <c r="I131" s="9">
        <v>8.2</v>
      </c>
      <c r="J131" s="9">
        <v>13.2</v>
      </c>
      <c r="K131" s="18">
        <f t="shared" si="2"/>
        <v>0.0279291553133515</v>
      </c>
      <c r="L131" s="9">
        <v>14.8</v>
      </c>
      <c r="M131" s="9">
        <v>12</v>
      </c>
      <c r="N131" s="18">
        <f t="shared" si="3"/>
        <v>0.0506155950752394</v>
      </c>
      <c r="O131" s="9">
        <v>32.4</v>
      </c>
      <c r="P131" s="9">
        <v>73.4</v>
      </c>
      <c r="Q131" s="18">
        <f t="shared" si="4"/>
        <v>0.0915771622385529</v>
      </c>
      <c r="R131" s="9">
        <v>98.4</v>
      </c>
      <c r="S131" s="18">
        <f t="shared" si="5"/>
        <v>0.3509272467903</v>
      </c>
      <c r="T131" s="9">
        <v>11.6</v>
      </c>
      <c r="U131" s="18">
        <f t="shared" si="6"/>
        <v>0.117886178861789</v>
      </c>
      <c r="V131" s="9">
        <v>10.8</v>
      </c>
      <c r="W131" s="9">
        <v>0</v>
      </c>
      <c r="X131" s="18">
        <f t="shared" si="7"/>
        <v>0.0385164051355207</v>
      </c>
      <c r="Y131" s="9">
        <v>38.2</v>
      </c>
      <c r="Z131" s="9">
        <v>5.4</v>
      </c>
      <c r="AA131" s="63">
        <f t="shared" ref="AA131:AA132" si="50">Y131/E131</f>
        <v>0.13623395149786</v>
      </c>
    </row>
    <row r="132" hidden="1" spans="1:27">
      <c r="A132" s="7" t="s">
        <v>82</v>
      </c>
      <c r="B132" s="7" t="s">
        <v>35</v>
      </c>
      <c r="C132" s="9"/>
      <c r="D132" s="9">
        <v>221.2</v>
      </c>
      <c r="E132" s="9">
        <v>233.6</v>
      </c>
      <c r="F132" s="9">
        <v>158.4</v>
      </c>
      <c r="G132" s="18">
        <f t="shared" si="0"/>
        <v>0.678082191780822</v>
      </c>
      <c r="H132" s="54">
        <f t="shared" si="1"/>
        <v>1.6780303030303</v>
      </c>
      <c r="I132" s="9">
        <v>8.8</v>
      </c>
      <c r="J132" s="9">
        <v>19</v>
      </c>
      <c r="K132" s="18">
        <f t="shared" si="2"/>
        <v>0.0348376880443389</v>
      </c>
      <c r="L132" s="9">
        <v>52.2</v>
      </c>
      <c r="M132" s="9">
        <v>38.4</v>
      </c>
      <c r="N132" s="18">
        <f t="shared" si="3"/>
        <v>0.191911764705882</v>
      </c>
      <c r="O132" s="9">
        <v>22.6</v>
      </c>
      <c r="P132" s="9">
        <v>61.6</v>
      </c>
      <c r="Q132" s="18">
        <f t="shared" si="4"/>
        <v>0.0765582655826558</v>
      </c>
      <c r="R132" s="9">
        <v>99.2</v>
      </c>
      <c r="S132" s="18">
        <f t="shared" si="5"/>
        <v>0.424657534246575</v>
      </c>
      <c r="T132" s="9">
        <v>34.4</v>
      </c>
      <c r="U132" s="18">
        <f t="shared" si="6"/>
        <v>0.346774193548387</v>
      </c>
      <c r="V132" s="9">
        <v>12.2</v>
      </c>
      <c r="W132" s="9">
        <v>0</v>
      </c>
      <c r="X132" s="18">
        <f t="shared" si="7"/>
        <v>0.0522260273972603</v>
      </c>
      <c r="Y132" s="9">
        <v>36.4</v>
      </c>
      <c r="Z132" s="9">
        <v>7</v>
      </c>
      <c r="AA132" s="63">
        <f t="shared" si="50"/>
        <v>0.155821917808219</v>
      </c>
    </row>
    <row r="133" hidden="1" spans="1:27">
      <c r="A133" s="7" t="s">
        <v>82</v>
      </c>
      <c r="B133" s="7" t="s">
        <v>36</v>
      </c>
      <c r="C133" s="9"/>
      <c r="D133" s="9">
        <f>D131+D132</f>
        <v>431.4</v>
      </c>
      <c r="E133" s="9">
        <f>E131+E132</f>
        <v>514</v>
      </c>
      <c r="F133" s="9">
        <f>F131+F132</f>
        <v>296.6</v>
      </c>
      <c r="G133" s="18">
        <f t="shared" si="0"/>
        <v>0.57704280155642</v>
      </c>
      <c r="H133" s="54">
        <f t="shared" si="1"/>
        <v>1.61901550910317</v>
      </c>
      <c r="I133" s="9">
        <f>I131+I132</f>
        <v>17</v>
      </c>
      <c r="J133" s="9">
        <f>J131+J132</f>
        <v>32.2</v>
      </c>
      <c r="K133" s="18">
        <f t="shared" si="2"/>
        <v>0.0311241303551812</v>
      </c>
      <c r="L133" s="9">
        <f>L131+L132</f>
        <v>67</v>
      </c>
      <c r="M133" s="9">
        <f>M131+M132</f>
        <v>50.4</v>
      </c>
      <c r="N133" s="18">
        <f t="shared" si="3"/>
        <v>0.118710134656272</v>
      </c>
      <c r="O133" s="9">
        <f>O131+O132</f>
        <v>55</v>
      </c>
      <c r="P133" s="9">
        <f>P131+P132</f>
        <v>135</v>
      </c>
      <c r="Q133" s="18">
        <f t="shared" si="4"/>
        <v>0.0847457627118644</v>
      </c>
      <c r="R133" s="9">
        <f>R131+R132</f>
        <v>197.6</v>
      </c>
      <c r="S133" s="18">
        <f t="shared" si="5"/>
        <v>0.38443579766537</v>
      </c>
      <c r="T133" s="9">
        <f>T131+T132</f>
        <v>46</v>
      </c>
      <c r="U133" s="18">
        <f t="shared" si="6"/>
        <v>0.232793522267206</v>
      </c>
      <c r="V133" s="9">
        <f>V131+V132</f>
        <v>23</v>
      </c>
      <c r="W133" s="9">
        <f>W131+W132</f>
        <v>0</v>
      </c>
      <c r="X133" s="18">
        <f t="shared" si="7"/>
        <v>0.0447470817120623</v>
      </c>
      <c r="Y133" s="9">
        <f>Y131+Y132</f>
        <v>74.6</v>
      </c>
      <c r="Z133" s="9">
        <f>Z131+Z132</f>
        <v>12.4</v>
      </c>
      <c r="AA133" s="63">
        <f>Y133/(E133+Z133)</f>
        <v>0.141717325227964</v>
      </c>
    </row>
    <row r="134" ht="34" hidden="1" spans="1:27">
      <c r="A134" s="1" t="s">
        <v>83</v>
      </c>
      <c r="B134" s="7" t="s">
        <v>33</v>
      </c>
      <c r="C134" s="9"/>
      <c r="D134" s="9">
        <v>218.6</v>
      </c>
      <c r="E134" s="9">
        <v>280.6</v>
      </c>
      <c r="F134" s="9">
        <v>133.4</v>
      </c>
      <c r="G134" s="18">
        <f t="shared" si="0"/>
        <v>0.475409836065574</v>
      </c>
      <c r="H134" s="54">
        <f t="shared" si="1"/>
        <v>1.56821589205397</v>
      </c>
      <c r="I134" s="9">
        <v>5.8</v>
      </c>
      <c r="J134" s="9">
        <v>13.2</v>
      </c>
      <c r="K134" s="18">
        <f t="shared" si="2"/>
        <v>0.0197413206262764</v>
      </c>
      <c r="L134" s="9">
        <v>13.2</v>
      </c>
      <c r="M134" s="9">
        <v>10.6</v>
      </c>
      <c r="N134" s="18">
        <f t="shared" si="3"/>
        <v>0.0453296703296703</v>
      </c>
      <c r="O134" s="9">
        <v>31.6</v>
      </c>
      <c r="P134" s="9">
        <v>77.2</v>
      </c>
      <c r="Q134" s="18">
        <f t="shared" si="4"/>
        <v>0.0883174958077138</v>
      </c>
      <c r="R134" s="9">
        <v>96.8</v>
      </c>
      <c r="S134" s="18">
        <f t="shared" si="5"/>
        <v>0.344975053456878</v>
      </c>
      <c r="T134" s="9">
        <v>13.4</v>
      </c>
      <c r="U134" s="18">
        <f t="shared" si="6"/>
        <v>0.138429752066116</v>
      </c>
      <c r="V134" s="9">
        <v>11.2</v>
      </c>
      <c r="W134" s="9">
        <v>0.4</v>
      </c>
      <c r="X134" s="18">
        <f t="shared" si="7"/>
        <v>0.0398576512455516</v>
      </c>
      <c r="Y134" s="9">
        <v>37.2</v>
      </c>
      <c r="Z134" s="9">
        <v>5.6</v>
      </c>
      <c r="AA134" s="63">
        <f t="shared" ref="AA134:AA135" si="51">Y134/E134</f>
        <v>0.132573057733428</v>
      </c>
    </row>
    <row r="135" hidden="1" spans="1:27">
      <c r="A135" s="1" t="s">
        <v>83</v>
      </c>
      <c r="B135" s="7" t="s">
        <v>35</v>
      </c>
      <c r="C135" s="9"/>
      <c r="D135" s="9">
        <v>207</v>
      </c>
      <c r="E135" s="9">
        <v>224.4</v>
      </c>
      <c r="F135" s="9">
        <v>152.2</v>
      </c>
      <c r="G135" s="18">
        <f t="shared" si="0"/>
        <v>0.67825311942959</v>
      </c>
      <c r="H135" s="54">
        <f t="shared" si="1"/>
        <v>1.67805519053876</v>
      </c>
      <c r="I135" s="9">
        <v>6.8</v>
      </c>
      <c r="J135" s="9">
        <v>12.8</v>
      </c>
      <c r="K135" s="18">
        <f t="shared" si="2"/>
        <v>0.0286677908937605</v>
      </c>
      <c r="L135" s="9">
        <v>47.8</v>
      </c>
      <c r="M135" s="9">
        <v>31.8</v>
      </c>
      <c r="N135" s="18">
        <f t="shared" si="3"/>
        <v>0.186572989851678</v>
      </c>
      <c r="O135" s="9">
        <v>21.8</v>
      </c>
      <c r="P135" s="9">
        <v>60.2</v>
      </c>
      <c r="Q135" s="18">
        <f t="shared" si="4"/>
        <v>0.0765987350667604</v>
      </c>
      <c r="R135" s="9">
        <v>98.4</v>
      </c>
      <c r="S135" s="18">
        <f t="shared" si="5"/>
        <v>0.438502673796791</v>
      </c>
      <c r="T135" s="9">
        <v>36.6</v>
      </c>
      <c r="U135" s="18">
        <f t="shared" si="6"/>
        <v>0.371951219512195</v>
      </c>
      <c r="V135" s="9">
        <v>11.4</v>
      </c>
      <c r="W135" s="9">
        <v>0.4</v>
      </c>
      <c r="X135" s="18">
        <f t="shared" si="7"/>
        <v>0.050711743772242</v>
      </c>
      <c r="Y135" s="9">
        <v>32.6</v>
      </c>
      <c r="Z135" s="9">
        <v>4.4</v>
      </c>
      <c r="AA135" s="63">
        <f t="shared" si="51"/>
        <v>0.145276292335116</v>
      </c>
    </row>
    <row r="136" hidden="1" spans="1:27">
      <c r="A136" s="1" t="s">
        <v>83</v>
      </c>
      <c r="B136" s="7" t="s">
        <v>36</v>
      </c>
      <c r="C136" s="9"/>
      <c r="D136" s="9">
        <f>D134+D135</f>
        <v>425.6</v>
      </c>
      <c r="E136" s="9">
        <f>E134+E135</f>
        <v>505</v>
      </c>
      <c r="F136" s="9">
        <f>F134+F135</f>
        <v>285.6</v>
      </c>
      <c r="G136" s="18">
        <f t="shared" si="0"/>
        <v>0.565544554455446</v>
      </c>
      <c r="H136" s="54">
        <f t="shared" si="1"/>
        <v>1.62675070028011</v>
      </c>
      <c r="I136" s="9">
        <f>I134+I135</f>
        <v>12.6</v>
      </c>
      <c r="J136" s="9">
        <f>J134+J135</f>
        <v>26</v>
      </c>
      <c r="K136" s="18">
        <f t="shared" si="2"/>
        <v>0.023728813559322</v>
      </c>
      <c r="L136" s="9">
        <f>L134+L135</f>
        <v>61</v>
      </c>
      <c r="M136" s="9">
        <f>M134+M135</f>
        <v>42.4</v>
      </c>
      <c r="N136" s="18">
        <f t="shared" si="3"/>
        <v>0.111435878699306</v>
      </c>
      <c r="O136" s="9">
        <f>O134+O135</f>
        <v>53.4</v>
      </c>
      <c r="P136" s="9">
        <f>P134+P135</f>
        <v>137.4</v>
      </c>
      <c r="Q136" s="18">
        <f t="shared" si="4"/>
        <v>0.0831257783312578</v>
      </c>
      <c r="R136" s="9">
        <f>R134+R135</f>
        <v>195.2</v>
      </c>
      <c r="S136" s="18">
        <f t="shared" si="5"/>
        <v>0.386534653465346</v>
      </c>
      <c r="T136" s="9">
        <f>T134+T135</f>
        <v>50</v>
      </c>
      <c r="U136" s="18">
        <f t="shared" si="6"/>
        <v>0.256147540983607</v>
      </c>
      <c r="V136" s="9">
        <f>V134+V135</f>
        <v>22.6</v>
      </c>
      <c r="W136" s="9">
        <f>W134+W135</f>
        <v>0.8</v>
      </c>
      <c r="X136" s="18">
        <f t="shared" si="7"/>
        <v>0.0446816923685251</v>
      </c>
      <c r="Y136" s="9">
        <f>Y134+Y135</f>
        <v>69.8</v>
      </c>
      <c r="Z136" s="9">
        <f>Z134+Z135</f>
        <v>10</v>
      </c>
      <c r="AA136" s="63">
        <f>Y136/(E136+Z136)</f>
        <v>0.135533980582524</v>
      </c>
    </row>
    <row r="137" ht="34" hidden="1" spans="1:27">
      <c r="A137" s="1" t="s">
        <v>84</v>
      </c>
      <c r="B137" s="7" t="s">
        <v>33</v>
      </c>
      <c r="C137" s="9"/>
      <c r="D137" s="9">
        <v>219.2</v>
      </c>
      <c r="E137" s="9">
        <v>292</v>
      </c>
      <c r="F137" s="9">
        <v>140.2</v>
      </c>
      <c r="G137" s="18">
        <f t="shared" si="0"/>
        <v>0.48013698630137</v>
      </c>
      <c r="H137" s="54">
        <f t="shared" si="1"/>
        <v>1.56918687589158</v>
      </c>
      <c r="I137" s="9">
        <v>6</v>
      </c>
      <c r="J137" s="9">
        <v>11.2</v>
      </c>
      <c r="K137" s="18">
        <f t="shared" si="2"/>
        <v>0.0197889182058048</v>
      </c>
      <c r="L137" s="9">
        <v>13.4</v>
      </c>
      <c r="M137" s="9">
        <v>10.4</v>
      </c>
      <c r="N137" s="18">
        <f t="shared" si="3"/>
        <v>0.0443121693121693</v>
      </c>
      <c r="O137" s="9">
        <v>37.2</v>
      </c>
      <c r="P137" s="9">
        <v>75.6</v>
      </c>
      <c r="Q137" s="18">
        <f t="shared" si="4"/>
        <v>0.101196953210011</v>
      </c>
      <c r="R137" s="9">
        <v>92.2</v>
      </c>
      <c r="S137" s="18">
        <f t="shared" si="5"/>
        <v>0.315753424657534</v>
      </c>
      <c r="T137" s="9">
        <v>11.6</v>
      </c>
      <c r="U137" s="18">
        <f t="shared" si="6"/>
        <v>0.125813449023861</v>
      </c>
      <c r="V137" s="9">
        <v>11.6</v>
      </c>
      <c r="W137" s="9">
        <v>0</v>
      </c>
      <c r="X137" s="18">
        <f t="shared" si="7"/>
        <v>0.0397260273972603</v>
      </c>
      <c r="Y137" s="9">
        <v>48</v>
      </c>
      <c r="Z137" s="9">
        <v>7</v>
      </c>
      <c r="AA137" s="63">
        <f t="shared" ref="AA137:AA138" si="52">Y137/E137</f>
        <v>0.164383561643836</v>
      </c>
    </row>
    <row r="138" hidden="1" spans="1:27">
      <c r="A138" s="1" t="s">
        <v>84</v>
      </c>
      <c r="B138" s="7" t="s">
        <v>35</v>
      </c>
      <c r="C138" s="9"/>
      <c r="D138" s="9">
        <v>237</v>
      </c>
      <c r="E138" s="9">
        <v>211</v>
      </c>
      <c r="F138" s="9">
        <v>149.6</v>
      </c>
      <c r="G138" s="18">
        <f t="shared" si="0"/>
        <v>0.709004739336493</v>
      </c>
      <c r="H138" s="54">
        <f t="shared" si="1"/>
        <v>1.72192513368984</v>
      </c>
      <c r="I138" s="9">
        <v>6.2</v>
      </c>
      <c r="J138" s="9">
        <v>14.6</v>
      </c>
      <c r="K138" s="18">
        <f t="shared" si="2"/>
        <v>0.0274822695035461</v>
      </c>
      <c r="L138" s="9">
        <v>48.4</v>
      </c>
      <c r="M138" s="9">
        <v>33.8</v>
      </c>
      <c r="N138" s="18">
        <f t="shared" si="3"/>
        <v>0.197712418300654</v>
      </c>
      <c r="O138" s="9">
        <v>21.2</v>
      </c>
      <c r="P138" s="9">
        <v>56.6</v>
      </c>
      <c r="Q138" s="18">
        <f t="shared" si="4"/>
        <v>0.0792227204783258</v>
      </c>
      <c r="R138" s="9">
        <v>101.6</v>
      </c>
      <c r="S138" s="18">
        <f t="shared" si="5"/>
        <v>0.481516587677725</v>
      </c>
      <c r="T138" s="9">
        <v>34.8</v>
      </c>
      <c r="U138" s="18">
        <f t="shared" si="6"/>
        <v>0.34251968503937</v>
      </c>
      <c r="V138" s="9">
        <v>12</v>
      </c>
      <c r="W138" s="9">
        <v>0.2</v>
      </c>
      <c r="X138" s="18">
        <f t="shared" si="7"/>
        <v>0.0568181818181818</v>
      </c>
      <c r="Y138" s="9">
        <v>33.4</v>
      </c>
      <c r="Z138" s="9">
        <v>5.2</v>
      </c>
      <c r="AA138" s="63">
        <f t="shared" si="52"/>
        <v>0.158293838862559</v>
      </c>
    </row>
    <row r="139" hidden="1" spans="1:27">
      <c r="A139" s="1" t="s">
        <v>84</v>
      </c>
      <c r="B139" s="7" t="s">
        <v>36</v>
      </c>
      <c r="C139" s="9"/>
      <c r="D139" s="9">
        <f>D137+D138</f>
        <v>456.2</v>
      </c>
      <c r="E139" s="9">
        <f>E137+E138</f>
        <v>503</v>
      </c>
      <c r="F139" s="9">
        <f>F137+F138</f>
        <v>289.8</v>
      </c>
      <c r="G139" s="18">
        <f t="shared" si="0"/>
        <v>0.576143141153081</v>
      </c>
      <c r="H139" s="54">
        <f t="shared" si="1"/>
        <v>1.648033126294</v>
      </c>
      <c r="I139" s="9">
        <f>I137+I138</f>
        <v>12.2</v>
      </c>
      <c r="J139" s="9">
        <f>J137+J138</f>
        <v>25.8</v>
      </c>
      <c r="K139" s="18">
        <f t="shared" si="2"/>
        <v>0.023071104387292</v>
      </c>
      <c r="L139" s="9">
        <f>L137+L138</f>
        <v>61.8</v>
      </c>
      <c r="M139" s="9">
        <f>M137+M138</f>
        <v>44.2</v>
      </c>
      <c r="N139" s="18">
        <f t="shared" si="3"/>
        <v>0.112938596491228</v>
      </c>
      <c r="O139" s="9">
        <f>O137+O138</f>
        <v>58.4</v>
      </c>
      <c r="P139" s="9">
        <f>P137+P138</f>
        <v>132.2</v>
      </c>
      <c r="Q139" s="18">
        <f t="shared" si="4"/>
        <v>0.0919395465994962</v>
      </c>
      <c r="R139" s="9">
        <f>R137+R138</f>
        <v>193.8</v>
      </c>
      <c r="S139" s="18">
        <f t="shared" si="5"/>
        <v>0.385288270377734</v>
      </c>
      <c r="T139" s="9">
        <f>T137+T138</f>
        <v>46.4</v>
      </c>
      <c r="U139" s="18">
        <f t="shared" si="6"/>
        <v>0.239422084623323</v>
      </c>
      <c r="V139" s="9">
        <f>V137+V138</f>
        <v>23.6</v>
      </c>
      <c r="W139" s="9">
        <f>W137+W138</f>
        <v>0.2</v>
      </c>
      <c r="X139" s="18">
        <f t="shared" si="7"/>
        <v>0.0468998410174881</v>
      </c>
      <c r="Y139" s="9">
        <f>Y137+Y138</f>
        <v>81.4</v>
      </c>
      <c r="Z139" s="9">
        <f>Z137+Z138</f>
        <v>12.2</v>
      </c>
      <c r="AA139" s="63">
        <f>Y139/(E139+Z139)</f>
        <v>0.157996894409938</v>
      </c>
    </row>
    <row r="140" ht="34" hidden="1" spans="1:27">
      <c r="A140" s="1" t="s">
        <v>85</v>
      </c>
      <c r="B140" s="7" t="s">
        <v>33</v>
      </c>
      <c r="C140" s="9"/>
      <c r="D140" s="9">
        <v>213.4</v>
      </c>
      <c r="E140" s="9">
        <v>262.8</v>
      </c>
      <c r="F140" s="9">
        <v>133.8</v>
      </c>
      <c r="G140" s="18">
        <f t="shared" si="0"/>
        <v>0.509132420091324</v>
      </c>
      <c r="H140" s="54">
        <f t="shared" si="1"/>
        <v>1.55156950672646</v>
      </c>
      <c r="I140" s="9">
        <v>5</v>
      </c>
      <c r="J140" s="9">
        <v>12</v>
      </c>
      <c r="K140" s="18">
        <f t="shared" si="2"/>
        <v>0.0181950509461426</v>
      </c>
      <c r="L140" s="9">
        <v>12.2</v>
      </c>
      <c r="M140" s="9">
        <v>10.2</v>
      </c>
      <c r="N140" s="18">
        <f t="shared" si="3"/>
        <v>0.0446886446886447</v>
      </c>
      <c r="O140" s="9">
        <v>34.2</v>
      </c>
      <c r="P140" s="9">
        <v>74.8</v>
      </c>
      <c r="Q140" s="18">
        <f t="shared" si="4"/>
        <v>0.101303317535545</v>
      </c>
      <c r="R140" s="9">
        <v>91</v>
      </c>
      <c r="S140" s="18">
        <f t="shared" si="5"/>
        <v>0.346270928462709</v>
      </c>
      <c r="T140" s="9">
        <v>11</v>
      </c>
      <c r="U140" s="18">
        <f t="shared" si="6"/>
        <v>0.120879120879121</v>
      </c>
      <c r="V140" s="9">
        <v>10.2</v>
      </c>
      <c r="W140" s="9">
        <v>0</v>
      </c>
      <c r="X140" s="18">
        <f t="shared" si="7"/>
        <v>0.0388127853881279</v>
      </c>
      <c r="Y140" s="9">
        <v>44</v>
      </c>
      <c r="Z140" s="9">
        <v>6.8</v>
      </c>
      <c r="AA140" s="63">
        <f t="shared" ref="AA140:AA141" si="53">Y140/E140</f>
        <v>0.167427701674277</v>
      </c>
    </row>
    <row r="141" hidden="1" spans="1:27">
      <c r="A141" s="1" t="s">
        <v>85</v>
      </c>
      <c r="B141" s="7" t="s">
        <v>35</v>
      </c>
      <c r="C141" s="9"/>
      <c r="D141" s="9">
        <v>213.2</v>
      </c>
      <c r="E141" s="9">
        <v>204.4</v>
      </c>
      <c r="F141" s="9">
        <v>146.8</v>
      </c>
      <c r="G141" s="18">
        <f t="shared" si="0"/>
        <v>0.718199608610568</v>
      </c>
      <c r="H141" s="54">
        <f t="shared" si="1"/>
        <v>1.69073569482289</v>
      </c>
      <c r="I141" s="9">
        <v>5.6</v>
      </c>
      <c r="J141" s="9">
        <v>14</v>
      </c>
      <c r="K141" s="18">
        <f t="shared" si="2"/>
        <v>0.0256410256410256</v>
      </c>
      <c r="L141" s="9">
        <v>47.4</v>
      </c>
      <c r="M141" s="9">
        <v>30.8</v>
      </c>
      <c r="N141" s="18">
        <f t="shared" si="3"/>
        <v>0.201530612244898</v>
      </c>
      <c r="O141" s="9">
        <v>20.4</v>
      </c>
      <c r="P141" s="9">
        <v>57.4</v>
      </c>
      <c r="Q141" s="18">
        <f t="shared" si="4"/>
        <v>0.0779220779220779</v>
      </c>
      <c r="R141" s="9">
        <v>95.8</v>
      </c>
      <c r="S141" s="18">
        <f t="shared" si="5"/>
        <v>0.468688845401174</v>
      </c>
      <c r="T141" s="9">
        <v>35.8</v>
      </c>
      <c r="U141" s="18">
        <f t="shared" si="6"/>
        <v>0.373695198329854</v>
      </c>
      <c r="V141" s="9">
        <v>13.8</v>
      </c>
      <c r="W141" s="9">
        <v>0</v>
      </c>
      <c r="X141" s="18">
        <f t="shared" si="7"/>
        <v>0.0675146771037182</v>
      </c>
      <c r="Y141" s="9">
        <v>29.4</v>
      </c>
      <c r="Z141" s="9">
        <v>3.8</v>
      </c>
      <c r="AA141" s="63">
        <f t="shared" si="53"/>
        <v>0.143835616438356</v>
      </c>
    </row>
    <row r="142" hidden="1" spans="1:27">
      <c r="A142" s="1" t="s">
        <v>85</v>
      </c>
      <c r="B142" s="7" t="s">
        <v>36</v>
      </c>
      <c r="C142" s="9"/>
      <c r="D142" s="9">
        <f>D140+D141</f>
        <v>426.6</v>
      </c>
      <c r="E142" s="9">
        <f>E140+E141</f>
        <v>467.2</v>
      </c>
      <c r="F142" s="9">
        <f>F140+F141</f>
        <v>280.6</v>
      </c>
      <c r="G142" s="18">
        <f t="shared" si="0"/>
        <v>0.600599315068493</v>
      </c>
      <c r="H142" s="54">
        <f t="shared" si="1"/>
        <v>1.62437633642195</v>
      </c>
      <c r="I142" s="9">
        <f>I140+I141</f>
        <v>10.6</v>
      </c>
      <c r="J142" s="9">
        <f>J140+J141</f>
        <v>26</v>
      </c>
      <c r="K142" s="18">
        <f t="shared" si="2"/>
        <v>0.0214922952149229</v>
      </c>
      <c r="L142" s="9">
        <f>L140+L141</f>
        <v>59.6</v>
      </c>
      <c r="M142" s="9">
        <f>M140+M141</f>
        <v>41</v>
      </c>
      <c r="N142" s="18">
        <f t="shared" si="3"/>
        <v>0.117276662731208</v>
      </c>
      <c r="O142" s="9">
        <f>O140+O141</f>
        <v>54.6</v>
      </c>
      <c r="P142" s="9">
        <f>P140+P141</f>
        <v>132.2</v>
      </c>
      <c r="Q142" s="18">
        <f t="shared" si="4"/>
        <v>0.0910910910910911</v>
      </c>
      <c r="R142" s="9">
        <f>R140+R141</f>
        <v>186.8</v>
      </c>
      <c r="S142" s="18">
        <f t="shared" si="5"/>
        <v>0.399828767123288</v>
      </c>
      <c r="T142" s="9">
        <f>T140+T141</f>
        <v>46.8</v>
      </c>
      <c r="U142" s="18">
        <f t="shared" si="6"/>
        <v>0.250535331905782</v>
      </c>
      <c r="V142" s="9">
        <f>V140+V141</f>
        <v>24</v>
      </c>
      <c r="W142" s="9">
        <f>W140+W141</f>
        <v>0</v>
      </c>
      <c r="X142" s="18">
        <f t="shared" si="7"/>
        <v>0.0513698630136986</v>
      </c>
      <c r="Y142" s="9">
        <f>Y140+Y141</f>
        <v>73.4</v>
      </c>
      <c r="Z142" s="9">
        <f>Z140+Z141</f>
        <v>10.6</v>
      </c>
      <c r="AA142" s="63">
        <f>Y142/(E142+Z142)</f>
        <v>0.153620761825031</v>
      </c>
    </row>
    <row r="143" ht="34" hidden="1" spans="1:27">
      <c r="A143" s="1" t="s">
        <v>86</v>
      </c>
      <c r="B143" s="7" t="s">
        <v>33</v>
      </c>
      <c r="C143" s="9"/>
      <c r="D143" s="9">
        <v>210</v>
      </c>
      <c r="E143" s="9">
        <v>237</v>
      </c>
      <c r="F143" s="9">
        <v>121.4</v>
      </c>
      <c r="G143" s="18">
        <f t="shared" si="0"/>
        <v>0.512236286919831</v>
      </c>
      <c r="H143" s="54">
        <f t="shared" si="1"/>
        <v>1.50576606260297</v>
      </c>
      <c r="I143" s="9">
        <v>3.6</v>
      </c>
      <c r="J143" s="9">
        <v>8.8</v>
      </c>
      <c r="K143" s="18">
        <f t="shared" si="2"/>
        <v>0.0146460537021969</v>
      </c>
      <c r="L143" s="9">
        <v>11</v>
      </c>
      <c r="M143" s="9">
        <v>8.4</v>
      </c>
      <c r="N143" s="18">
        <f t="shared" si="3"/>
        <v>0.0448247758761206</v>
      </c>
      <c r="O143" s="9">
        <v>31</v>
      </c>
      <c r="P143" s="9">
        <v>72.6</v>
      </c>
      <c r="Q143" s="18">
        <f t="shared" si="4"/>
        <v>0.100129198966408</v>
      </c>
      <c r="R143" s="9">
        <v>85.6</v>
      </c>
      <c r="S143" s="18">
        <f t="shared" si="5"/>
        <v>0.361181434599156</v>
      </c>
      <c r="T143" s="9">
        <v>9.8</v>
      </c>
      <c r="U143" s="18">
        <f t="shared" si="6"/>
        <v>0.114485981308411</v>
      </c>
      <c r="V143" s="9">
        <v>9.2</v>
      </c>
      <c r="W143" s="9">
        <v>0</v>
      </c>
      <c r="X143" s="18">
        <f t="shared" si="7"/>
        <v>0.0388185654008439</v>
      </c>
      <c r="Y143" s="9">
        <v>32.6</v>
      </c>
      <c r="Z143" s="9">
        <v>3.2</v>
      </c>
      <c r="AA143" s="65">
        <f t="shared" ref="AA143:AA144" si="54">Y143/E143</f>
        <v>0.137552742616034</v>
      </c>
    </row>
    <row r="144" hidden="1" spans="1:27">
      <c r="A144" s="1" t="s">
        <v>86</v>
      </c>
      <c r="B144" s="7" t="s">
        <v>35</v>
      </c>
      <c r="C144" s="9"/>
      <c r="D144" s="9">
        <v>190.2</v>
      </c>
      <c r="E144" s="9">
        <v>196.2</v>
      </c>
      <c r="F144" s="9">
        <v>143.2</v>
      </c>
      <c r="G144" s="18">
        <f t="shared" si="0"/>
        <v>0.72986748216106</v>
      </c>
      <c r="H144" s="54">
        <f t="shared" si="1"/>
        <v>1.69553072625698</v>
      </c>
      <c r="I144" s="9">
        <v>5.8</v>
      </c>
      <c r="J144" s="9">
        <v>14.2</v>
      </c>
      <c r="K144" s="18">
        <f t="shared" si="2"/>
        <v>0.0275665399239544</v>
      </c>
      <c r="L144" s="9">
        <v>47.6</v>
      </c>
      <c r="M144" s="9">
        <v>32.2</v>
      </c>
      <c r="N144" s="18">
        <f t="shared" si="3"/>
        <v>0.208406304728546</v>
      </c>
      <c r="O144" s="9">
        <v>19.2</v>
      </c>
      <c r="P144" s="9">
        <v>59</v>
      </c>
      <c r="Q144" s="18">
        <f t="shared" si="4"/>
        <v>0.0752351097178683</v>
      </c>
      <c r="R144" s="9">
        <v>93.2</v>
      </c>
      <c r="S144" s="18">
        <f t="shared" si="5"/>
        <v>0.475025484199796</v>
      </c>
      <c r="T144" s="9">
        <v>33.4</v>
      </c>
      <c r="U144" s="18">
        <f t="shared" si="6"/>
        <v>0.358369098712446</v>
      </c>
      <c r="V144" s="9">
        <v>11</v>
      </c>
      <c r="W144" s="9">
        <v>0.2</v>
      </c>
      <c r="X144" s="18">
        <f t="shared" si="7"/>
        <v>0.0560081466395112</v>
      </c>
      <c r="Y144" s="9">
        <v>32.6</v>
      </c>
      <c r="Z144" s="9">
        <v>7.2</v>
      </c>
      <c r="AA144" s="65">
        <f t="shared" si="54"/>
        <v>0.166156982670744</v>
      </c>
    </row>
    <row r="145" hidden="1" spans="1:27">
      <c r="A145" s="1" t="s">
        <v>86</v>
      </c>
      <c r="B145" s="7" t="s">
        <v>36</v>
      </c>
      <c r="C145" s="9"/>
      <c r="D145" s="9">
        <f>D143+D144</f>
        <v>400.2</v>
      </c>
      <c r="E145" s="9">
        <f>E143+E144</f>
        <v>433.2</v>
      </c>
      <c r="F145" s="9">
        <f>F143+F144</f>
        <v>264.6</v>
      </c>
      <c r="G145" s="18">
        <f t="shared" si="0"/>
        <v>0.610803324099723</v>
      </c>
      <c r="H145" s="54">
        <f t="shared" si="1"/>
        <v>1.60846560846561</v>
      </c>
      <c r="I145" s="9">
        <f>I143+I144</f>
        <v>9.4</v>
      </c>
      <c r="J145" s="9">
        <f>J143+J144</f>
        <v>23</v>
      </c>
      <c r="K145" s="18">
        <f t="shared" si="2"/>
        <v>0.020604997807979</v>
      </c>
      <c r="L145" s="9">
        <f>L143+L144</f>
        <v>58.6</v>
      </c>
      <c r="M145" s="9">
        <f>M143+M144</f>
        <v>40.6</v>
      </c>
      <c r="N145" s="18">
        <f t="shared" si="3"/>
        <v>0.123680878007598</v>
      </c>
      <c r="O145" s="9">
        <f>O143+O144</f>
        <v>50.2</v>
      </c>
      <c r="P145" s="9">
        <f>P143+P144</f>
        <v>131.6</v>
      </c>
      <c r="Q145" s="18">
        <f t="shared" si="4"/>
        <v>0.0888810198300283</v>
      </c>
      <c r="R145" s="9">
        <f>R143+R144</f>
        <v>178.8</v>
      </c>
      <c r="S145" s="18">
        <f t="shared" si="5"/>
        <v>0.412742382271468</v>
      </c>
      <c r="T145" s="9">
        <f>T143+T144</f>
        <v>43.2</v>
      </c>
      <c r="U145" s="18">
        <f t="shared" si="6"/>
        <v>0.241610738255034</v>
      </c>
      <c r="V145" s="9">
        <f>V143+V144</f>
        <v>20.2</v>
      </c>
      <c r="W145" s="9">
        <f>W143+W144</f>
        <v>0.2</v>
      </c>
      <c r="X145" s="18">
        <f t="shared" si="7"/>
        <v>0.0466082141209045</v>
      </c>
      <c r="Y145" s="9">
        <f>Y143+Y144</f>
        <v>65.2</v>
      </c>
      <c r="Z145" s="9">
        <f>Z143+Z144</f>
        <v>10.4</v>
      </c>
      <c r="AA145" s="63">
        <f t="shared" ref="AA145:AA160" si="55">Y145/(E145+Z145)</f>
        <v>0.146979260595131</v>
      </c>
    </row>
    <row r="146" ht="34" hidden="1" spans="1:27">
      <c r="A146" s="1" t="s">
        <v>87</v>
      </c>
      <c r="B146" s="7" t="s">
        <v>33</v>
      </c>
      <c r="C146" s="9"/>
      <c r="D146" s="9">
        <v>187.4</v>
      </c>
      <c r="E146" s="9">
        <v>227.2</v>
      </c>
      <c r="F146" s="9">
        <v>114.8</v>
      </c>
      <c r="G146" s="18">
        <f t="shared" si="0"/>
        <v>0.505281690140845</v>
      </c>
      <c r="H146" s="54">
        <f t="shared" si="1"/>
        <v>1.44947735191638</v>
      </c>
      <c r="I146" s="9">
        <v>4.2</v>
      </c>
      <c r="J146" s="9">
        <v>5</v>
      </c>
      <c r="K146" s="18">
        <f t="shared" si="2"/>
        <v>0.0180878552971576</v>
      </c>
      <c r="L146" s="9">
        <v>9.6</v>
      </c>
      <c r="M146" s="9">
        <v>7.6</v>
      </c>
      <c r="N146" s="18">
        <f t="shared" si="3"/>
        <v>0.040885860306644</v>
      </c>
      <c r="O146" s="9">
        <v>28.6</v>
      </c>
      <c r="P146" s="9">
        <v>68</v>
      </c>
      <c r="Q146" s="18">
        <f t="shared" si="4"/>
        <v>0.0968834688346884</v>
      </c>
      <c r="R146" s="9">
        <v>82.2</v>
      </c>
      <c r="S146" s="18">
        <f t="shared" si="5"/>
        <v>0.361795774647887</v>
      </c>
      <c r="T146" s="9">
        <v>7.6</v>
      </c>
      <c r="U146" s="18">
        <f t="shared" si="6"/>
        <v>0.0924574209245742</v>
      </c>
      <c r="V146" s="9">
        <v>6.6</v>
      </c>
      <c r="W146" s="9">
        <v>0</v>
      </c>
      <c r="X146" s="18">
        <f t="shared" si="7"/>
        <v>0.0290492957746479</v>
      </c>
      <c r="Y146" s="9">
        <v>27.6</v>
      </c>
      <c r="Z146" s="9">
        <v>3.2</v>
      </c>
      <c r="AA146" s="63">
        <f t="shared" si="55"/>
        <v>0.119791666666667</v>
      </c>
    </row>
    <row r="147" hidden="1" spans="1:27">
      <c r="A147" s="1" t="s">
        <v>87</v>
      </c>
      <c r="B147" s="7" t="s">
        <v>35</v>
      </c>
      <c r="C147" s="9"/>
      <c r="D147" s="9">
        <v>212.6</v>
      </c>
      <c r="E147" s="9">
        <v>188.2</v>
      </c>
      <c r="F147" s="9">
        <v>138</v>
      </c>
      <c r="G147" s="18">
        <f t="shared" si="0"/>
        <v>0.733262486716259</v>
      </c>
      <c r="H147" s="54">
        <f t="shared" si="1"/>
        <v>1.69710144927536</v>
      </c>
      <c r="I147" s="9">
        <v>6.8</v>
      </c>
      <c r="J147" s="9">
        <v>13.2</v>
      </c>
      <c r="K147" s="18">
        <f t="shared" si="2"/>
        <v>0.0337636544190665</v>
      </c>
      <c r="L147" s="9">
        <v>46.6</v>
      </c>
      <c r="M147" s="9">
        <v>32.8</v>
      </c>
      <c r="N147" s="18">
        <f t="shared" si="3"/>
        <v>0.210859728506787</v>
      </c>
      <c r="O147" s="9">
        <v>17.6</v>
      </c>
      <c r="P147" s="9">
        <v>49.4</v>
      </c>
      <c r="Q147" s="18">
        <f t="shared" si="4"/>
        <v>0.0740740740740741</v>
      </c>
      <c r="R147" s="9">
        <v>87</v>
      </c>
      <c r="S147" s="18">
        <f t="shared" si="5"/>
        <v>0.462274176408077</v>
      </c>
      <c r="T147" s="9">
        <v>30.8</v>
      </c>
      <c r="U147" s="18">
        <f t="shared" si="6"/>
        <v>0.354022988505747</v>
      </c>
      <c r="V147" s="9">
        <v>11.2</v>
      </c>
      <c r="W147" s="9">
        <v>0.6</v>
      </c>
      <c r="X147" s="18">
        <f t="shared" si="7"/>
        <v>0.0593220338983051</v>
      </c>
      <c r="Y147" s="9">
        <v>34.2</v>
      </c>
      <c r="Z147" s="9">
        <v>5.8</v>
      </c>
      <c r="AA147" s="63">
        <f t="shared" si="55"/>
        <v>0.176288659793814</v>
      </c>
    </row>
    <row r="148" hidden="1" spans="1:27">
      <c r="A148" s="1" t="s">
        <v>87</v>
      </c>
      <c r="B148" s="7" t="s">
        <v>36</v>
      </c>
      <c r="C148" s="9"/>
      <c r="D148" s="9">
        <f>D146+D147</f>
        <v>400</v>
      </c>
      <c r="E148" s="9">
        <f>E146+E147</f>
        <v>415.4</v>
      </c>
      <c r="F148" s="9">
        <f>F146+F147</f>
        <v>252.8</v>
      </c>
      <c r="G148" s="18">
        <f t="shared" si="0"/>
        <v>0.608570052961002</v>
      </c>
      <c r="H148" s="54">
        <f t="shared" si="1"/>
        <v>1.58465189873418</v>
      </c>
      <c r="I148" s="9">
        <f>I146+I147</f>
        <v>11</v>
      </c>
      <c r="J148" s="9">
        <f>J146+J147</f>
        <v>18.2</v>
      </c>
      <c r="K148" s="18">
        <f t="shared" si="2"/>
        <v>0.0253690036900369</v>
      </c>
      <c r="L148" s="9">
        <f>L146+L147</f>
        <v>56.2</v>
      </c>
      <c r="M148" s="9">
        <f>M146+M147</f>
        <v>40.4</v>
      </c>
      <c r="N148" s="18">
        <f t="shared" si="3"/>
        <v>0.12329969284774</v>
      </c>
      <c r="O148" s="9">
        <f>O146+O147</f>
        <v>46.2</v>
      </c>
      <c r="P148" s="9">
        <f>P146+P147</f>
        <v>117.4</v>
      </c>
      <c r="Q148" s="18">
        <f t="shared" si="4"/>
        <v>0.0867117117117117</v>
      </c>
      <c r="R148" s="9">
        <f>R146+R147</f>
        <v>169.2</v>
      </c>
      <c r="S148" s="18">
        <f t="shared" si="5"/>
        <v>0.407318247472316</v>
      </c>
      <c r="T148" s="9">
        <f>T146+T147</f>
        <v>38.4</v>
      </c>
      <c r="U148" s="18">
        <f t="shared" si="6"/>
        <v>0.226950354609929</v>
      </c>
      <c r="V148" s="9">
        <f>V146+V147</f>
        <v>17.8</v>
      </c>
      <c r="W148" s="9">
        <f>W146+W147</f>
        <v>0.6</v>
      </c>
      <c r="X148" s="18">
        <f t="shared" si="7"/>
        <v>0.0427884615384615</v>
      </c>
      <c r="Y148" s="9">
        <f>Y146+Y147</f>
        <v>61.8</v>
      </c>
      <c r="Z148" s="9">
        <f>Z146+Z147</f>
        <v>9</v>
      </c>
      <c r="AA148" s="63">
        <f t="shared" si="55"/>
        <v>0.145617342130066</v>
      </c>
    </row>
    <row r="149" ht="34" hidden="1" spans="1:27">
      <c r="A149" s="1" t="s">
        <v>88</v>
      </c>
      <c r="B149" s="7" t="s">
        <v>33</v>
      </c>
      <c r="D149">
        <f>'APP拉新-留存'!C148</f>
        <v>181.2</v>
      </c>
      <c r="E149" s="44">
        <v>250.2</v>
      </c>
      <c r="F149" s="44">
        <v>131.4</v>
      </c>
      <c r="G149" s="18">
        <f t="shared" si="0"/>
        <v>0.525179856115108</v>
      </c>
      <c r="H149" s="54">
        <f t="shared" si="1"/>
        <v>1.54946727549467</v>
      </c>
      <c r="I149" s="44">
        <v>6.4</v>
      </c>
      <c r="J149" s="44">
        <v>13.4</v>
      </c>
      <c r="K149" s="18">
        <f t="shared" si="2"/>
        <v>0.0242792109256449</v>
      </c>
      <c r="L149" s="44">
        <v>14.8</v>
      </c>
      <c r="M149" s="44">
        <v>12.2</v>
      </c>
      <c r="N149" s="18">
        <f t="shared" si="3"/>
        <v>0.0564024390243903</v>
      </c>
      <c r="O149" s="44">
        <v>34.2</v>
      </c>
      <c r="P149" s="44">
        <v>75</v>
      </c>
      <c r="Q149" s="18">
        <f t="shared" si="4"/>
        <v>0.105166051660517</v>
      </c>
      <c r="R149" s="44">
        <v>92.8</v>
      </c>
      <c r="S149" s="18">
        <f t="shared" si="5"/>
        <v>0.370903277378098</v>
      </c>
      <c r="T149" s="44">
        <v>11.8</v>
      </c>
      <c r="U149" s="18">
        <f t="shared" si="6"/>
        <v>0.127155172413793</v>
      </c>
      <c r="V149" s="44">
        <v>9.8</v>
      </c>
      <c r="W149" s="44">
        <v>0</v>
      </c>
      <c r="X149" s="18">
        <f t="shared" si="7"/>
        <v>0.0391686650679456</v>
      </c>
      <c r="Y149" s="44">
        <v>33.8</v>
      </c>
      <c r="Z149" s="44">
        <v>6.6</v>
      </c>
      <c r="AA149" s="63">
        <f t="shared" si="55"/>
        <v>0.131619937694704</v>
      </c>
    </row>
    <row r="150" hidden="1" spans="1:27">
      <c r="A150" s="1" t="s">
        <v>88</v>
      </c>
      <c r="B150" s="7" t="s">
        <v>35</v>
      </c>
      <c r="D150">
        <f>'APP拉新-留存'!C149</f>
        <v>187.8</v>
      </c>
      <c r="E150" s="44">
        <v>198.2</v>
      </c>
      <c r="F150" s="44">
        <v>142.8</v>
      </c>
      <c r="G150" s="18">
        <f t="shared" si="0"/>
        <v>0.720484359233098</v>
      </c>
      <c r="H150" s="54">
        <f t="shared" si="1"/>
        <v>1.64705882352941</v>
      </c>
      <c r="I150" s="44">
        <v>5.2</v>
      </c>
      <c r="J150" s="44">
        <v>10.8</v>
      </c>
      <c r="K150" s="18">
        <f t="shared" si="2"/>
        <v>0.0248803827751196</v>
      </c>
      <c r="L150" s="44">
        <v>49.2</v>
      </c>
      <c r="M150" s="44">
        <v>31.4</v>
      </c>
      <c r="N150" s="18">
        <f t="shared" si="3"/>
        <v>0.214285714285714</v>
      </c>
      <c r="O150" s="44">
        <v>19.2</v>
      </c>
      <c r="P150" s="44">
        <v>51.2</v>
      </c>
      <c r="Q150" s="18">
        <f t="shared" si="4"/>
        <v>0.0769847634322374</v>
      </c>
      <c r="R150" s="44">
        <v>91.4</v>
      </c>
      <c r="S150" s="18">
        <f t="shared" si="5"/>
        <v>0.461150353178608</v>
      </c>
      <c r="T150" s="44">
        <v>29.8</v>
      </c>
      <c r="U150" s="18">
        <f t="shared" si="6"/>
        <v>0.326039387308534</v>
      </c>
      <c r="V150" s="44">
        <v>10.6</v>
      </c>
      <c r="W150" s="44">
        <v>0.6</v>
      </c>
      <c r="X150" s="18">
        <f t="shared" si="7"/>
        <v>0.0533199195171026</v>
      </c>
      <c r="Y150" s="44">
        <v>29.8</v>
      </c>
      <c r="Z150" s="44">
        <v>3.4</v>
      </c>
      <c r="AA150" s="63">
        <f t="shared" si="55"/>
        <v>0.14781746031746</v>
      </c>
    </row>
    <row r="151" spans="1:27">
      <c r="A151" s="1" t="s">
        <v>88</v>
      </c>
      <c r="B151" s="7" t="s">
        <v>36</v>
      </c>
      <c r="D151">
        <f>'APP拉新-留存'!C150</f>
        <v>369</v>
      </c>
      <c r="E151" s="44">
        <v>448.4</v>
      </c>
      <c r="F151" s="44">
        <v>274.2</v>
      </c>
      <c r="G151" s="18">
        <f t="shared" si="0"/>
        <v>0.611507582515611</v>
      </c>
      <c r="H151" s="54">
        <f t="shared" si="1"/>
        <v>1.60029175784099</v>
      </c>
      <c r="I151" s="44">
        <v>11.6</v>
      </c>
      <c r="J151" s="44">
        <v>24.2</v>
      </c>
      <c r="K151" s="18">
        <f t="shared" si="2"/>
        <v>0.0245450698264917</v>
      </c>
      <c r="L151" s="44">
        <v>64</v>
      </c>
      <c r="M151" s="44">
        <v>43.6</v>
      </c>
      <c r="N151" s="18">
        <f t="shared" si="3"/>
        <v>0.130081300813008</v>
      </c>
      <c r="O151" s="44">
        <v>53.4</v>
      </c>
      <c r="P151" s="44">
        <v>126.2</v>
      </c>
      <c r="Q151" s="18">
        <f t="shared" si="4"/>
        <v>0.0929342151061608</v>
      </c>
      <c r="R151" s="44">
        <v>184.2</v>
      </c>
      <c r="S151" s="18">
        <f t="shared" si="5"/>
        <v>0.410793933987511</v>
      </c>
      <c r="T151" s="44">
        <v>41.6</v>
      </c>
      <c r="U151" s="18">
        <f t="shared" si="6"/>
        <v>0.225841476655809</v>
      </c>
      <c r="V151" s="44">
        <v>20.4</v>
      </c>
      <c r="W151" s="44">
        <v>0.6</v>
      </c>
      <c r="X151" s="18">
        <f t="shared" si="7"/>
        <v>0.04543429844098</v>
      </c>
      <c r="Y151" s="44">
        <v>63.6</v>
      </c>
      <c r="Z151" s="44">
        <v>10</v>
      </c>
      <c r="AA151" s="63">
        <f t="shared" si="55"/>
        <v>0.138743455497382</v>
      </c>
    </row>
    <row r="152" ht="34" hidden="1" spans="1:27">
      <c r="A152" s="1" t="s">
        <v>89</v>
      </c>
      <c r="B152" s="7" t="s">
        <v>33</v>
      </c>
      <c r="D152">
        <f>'APP拉新-留存'!C151</f>
        <v>219.6</v>
      </c>
      <c r="E152" s="44">
        <v>271</v>
      </c>
      <c r="F152" s="44">
        <v>126.4</v>
      </c>
      <c r="G152" s="18">
        <f t="shared" si="0"/>
        <v>0.466420664206642</v>
      </c>
      <c r="H152" s="54">
        <f t="shared" si="1"/>
        <v>1.5870253164557</v>
      </c>
      <c r="I152" s="44">
        <v>6</v>
      </c>
      <c r="J152" s="44">
        <v>8.6</v>
      </c>
      <c r="K152" s="18">
        <f t="shared" si="2"/>
        <v>0.0214592274678112</v>
      </c>
      <c r="L152" s="44">
        <v>11.6</v>
      </c>
      <c r="M152" s="44">
        <v>9.6</v>
      </c>
      <c r="N152" s="18">
        <f t="shared" si="3"/>
        <v>0.0413399857448325</v>
      </c>
      <c r="O152" s="44">
        <v>35.2</v>
      </c>
      <c r="P152" s="44">
        <v>74.8</v>
      </c>
      <c r="Q152" s="18">
        <f t="shared" si="4"/>
        <v>0.101792943898207</v>
      </c>
      <c r="R152" s="44">
        <v>95.8</v>
      </c>
      <c r="S152" s="18">
        <f t="shared" si="5"/>
        <v>0.353505535055351</v>
      </c>
      <c r="T152" s="44">
        <v>13.2</v>
      </c>
      <c r="U152" s="18">
        <f t="shared" si="6"/>
        <v>0.137787056367432</v>
      </c>
      <c r="V152" s="44">
        <v>8.8</v>
      </c>
      <c r="W152" s="44">
        <v>0</v>
      </c>
      <c r="X152" s="18">
        <f t="shared" si="7"/>
        <v>0.0324723247232472</v>
      </c>
      <c r="Y152" s="44">
        <v>30</v>
      </c>
      <c r="Z152" s="44">
        <v>5.4</v>
      </c>
      <c r="AA152" s="63">
        <f t="shared" si="55"/>
        <v>0.108538350217077</v>
      </c>
    </row>
    <row r="153" hidden="1" spans="1:27">
      <c r="A153" s="1" t="s">
        <v>89</v>
      </c>
      <c r="B153" s="7" t="s">
        <v>35</v>
      </c>
      <c r="D153">
        <f>'APP拉新-留存'!C152</f>
        <v>213.4</v>
      </c>
      <c r="E153" s="44">
        <v>192</v>
      </c>
      <c r="F153" s="44">
        <v>141</v>
      </c>
      <c r="G153" s="18">
        <f t="shared" si="0"/>
        <v>0.734375</v>
      </c>
      <c r="H153" s="54">
        <f t="shared" si="1"/>
        <v>1.73049645390071</v>
      </c>
      <c r="I153" s="44">
        <v>4.4</v>
      </c>
      <c r="J153" s="44">
        <v>10.2</v>
      </c>
      <c r="K153" s="18">
        <f t="shared" si="2"/>
        <v>0.0217606330365974</v>
      </c>
      <c r="L153" s="44">
        <v>43.6</v>
      </c>
      <c r="M153" s="44">
        <v>29.6</v>
      </c>
      <c r="N153" s="18">
        <f t="shared" si="3"/>
        <v>0.196750902527076</v>
      </c>
      <c r="O153" s="44">
        <v>17</v>
      </c>
      <c r="P153" s="44">
        <v>53.4</v>
      </c>
      <c r="Q153" s="18">
        <f t="shared" si="4"/>
        <v>0.0692746536267319</v>
      </c>
      <c r="R153" s="44">
        <v>97.4</v>
      </c>
      <c r="S153" s="18">
        <f t="shared" si="5"/>
        <v>0.507291666666667</v>
      </c>
      <c r="T153" s="44">
        <v>38.8</v>
      </c>
      <c r="U153" s="18">
        <f t="shared" si="6"/>
        <v>0.398357289527721</v>
      </c>
      <c r="V153" s="44">
        <v>14</v>
      </c>
      <c r="W153" s="44">
        <v>0.4</v>
      </c>
      <c r="X153" s="18">
        <f t="shared" si="7"/>
        <v>0.0727650727650728</v>
      </c>
      <c r="Y153" s="44">
        <v>28.8</v>
      </c>
      <c r="Z153" s="44">
        <v>3</v>
      </c>
      <c r="AA153" s="63">
        <f t="shared" si="55"/>
        <v>0.147692307692308</v>
      </c>
    </row>
    <row r="154" spans="1:27">
      <c r="A154" s="1" t="s">
        <v>89</v>
      </c>
      <c r="B154" s="7" t="s">
        <v>36</v>
      </c>
      <c r="D154">
        <f>'APP拉新-留存'!C153</f>
        <v>433</v>
      </c>
      <c r="E154" s="44">
        <v>463</v>
      </c>
      <c r="F154" s="44">
        <v>267.4</v>
      </c>
      <c r="G154" s="18">
        <f t="shared" si="0"/>
        <v>0.577537796976242</v>
      </c>
      <c r="H154" s="54">
        <f t="shared" si="1"/>
        <v>1.66267763649963</v>
      </c>
      <c r="I154" s="44">
        <v>10.4</v>
      </c>
      <c r="J154" s="44">
        <v>18.8</v>
      </c>
      <c r="K154" s="18">
        <f t="shared" si="2"/>
        <v>0.0215857202158572</v>
      </c>
      <c r="L154" s="44">
        <v>55.2</v>
      </c>
      <c r="M154" s="44">
        <v>39.2</v>
      </c>
      <c r="N154" s="18">
        <f t="shared" si="3"/>
        <v>0.109916367980884</v>
      </c>
      <c r="O154" s="44">
        <v>52.2</v>
      </c>
      <c r="P154" s="44">
        <v>128.2</v>
      </c>
      <c r="Q154" s="18">
        <f t="shared" si="4"/>
        <v>0.0882949932341001</v>
      </c>
      <c r="R154" s="44">
        <v>193.2</v>
      </c>
      <c r="S154" s="18">
        <f t="shared" si="5"/>
        <v>0.417278617710583</v>
      </c>
      <c r="T154" s="44">
        <v>52</v>
      </c>
      <c r="U154" s="18">
        <f t="shared" si="6"/>
        <v>0.269151138716356</v>
      </c>
      <c r="V154" s="44">
        <v>22.8</v>
      </c>
      <c r="W154" s="44">
        <v>0.4</v>
      </c>
      <c r="X154" s="18">
        <f t="shared" si="7"/>
        <v>0.0492015537332758</v>
      </c>
      <c r="Y154" s="44">
        <v>58.8</v>
      </c>
      <c r="Z154" s="44">
        <v>8.4</v>
      </c>
      <c r="AA154" s="63">
        <f t="shared" si="55"/>
        <v>0.124734832414086</v>
      </c>
    </row>
    <row r="155" ht="34" hidden="1" spans="1:27">
      <c r="A155" s="1" t="s">
        <v>90</v>
      </c>
      <c r="B155" s="7" t="s">
        <v>33</v>
      </c>
      <c r="D155">
        <f>'APP拉新-留存'!C154</f>
        <v>231</v>
      </c>
      <c r="E155" s="44">
        <v>266.8</v>
      </c>
      <c r="F155" s="44">
        <v>147.2</v>
      </c>
      <c r="G155" s="18">
        <f t="shared" si="0"/>
        <v>0.551724137931034</v>
      </c>
      <c r="H155" s="54">
        <f t="shared" si="1"/>
        <v>1.5366847826087</v>
      </c>
      <c r="I155" s="44">
        <v>5</v>
      </c>
      <c r="J155" s="44">
        <v>9.4</v>
      </c>
      <c r="K155" s="18">
        <f t="shared" si="2"/>
        <v>0.0181028240405503</v>
      </c>
      <c r="L155" s="44">
        <v>14</v>
      </c>
      <c r="M155" s="44">
        <v>12</v>
      </c>
      <c r="N155" s="18">
        <f t="shared" si="3"/>
        <v>0.0502152080344333</v>
      </c>
      <c r="O155" s="44">
        <v>39.8</v>
      </c>
      <c r="P155" s="44">
        <v>83.8</v>
      </c>
      <c r="Q155" s="18">
        <f t="shared" si="4"/>
        <v>0.113519680547633</v>
      </c>
      <c r="R155" s="44">
        <v>112</v>
      </c>
      <c r="S155" s="18">
        <f t="shared" si="5"/>
        <v>0.419790104947526</v>
      </c>
      <c r="T155" s="44">
        <v>15</v>
      </c>
      <c r="U155" s="18">
        <f t="shared" si="6"/>
        <v>0.133928571428571</v>
      </c>
      <c r="V155" s="44">
        <v>10.6</v>
      </c>
      <c r="W155" s="44">
        <v>0.2</v>
      </c>
      <c r="X155" s="18">
        <f t="shared" si="7"/>
        <v>0.0397003745318352</v>
      </c>
      <c r="Y155" s="44">
        <v>29.8</v>
      </c>
      <c r="Z155" s="44">
        <v>5.8</v>
      </c>
      <c r="AA155" s="63">
        <f t="shared" si="55"/>
        <v>0.10931768158474</v>
      </c>
    </row>
    <row r="156" hidden="1" spans="1:27">
      <c r="A156" s="1" t="s">
        <v>90</v>
      </c>
      <c r="B156" s="7" t="s">
        <v>35</v>
      </c>
      <c r="D156">
        <f>'APP拉新-留存'!C155</f>
        <v>197.6</v>
      </c>
      <c r="E156" s="44">
        <v>178.8</v>
      </c>
      <c r="F156" s="44">
        <v>130.4</v>
      </c>
      <c r="G156" s="18">
        <f t="shared" si="0"/>
        <v>0.729306487695749</v>
      </c>
      <c r="H156" s="54">
        <f t="shared" si="1"/>
        <v>1.69171779141104</v>
      </c>
      <c r="I156" s="44">
        <v>4</v>
      </c>
      <c r="J156" s="44">
        <v>10</v>
      </c>
      <c r="K156" s="18">
        <f t="shared" si="2"/>
        <v>0.0211864406779661</v>
      </c>
      <c r="L156" s="44">
        <v>41</v>
      </c>
      <c r="M156" s="44">
        <v>24.8</v>
      </c>
      <c r="N156" s="18">
        <f t="shared" si="3"/>
        <v>0.201375245579568</v>
      </c>
      <c r="O156" s="44">
        <v>16.8</v>
      </c>
      <c r="P156" s="44">
        <v>52</v>
      </c>
      <c r="Q156" s="18">
        <f t="shared" si="4"/>
        <v>0.072790294627383</v>
      </c>
      <c r="R156" s="44">
        <v>90.8</v>
      </c>
      <c r="S156" s="18">
        <f t="shared" si="5"/>
        <v>0.507829977628635</v>
      </c>
      <c r="T156" s="44">
        <v>30.2</v>
      </c>
      <c r="U156" s="18">
        <f t="shared" si="6"/>
        <v>0.332599118942731</v>
      </c>
      <c r="V156" s="44">
        <v>9.4</v>
      </c>
      <c r="W156" s="44">
        <v>0.2</v>
      </c>
      <c r="X156" s="18">
        <f t="shared" si="7"/>
        <v>0.0525139664804469</v>
      </c>
      <c r="Y156" s="44">
        <v>28.4</v>
      </c>
      <c r="Z156" s="44">
        <v>3.8</v>
      </c>
      <c r="AA156" s="63">
        <f t="shared" si="55"/>
        <v>0.15553121577218</v>
      </c>
    </row>
    <row r="157" spans="1:27">
      <c r="A157" s="1" t="s">
        <v>90</v>
      </c>
      <c r="B157" s="7" t="s">
        <v>36</v>
      </c>
      <c r="D157">
        <f>'APP拉新-留存'!C156</f>
        <v>428.6</v>
      </c>
      <c r="E157" s="44">
        <v>445.6</v>
      </c>
      <c r="F157" s="44">
        <v>277.6</v>
      </c>
      <c r="G157" s="18">
        <f t="shared" si="0"/>
        <v>0.622980251346499</v>
      </c>
      <c r="H157" s="54">
        <f t="shared" si="1"/>
        <v>1.60951008645533</v>
      </c>
      <c r="I157" s="44">
        <v>9</v>
      </c>
      <c r="J157" s="44">
        <v>19.4</v>
      </c>
      <c r="K157" s="18">
        <f t="shared" si="2"/>
        <v>0.0193548387096774</v>
      </c>
      <c r="L157" s="44">
        <v>55</v>
      </c>
      <c r="M157" s="44">
        <v>36.8</v>
      </c>
      <c r="N157" s="18">
        <f t="shared" si="3"/>
        <v>0.114013266998342</v>
      </c>
      <c r="O157" s="44">
        <v>56.6</v>
      </c>
      <c r="P157" s="44">
        <v>135.8</v>
      </c>
      <c r="Q157" s="18">
        <f t="shared" si="4"/>
        <v>0.0973512211902305</v>
      </c>
      <c r="R157" s="44">
        <v>202.8</v>
      </c>
      <c r="S157" s="18">
        <f t="shared" si="5"/>
        <v>0.455116696588869</v>
      </c>
      <c r="T157" s="44">
        <v>45.2</v>
      </c>
      <c r="U157" s="18">
        <f t="shared" si="6"/>
        <v>0.222879684418146</v>
      </c>
      <c r="V157" s="44">
        <v>20</v>
      </c>
      <c r="W157" s="44">
        <v>0.4</v>
      </c>
      <c r="X157" s="18">
        <f t="shared" si="7"/>
        <v>0.0448430493273543</v>
      </c>
      <c r="Y157" s="44">
        <v>58.2</v>
      </c>
      <c r="Z157" s="44">
        <v>9.6</v>
      </c>
      <c r="AA157" s="63">
        <f t="shared" si="55"/>
        <v>0.127855887521968</v>
      </c>
    </row>
    <row r="158" ht="34" hidden="1" spans="1:27">
      <c r="A158" s="1" t="s">
        <v>91</v>
      </c>
      <c r="B158" s="7" t="s">
        <v>33</v>
      </c>
      <c r="D158">
        <f>'APP拉新-留存'!C157</f>
        <v>189.8</v>
      </c>
      <c r="E158" s="44">
        <v>223.6</v>
      </c>
      <c r="F158" s="44">
        <v>123.2</v>
      </c>
      <c r="G158" s="18">
        <f t="shared" si="0"/>
        <v>0.550983899821109</v>
      </c>
      <c r="H158" s="54">
        <f t="shared" si="1"/>
        <v>1.49025974025974</v>
      </c>
      <c r="I158" s="44">
        <v>4.6</v>
      </c>
      <c r="J158" s="44">
        <v>10.2</v>
      </c>
      <c r="K158" s="18">
        <f t="shared" si="2"/>
        <v>0.0196749358426005</v>
      </c>
      <c r="L158" s="44">
        <v>9.6</v>
      </c>
      <c r="M158" s="44">
        <v>7.2</v>
      </c>
      <c r="N158" s="18">
        <f t="shared" si="3"/>
        <v>0.0415944540727903</v>
      </c>
      <c r="O158" s="44">
        <v>31.8</v>
      </c>
      <c r="P158" s="44">
        <v>77.6</v>
      </c>
      <c r="Q158" s="18">
        <f t="shared" si="4"/>
        <v>0.105577689243028</v>
      </c>
      <c r="R158" s="44">
        <v>97</v>
      </c>
      <c r="S158" s="18">
        <f t="shared" si="5"/>
        <v>0.433810375670841</v>
      </c>
      <c r="T158" s="44">
        <v>12.2</v>
      </c>
      <c r="U158" s="18">
        <f t="shared" si="6"/>
        <v>0.125773195876289</v>
      </c>
      <c r="V158" s="44">
        <v>5.4</v>
      </c>
      <c r="W158" s="44">
        <v>0</v>
      </c>
      <c r="X158" s="18">
        <f t="shared" si="7"/>
        <v>0.0241502683363149</v>
      </c>
      <c r="Y158" s="44">
        <v>23</v>
      </c>
      <c r="Z158" s="44">
        <v>6</v>
      </c>
      <c r="AA158" s="63">
        <f t="shared" si="55"/>
        <v>0.100174216027875</v>
      </c>
    </row>
    <row r="159" hidden="1" spans="1:27">
      <c r="A159" s="1" t="s">
        <v>91</v>
      </c>
      <c r="B159" s="7" t="s">
        <v>35</v>
      </c>
      <c r="D159">
        <f>'APP拉新-留存'!C158</f>
        <v>198.6</v>
      </c>
      <c r="E159" s="44">
        <v>176.6</v>
      </c>
      <c r="F159" s="44">
        <v>134.2</v>
      </c>
      <c r="G159" s="18">
        <f t="shared" si="0"/>
        <v>0.759909399773499</v>
      </c>
      <c r="H159" s="54">
        <f t="shared" si="1"/>
        <v>1.66467958271237</v>
      </c>
      <c r="I159" s="44">
        <v>3.2</v>
      </c>
      <c r="J159" s="44">
        <v>7.6</v>
      </c>
      <c r="K159" s="18">
        <f t="shared" si="2"/>
        <v>0.0173724212812161</v>
      </c>
      <c r="L159" s="44">
        <v>37.4</v>
      </c>
      <c r="M159" s="44">
        <v>23.8</v>
      </c>
      <c r="N159" s="18">
        <f t="shared" si="3"/>
        <v>0.186626746506986</v>
      </c>
      <c r="O159" s="44">
        <v>20.2</v>
      </c>
      <c r="P159" s="44">
        <v>53.2</v>
      </c>
      <c r="Q159" s="18">
        <f t="shared" si="4"/>
        <v>0.0879025239338555</v>
      </c>
      <c r="R159" s="44">
        <v>93.4</v>
      </c>
      <c r="S159" s="18">
        <f t="shared" si="5"/>
        <v>0.528878822197056</v>
      </c>
      <c r="T159" s="44">
        <v>30.8</v>
      </c>
      <c r="U159" s="18">
        <f t="shared" si="6"/>
        <v>0.329764453961456</v>
      </c>
      <c r="V159" s="44">
        <v>4.8</v>
      </c>
      <c r="W159" s="44">
        <v>0.2</v>
      </c>
      <c r="X159" s="18">
        <f t="shared" si="7"/>
        <v>0.0271493212669683</v>
      </c>
      <c r="Y159" s="44">
        <v>33.6</v>
      </c>
      <c r="Z159" s="44">
        <v>4.4</v>
      </c>
      <c r="AA159" s="63">
        <f t="shared" si="55"/>
        <v>0.185635359116022</v>
      </c>
    </row>
    <row r="160" spans="1:27">
      <c r="A160" s="1" t="s">
        <v>91</v>
      </c>
      <c r="B160" s="7" t="s">
        <v>36</v>
      </c>
      <c r="D160">
        <f>'APP拉新-留存'!C159</f>
        <v>388.4</v>
      </c>
      <c r="E160" s="44">
        <v>400.2</v>
      </c>
      <c r="F160" s="44">
        <v>257.4</v>
      </c>
      <c r="G160" s="18">
        <f t="shared" si="0"/>
        <v>0.643178410794603</v>
      </c>
      <c r="H160" s="54">
        <f t="shared" si="1"/>
        <v>1.58119658119658</v>
      </c>
      <c r="I160" s="44">
        <v>7.8</v>
      </c>
      <c r="J160" s="44">
        <v>17.8</v>
      </c>
      <c r="K160" s="18">
        <f t="shared" si="2"/>
        <v>0.0186602870813397</v>
      </c>
      <c r="L160" s="44">
        <v>47</v>
      </c>
      <c r="M160" s="44">
        <v>31</v>
      </c>
      <c r="N160" s="18">
        <f t="shared" si="3"/>
        <v>0.10899814471243</v>
      </c>
      <c r="O160" s="44">
        <v>52</v>
      </c>
      <c r="P160" s="44">
        <v>130.8</v>
      </c>
      <c r="Q160" s="18">
        <f t="shared" si="4"/>
        <v>0.0979284369114878</v>
      </c>
      <c r="R160" s="44">
        <v>190.4</v>
      </c>
      <c r="S160" s="18">
        <f t="shared" si="5"/>
        <v>0.47576211894053</v>
      </c>
      <c r="T160" s="44">
        <v>43</v>
      </c>
      <c r="U160" s="18">
        <f t="shared" si="6"/>
        <v>0.225840336134454</v>
      </c>
      <c r="V160" s="44">
        <v>10.2</v>
      </c>
      <c r="W160" s="44">
        <v>0.2</v>
      </c>
      <c r="X160" s="18">
        <f t="shared" si="7"/>
        <v>0.0254745254745255</v>
      </c>
      <c r="Y160" s="44">
        <v>56.6</v>
      </c>
      <c r="Z160" s="44">
        <v>10.4</v>
      </c>
      <c r="AA160" s="63">
        <f t="shared" si="55"/>
        <v>0.137847053093035</v>
      </c>
    </row>
    <row r="161" customFormat="1" ht="34" hidden="1" spans="1:27">
      <c r="A161" s="1" t="s">
        <v>92</v>
      </c>
      <c r="B161" s="7" t="s">
        <v>33</v>
      </c>
      <c r="D161">
        <f>'APP拉新-留存'!C160</f>
        <v>192.8</v>
      </c>
      <c r="E161" s="44">
        <v>228.4</v>
      </c>
      <c r="F161" s="44">
        <v>131</v>
      </c>
      <c r="G161" s="18">
        <f t="shared" ref="G161:G175" si="56">IFERROR(F161/E161,0)</f>
        <v>0.573555166374781</v>
      </c>
      <c r="H161" s="54">
        <f t="shared" ref="H161:H175" si="57">IFERROR(SUM(I161:J161,L161:M161,O161:P161,R161,T161,V161:W161,Y161:Z161)/F161,0)</f>
        <v>2.35725190839695</v>
      </c>
      <c r="I161" s="44">
        <v>3.8</v>
      </c>
      <c r="J161" s="44">
        <v>6.8</v>
      </c>
      <c r="K161" s="18">
        <f t="shared" ref="K161:K175" si="58">IFERROR(I161/(E161+J161),0)</f>
        <v>0.016156462585034</v>
      </c>
      <c r="L161" s="44">
        <v>11.2</v>
      </c>
      <c r="M161" s="44">
        <v>9</v>
      </c>
      <c r="N161" s="18">
        <f t="shared" ref="N161:N175" si="59">IFERROR(L161/(E161+M161),0)</f>
        <v>0.0471777590564448</v>
      </c>
      <c r="O161" s="44">
        <v>34</v>
      </c>
      <c r="P161" s="44">
        <v>86.2</v>
      </c>
      <c r="Q161" s="18">
        <f t="shared" ref="Q161:Q175" si="60">IFERROR(O161/(E161+P161),0)</f>
        <v>0.108073744437381</v>
      </c>
      <c r="R161" s="44">
        <v>111.2</v>
      </c>
      <c r="S161" s="18">
        <f t="shared" ref="S161:S175" si="61">IFERROR(R161/E161,0)</f>
        <v>0.486865148861646</v>
      </c>
      <c r="T161" s="44">
        <v>14.2</v>
      </c>
      <c r="U161" s="18">
        <f t="shared" ref="U161:U175" si="62">IFERROR(T161/R161,0)</f>
        <v>0.127697841726619</v>
      </c>
      <c r="V161" s="44">
        <v>2.4</v>
      </c>
      <c r="W161" s="44">
        <v>0</v>
      </c>
      <c r="X161" s="18">
        <f t="shared" ref="X161:X175" si="63">IFERROR(V161/(E161+W161),0)</f>
        <v>0.010507880910683</v>
      </c>
      <c r="Y161" s="44">
        <v>25.8</v>
      </c>
      <c r="Z161" s="44">
        <v>4.2</v>
      </c>
      <c r="AA161" s="63">
        <f t="shared" ref="AA161:AA175" si="64">IFERROR(Y161/(E161+Z161),0)</f>
        <v>0.110920034393809</v>
      </c>
    </row>
    <row r="162" customFormat="1" hidden="1" spans="1:27">
      <c r="A162" s="1" t="s">
        <v>92</v>
      </c>
      <c r="B162" s="7" t="s">
        <v>35</v>
      </c>
      <c r="D162">
        <f>'APP拉新-留存'!C161</f>
        <v>199.8</v>
      </c>
      <c r="E162" s="44">
        <v>193.6</v>
      </c>
      <c r="F162" s="44">
        <v>146</v>
      </c>
      <c r="G162" s="18">
        <f t="shared" si="56"/>
        <v>0.754132231404959</v>
      </c>
      <c r="H162" s="54">
        <f t="shared" si="57"/>
        <v>2.33835616438356</v>
      </c>
      <c r="I162" s="44">
        <v>6.8</v>
      </c>
      <c r="J162" s="44">
        <v>11.2</v>
      </c>
      <c r="K162" s="18">
        <f t="shared" si="58"/>
        <v>0.033203125</v>
      </c>
      <c r="L162" s="44">
        <v>40.6</v>
      </c>
      <c r="M162" s="44">
        <v>26.4</v>
      </c>
      <c r="N162" s="18">
        <f t="shared" si="59"/>
        <v>0.184545454545455</v>
      </c>
      <c r="O162" s="44">
        <v>22</v>
      </c>
      <c r="P162" s="44">
        <v>58.4</v>
      </c>
      <c r="Q162" s="18">
        <f t="shared" si="60"/>
        <v>0.0873015873015873</v>
      </c>
      <c r="R162" s="44">
        <v>99</v>
      </c>
      <c r="S162" s="18">
        <f t="shared" si="61"/>
        <v>0.511363636363636</v>
      </c>
      <c r="T162" s="44">
        <v>32.2</v>
      </c>
      <c r="U162" s="18">
        <f t="shared" si="62"/>
        <v>0.325252525252525</v>
      </c>
      <c r="V162" s="44">
        <v>4.8</v>
      </c>
      <c r="W162" s="44">
        <v>0</v>
      </c>
      <c r="X162" s="18">
        <f t="shared" si="63"/>
        <v>0.0247933884297521</v>
      </c>
      <c r="Y162" s="44">
        <v>36.2</v>
      </c>
      <c r="Z162" s="44">
        <v>3.8</v>
      </c>
      <c r="AA162" s="63">
        <f t="shared" si="64"/>
        <v>0.18338399189463</v>
      </c>
    </row>
    <row r="163" customFormat="1" spans="1:27">
      <c r="A163" s="1" t="s">
        <v>92</v>
      </c>
      <c r="B163" s="7" t="s">
        <v>36</v>
      </c>
      <c r="D163">
        <f>SUM(D161:D162)</f>
        <v>392.6</v>
      </c>
      <c r="E163" s="44">
        <f>SUM(E161:E162)</f>
        <v>422</v>
      </c>
      <c r="F163" s="44">
        <f>SUM(F161:F162)</f>
        <v>277</v>
      </c>
      <c r="G163" s="18">
        <f t="shared" si="56"/>
        <v>0.656398104265403</v>
      </c>
      <c r="H163" s="54">
        <f t="shared" si="57"/>
        <v>2.34729241877256</v>
      </c>
      <c r="I163" s="44">
        <f>SUM(I161:I162)</f>
        <v>10.6</v>
      </c>
      <c r="J163" s="44">
        <f>SUM(J161:J162)</f>
        <v>18</v>
      </c>
      <c r="K163" s="18">
        <f t="shared" si="58"/>
        <v>0.0240909090909091</v>
      </c>
      <c r="L163" s="44">
        <f>SUM(L161:L162)</f>
        <v>51.8</v>
      </c>
      <c r="M163" s="44">
        <f>SUM(M161:M162)</f>
        <v>35.4</v>
      </c>
      <c r="N163" s="18">
        <f t="shared" si="59"/>
        <v>0.113248797551377</v>
      </c>
      <c r="O163" s="44">
        <f>SUM(O161:O162)</f>
        <v>56</v>
      </c>
      <c r="P163" s="44">
        <f>SUM(P161:P162)</f>
        <v>144.6</v>
      </c>
      <c r="Q163" s="18">
        <f t="shared" si="60"/>
        <v>0.0988351570773032</v>
      </c>
      <c r="R163" s="44">
        <f>SUM(R161:R162)</f>
        <v>210.2</v>
      </c>
      <c r="S163" s="18">
        <f t="shared" si="61"/>
        <v>0.498104265402844</v>
      </c>
      <c r="T163" s="44">
        <f>SUM(T161:T162)</f>
        <v>46.4</v>
      </c>
      <c r="U163" s="18">
        <f t="shared" si="62"/>
        <v>0.220742150333016</v>
      </c>
      <c r="V163" s="44">
        <f>SUM(V161:V162)</f>
        <v>7.2</v>
      </c>
      <c r="W163" s="44">
        <f>SUM(W161:W162)</f>
        <v>0</v>
      </c>
      <c r="X163" s="18">
        <f t="shared" si="63"/>
        <v>0.0170616113744076</v>
      </c>
      <c r="Y163" s="44">
        <f>SUM(Y161:Y162)</f>
        <v>62</v>
      </c>
      <c r="Z163" s="44">
        <f>SUM(Z161:Z162)</f>
        <v>8</v>
      </c>
      <c r="AA163" s="63">
        <f t="shared" si="64"/>
        <v>0.144186046511628</v>
      </c>
    </row>
    <row r="164" customFormat="1" ht="34" hidden="1" spans="1:27">
      <c r="A164" s="1" t="s">
        <v>93</v>
      </c>
      <c r="B164" s="7" t="s">
        <v>33</v>
      </c>
      <c r="D164">
        <f>'APP拉新-留存'!C163</f>
        <v>210</v>
      </c>
      <c r="E164" s="44">
        <v>222.2</v>
      </c>
      <c r="F164" s="44">
        <v>126.4</v>
      </c>
      <c r="G164" s="18">
        <f t="shared" si="56"/>
        <v>0.568856885688569</v>
      </c>
      <c r="H164" s="54">
        <f t="shared" si="57"/>
        <v>2.26107594936709</v>
      </c>
      <c r="I164" s="44">
        <v>2.8</v>
      </c>
      <c r="J164" s="44">
        <v>6.2</v>
      </c>
      <c r="K164" s="18">
        <f t="shared" si="58"/>
        <v>0.0122591943957968</v>
      </c>
      <c r="L164" s="44">
        <v>12.4</v>
      </c>
      <c r="M164" s="44">
        <v>9</v>
      </c>
      <c r="N164" s="18">
        <f t="shared" si="59"/>
        <v>0.0536332179930796</v>
      </c>
      <c r="O164" s="44">
        <v>32.4</v>
      </c>
      <c r="P164" s="44">
        <v>78.8</v>
      </c>
      <c r="Q164" s="18">
        <f t="shared" si="60"/>
        <v>0.107641196013289</v>
      </c>
      <c r="R164" s="44">
        <v>103.4</v>
      </c>
      <c r="S164" s="18">
        <f t="shared" si="61"/>
        <v>0.465346534653465</v>
      </c>
      <c r="T164" s="44">
        <v>12.4</v>
      </c>
      <c r="U164" s="18">
        <f t="shared" si="62"/>
        <v>0.119922630560928</v>
      </c>
      <c r="V164" s="44">
        <v>2.6</v>
      </c>
      <c r="W164" s="44">
        <v>0</v>
      </c>
      <c r="X164" s="18">
        <f t="shared" si="63"/>
        <v>0.0117011701170117</v>
      </c>
      <c r="Y164" s="44">
        <v>22.4</v>
      </c>
      <c r="Z164" s="44">
        <v>3.4</v>
      </c>
      <c r="AA164" s="63">
        <f t="shared" si="64"/>
        <v>0.099290780141844</v>
      </c>
    </row>
    <row r="165" customFormat="1" hidden="1" spans="1:27">
      <c r="A165" s="1" t="s">
        <v>93</v>
      </c>
      <c r="B165" s="7" t="s">
        <v>35</v>
      </c>
      <c r="D165">
        <f>'APP拉新-留存'!C164</f>
        <v>217.8</v>
      </c>
      <c r="E165" s="44">
        <v>178.4</v>
      </c>
      <c r="F165" s="44">
        <v>137.8</v>
      </c>
      <c r="G165" s="18">
        <f t="shared" si="56"/>
        <v>0.772421524663677</v>
      </c>
      <c r="H165" s="54">
        <f t="shared" si="57"/>
        <v>2.3033381712627</v>
      </c>
      <c r="I165" s="44">
        <v>3.6</v>
      </c>
      <c r="J165" s="44">
        <v>8.2</v>
      </c>
      <c r="K165" s="18">
        <f t="shared" si="58"/>
        <v>0.0192926045016077</v>
      </c>
      <c r="L165" s="44">
        <v>38.4</v>
      </c>
      <c r="M165" s="44">
        <v>23.6</v>
      </c>
      <c r="N165" s="18">
        <f t="shared" si="59"/>
        <v>0.19009900990099</v>
      </c>
      <c r="O165" s="44">
        <v>19.8</v>
      </c>
      <c r="P165" s="44">
        <v>54.2</v>
      </c>
      <c r="Q165" s="18">
        <f t="shared" si="60"/>
        <v>0.0851246775580395</v>
      </c>
      <c r="R165" s="44">
        <v>98</v>
      </c>
      <c r="S165" s="18">
        <f t="shared" si="61"/>
        <v>0.54932735426009</v>
      </c>
      <c r="T165" s="44">
        <v>30.8</v>
      </c>
      <c r="U165" s="18">
        <f t="shared" si="62"/>
        <v>0.314285714285714</v>
      </c>
      <c r="V165" s="44">
        <v>5.4</v>
      </c>
      <c r="W165" s="44">
        <v>0.2</v>
      </c>
      <c r="X165" s="18">
        <f t="shared" si="63"/>
        <v>0.0302351623740202</v>
      </c>
      <c r="Y165" s="44">
        <v>32.4</v>
      </c>
      <c r="Z165" s="44">
        <v>2.8</v>
      </c>
      <c r="AA165" s="63">
        <f t="shared" si="64"/>
        <v>0.178807947019868</v>
      </c>
    </row>
    <row r="166" customFormat="1" spans="1:27">
      <c r="A166" s="1" t="s">
        <v>93</v>
      </c>
      <c r="B166" s="7" t="s">
        <v>36</v>
      </c>
      <c r="D166">
        <f>SUM(D164:D165)</f>
        <v>427.8</v>
      </c>
      <c r="E166" s="44">
        <f>SUM(E164:E165)</f>
        <v>400.6</v>
      </c>
      <c r="F166" s="44">
        <f>SUM(F164:F165)</f>
        <v>264.2</v>
      </c>
      <c r="G166" s="18">
        <f t="shared" si="56"/>
        <v>0.659510733899151</v>
      </c>
      <c r="H166" s="54">
        <f t="shared" si="57"/>
        <v>2.28311884935655</v>
      </c>
      <c r="I166" s="44">
        <f>SUM(I164:I165)</f>
        <v>6.4</v>
      </c>
      <c r="J166" s="44">
        <f>SUM(J164:J165)</f>
        <v>14.4</v>
      </c>
      <c r="K166" s="18">
        <f t="shared" si="58"/>
        <v>0.015421686746988</v>
      </c>
      <c r="L166" s="44">
        <f>SUM(L164:L165)</f>
        <v>50.8</v>
      </c>
      <c r="M166" s="44">
        <f>SUM(M164:M165)</f>
        <v>32.6</v>
      </c>
      <c r="N166" s="18">
        <f t="shared" si="59"/>
        <v>0.117266851338873</v>
      </c>
      <c r="O166" s="44">
        <f>SUM(O164:O165)</f>
        <v>52.2</v>
      </c>
      <c r="P166" s="44">
        <f>SUM(P164:P165)</f>
        <v>133</v>
      </c>
      <c r="Q166" s="18">
        <f t="shared" si="60"/>
        <v>0.0978260869565217</v>
      </c>
      <c r="R166" s="44">
        <f>SUM(R164:R165)</f>
        <v>201.4</v>
      </c>
      <c r="S166" s="18">
        <f t="shared" si="61"/>
        <v>0.502745881178233</v>
      </c>
      <c r="T166" s="44">
        <f>SUM(T164:T165)</f>
        <v>43.2</v>
      </c>
      <c r="U166" s="18">
        <f t="shared" si="62"/>
        <v>0.214498510427011</v>
      </c>
      <c r="V166" s="44">
        <f>SUM(V164:V165)</f>
        <v>8</v>
      </c>
      <c r="W166" s="44">
        <f>SUM(W164:W165)</f>
        <v>0.2</v>
      </c>
      <c r="X166" s="18">
        <f t="shared" si="63"/>
        <v>0.0199600798403194</v>
      </c>
      <c r="Y166" s="44">
        <f>SUM(Y164:Y165)</f>
        <v>54.8</v>
      </c>
      <c r="Z166" s="44">
        <f>SUM(Z164:Z165)</f>
        <v>6.2</v>
      </c>
      <c r="AA166" s="63">
        <f t="shared" si="64"/>
        <v>0.134709931170108</v>
      </c>
    </row>
    <row r="167" customFormat="1" ht="34" hidden="1" spans="1:27">
      <c r="A167" s="1" t="s">
        <v>94</v>
      </c>
      <c r="B167" s="7" t="s">
        <v>33</v>
      </c>
      <c r="D167">
        <f>'APP拉新-留存'!C166</f>
        <v>308.6</v>
      </c>
      <c r="E167" s="44">
        <v>264.8</v>
      </c>
      <c r="F167" s="44">
        <v>166.8</v>
      </c>
      <c r="G167" s="18">
        <f t="shared" si="56"/>
        <v>0.629909365558912</v>
      </c>
      <c r="H167" s="54">
        <f t="shared" si="57"/>
        <v>2.31414868105516</v>
      </c>
      <c r="I167" s="44">
        <v>6.4</v>
      </c>
      <c r="J167" s="44">
        <v>10.8</v>
      </c>
      <c r="K167" s="18">
        <f t="shared" si="58"/>
        <v>0.02322206095791</v>
      </c>
      <c r="L167" s="44">
        <v>16</v>
      </c>
      <c r="M167" s="44">
        <v>13.4</v>
      </c>
      <c r="N167" s="18">
        <f t="shared" si="59"/>
        <v>0.0575125808770669</v>
      </c>
      <c r="O167" s="44">
        <v>44.2</v>
      </c>
      <c r="P167" s="44">
        <v>101.8</v>
      </c>
      <c r="Q167" s="18">
        <f t="shared" si="60"/>
        <v>0.120567375886525</v>
      </c>
      <c r="R167" s="44">
        <v>139.8</v>
      </c>
      <c r="S167" s="18">
        <f t="shared" si="61"/>
        <v>0.527945619335347</v>
      </c>
      <c r="T167" s="44">
        <v>18.8</v>
      </c>
      <c r="U167" s="18">
        <f t="shared" si="62"/>
        <v>0.13447782546495</v>
      </c>
      <c r="V167" s="44">
        <v>2.6</v>
      </c>
      <c r="W167" s="44">
        <v>0.2</v>
      </c>
      <c r="X167" s="18">
        <f t="shared" si="63"/>
        <v>0.00981132075471698</v>
      </c>
      <c r="Y167" s="44">
        <v>25.4</v>
      </c>
      <c r="Z167" s="44">
        <v>6.6</v>
      </c>
      <c r="AA167" s="63">
        <f t="shared" si="64"/>
        <v>0.0935887988209285</v>
      </c>
    </row>
    <row r="168" customFormat="1" hidden="1" spans="1:27">
      <c r="A168" s="1" t="s">
        <v>94</v>
      </c>
      <c r="B168" s="7" t="s">
        <v>35</v>
      </c>
      <c r="D168">
        <f>'APP拉新-留存'!C167</f>
        <v>219</v>
      </c>
      <c r="E168" s="44">
        <v>181</v>
      </c>
      <c r="F168" s="44">
        <v>135.8</v>
      </c>
      <c r="G168" s="18">
        <f t="shared" si="56"/>
        <v>0.750276243093923</v>
      </c>
      <c r="H168" s="54">
        <f t="shared" si="57"/>
        <v>2.28424153166421</v>
      </c>
      <c r="I168" s="44">
        <v>4.2</v>
      </c>
      <c r="J168" s="44">
        <v>7.8</v>
      </c>
      <c r="K168" s="18">
        <f t="shared" si="58"/>
        <v>0.0222457627118644</v>
      </c>
      <c r="L168" s="44">
        <v>41</v>
      </c>
      <c r="M168" s="44">
        <v>27.6</v>
      </c>
      <c r="N168" s="18">
        <f t="shared" si="59"/>
        <v>0.196548418024928</v>
      </c>
      <c r="O168" s="44">
        <v>16.8</v>
      </c>
      <c r="P168" s="44">
        <v>53.2</v>
      </c>
      <c r="Q168" s="18">
        <f t="shared" si="60"/>
        <v>0.071733561058924</v>
      </c>
      <c r="R168" s="44">
        <v>93.4</v>
      </c>
      <c r="S168" s="18">
        <f t="shared" si="61"/>
        <v>0.516022099447514</v>
      </c>
      <c r="T168" s="44">
        <v>29.2</v>
      </c>
      <c r="U168" s="18">
        <f t="shared" si="62"/>
        <v>0.312633832976445</v>
      </c>
      <c r="V168" s="44">
        <v>4</v>
      </c>
      <c r="W168" s="44">
        <v>0.4</v>
      </c>
      <c r="X168" s="18">
        <f t="shared" si="63"/>
        <v>0.0220507166482911</v>
      </c>
      <c r="Y168" s="44">
        <v>29</v>
      </c>
      <c r="Z168" s="44">
        <v>3.6</v>
      </c>
      <c r="AA168" s="63">
        <f t="shared" si="64"/>
        <v>0.157096424702059</v>
      </c>
    </row>
    <row r="169" customFormat="1" spans="1:27">
      <c r="A169" s="1" t="s">
        <v>94</v>
      </c>
      <c r="B169" s="7" t="s">
        <v>36</v>
      </c>
      <c r="D169">
        <f>SUM(D167:D168)</f>
        <v>527.6</v>
      </c>
      <c r="E169" s="44">
        <f>SUM(E167:E168)</f>
        <v>445.8</v>
      </c>
      <c r="F169" s="44">
        <f>SUM(F167:F168)</f>
        <v>302.6</v>
      </c>
      <c r="G169" s="18">
        <f t="shared" si="56"/>
        <v>0.678779721848363</v>
      </c>
      <c r="H169" s="54">
        <f t="shared" si="57"/>
        <v>2.30072703238599</v>
      </c>
      <c r="I169" s="44">
        <f>SUM(I167:I168)</f>
        <v>10.6</v>
      </c>
      <c r="J169" s="44">
        <f>SUM(J167:J168)</f>
        <v>18.6</v>
      </c>
      <c r="K169" s="18">
        <f t="shared" si="58"/>
        <v>0.0228251507321275</v>
      </c>
      <c r="L169" s="44">
        <f>SUM(L167:L168)</f>
        <v>57</v>
      </c>
      <c r="M169" s="44">
        <f>SUM(M167:M168)</f>
        <v>41</v>
      </c>
      <c r="N169" s="18">
        <f t="shared" si="59"/>
        <v>0.11709120788825</v>
      </c>
      <c r="O169" s="44">
        <f>SUM(O167:O168)</f>
        <v>61</v>
      </c>
      <c r="P169" s="44">
        <f>SUM(P167:P168)</f>
        <v>155</v>
      </c>
      <c r="Q169" s="18">
        <f t="shared" si="60"/>
        <v>0.101531291611185</v>
      </c>
      <c r="R169" s="44">
        <f>SUM(R167:R168)</f>
        <v>233.2</v>
      </c>
      <c r="S169" s="18">
        <f t="shared" si="61"/>
        <v>0.523104531179901</v>
      </c>
      <c r="T169" s="44">
        <f>SUM(T167:T168)</f>
        <v>48</v>
      </c>
      <c r="U169" s="18">
        <f t="shared" si="62"/>
        <v>0.205831903945111</v>
      </c>
      <c r="V169" s="44">
        <f>SUM(V167:V168)</f>
        <v>6.6</v>
      </c>
      <c r="W169" s="44">
        <f>SUM(W167:W168)</f>
        <v>0.6</v>
      </c>
      <c r="X169" s="18">
        <f t="shared" si="63"/>
        <v>0.0147849462365591</v>
      </c>
      <c r="Y169" s="44">
        <f>SUM(Y167:Y168)</f>
        <v>54.4</v>
      </c>
      <c r="Z169" s="44">
        <f>SUM(Z167:Z168)</f>
        <v>10.2</v>
      </c>
      <c r="AA169" s="63">
        <f t="shared" si="64"/>
        <v>0.119298245614035</v>
      </c>
    </row>
    <row r="170" customFormat="1" ht="34" hidden="1" spans="1:27">
      <c r="A170" s="1" t="s">
        <v>95</v>
      </c>
      <c r="B170" s="7" t="s">
        <v>33</v>
      </c>
      <c r="D170">
        <f>'APP拉新-留存'!C169</f>
        <v>255</v>
      </c>
      <c r="E170" s="44">
        <v>236.6</v>
      </c>
      <c r="F170" s="44">
        <v>140.2</v>
      </c>
      <c r="G170" s="18">
        <f t="shared" si="56"/>
        <v>0.592561284868977</v>
      </c>
      <c r="H170" s="54">
        <f t="shared" si="57"/>
        <v>2.34094151212554</v>
      </c>
      <c r="I170" s="44">
        <v>4</v>
      </c>
      <c r="J170" s="44">
        <v>8.4</v>
      </c>
      <c r="K170" s="18">
        <f t="shared" si="58"/>
        <v>0.0163265306122449</v>
      </c>
      <c r="L170" s="44">
        <v>14.2</v>
      </c>
      <c r="M170" s="44">
        <v>11.2</v>
      </c>
      <c r="N170" s="18">
        <f t="shared" si="59"/>
        <v>0.0573042776432607</v>
      </c>
      <c r="O170" s="44">
        <v>39.2</v>
      </c>
      <c r="P170" s="44">
        <v>88.8</v>
      </c>
      <c r="Q170" s="18">
        <f t="shared" si="60"/>
        <v>0.120467117393977</v>
      </c>
      <c r="R170" s="44">
        <v>116.2</v>
      </c>
      <c r="S170" s="18">
        <f t="shared" si="61"/>
        <v>0.49112426035503</v>
      </c>
      <c r="T170" s="44">
        <v>14</v>
      </c>
      <c r="U170" s="18">
        <f t="shared" si="62"/>
        <v>0.120481927710843</v>
      </c>
      <c r="V170" s="44">
        <v>3.6</v>
      </c>
      <c r="W170" s="44">
        <v>0</v>
      </c>
      <c r="X170" s="18">
        <f t="shared" si="63"/>
        <v>0.0152155536770921</v>
      </c>
      <c r="Y170" s="44">
        <v>23</v>
      </c>
      <c r="Z170" s="44">
        <v>5.6</v>
      </c>
      <c r="AA170" s="63">
        <f t="shared" si="64"/>
        <v>0.0949628406275805</v>
      </c>
    </row>
    <row r="171" customFormat="1" hidden="1" spans="1:27">
      <c r="A171" s="1" t="s">
        <v>95</v>
      </c>
      <c r="B171" s="7" t="s">
        <v>35</v>
      </c>
      <c r="D171">
        <f>'APP拉新-留存'!C170</f>
        <v>198.8</v>
      </c>
      <c r="E171" s="44">
        <v>166.6</v>
      </c>
      <c r="F171" s="44">
        <v>127.4</v>
      </c>
      <c r="G171" s="18">
        <f t="shared" si="56"/>
        <v>0.764705882352941</v>
      </c>
      <c r="H171" s="54">
        <f t="shared" si="57"/>
        <v>2.30455259026688</v>
      </c>
      <c r="I171" s="44">
        <v>4</v>
      </c>
      <c r="J171" s="44">
        <v>7.6</v>
      </c>
      <c r="K171" s="18">
        <f t="shared" si="58"/>
        <v>0.0229621125143513</v>
      </c>
      <c r="L171" s="44">
        <v>40.6</v>
      </c>
      <c r="M171" s="44">
        <v>25.4</v>
      </c>
      <c r="N171" s="18">
        <f t="shared" si="59"/>
        <v>0.211458333333333</v>
      </c>
      <c r="O171" s="44">
        <v>16.6</v>
      </c>
      <c r="P171" s="44">
        <v>51.8</v>
      </c>
      <c r="Q171" s="18">
        <f t="shared" si="60"/>
        <v>0.076007326007326</v>
      </c>
      <c r="R171" s="44">
        <v>88.4</v>
      </c>
      <c r="S171" s="18">
        <f t="shared" si="61"/>
        <v>0.530612244897959</v>
      </c>
      <c r="T171" s="44">
        <v>28.6</v>
      </c>
      <c r="U171" s="18">
        <f t="shared" si="62"/>
        <v>0.323529411764706</v>
      </c>
      <c r="V171" s="44">
        <v>4.2</v>
      </c>
      <c r="W171" s="44">
        <v>0</v>
      </c>
      <c r="X171" s="18">
        <f t="shared" si="63"/>
        <v>0.0252100840336134</v>
      </c>
      <c r="Y171" s="44">
        <v>24.8</v>
      </c>
      <c r="Z171" s="44">
        <v>1.6</v>
      </c>
      <c r="AA171" s="63">
        <f t="shared" si="64"/>
        <v>0.147443519619501</v>
      </c>
    </row>
    <row r="172" customFormat="1" spans="1:27">
      <c r="A172" s="1" t="s">
        <v>95</v>
      </c>
      <c r="B172" s="7" t="s">
        <v>36</v>
      </c>
      <c r="D172">
        <f>SUM(D170:D171)</f>
        <v>453.8</v>
      </c>
      <c r="E172" s="44">
        <f>SUM(E170:E171)</f>
        <v>403.2</v>
      </c>
      <c r="F172" s="44">
        <f>SUM(F170:F171)</f>
        <v>267.6</v>
      </c>
      <c r="G172" s="18">
        <f t="shared" si="56"/>
        <v>0.663690476190476</v>
      </c>
      <c r="H172" s="54">
        <f t="shared" si="57"/>
        <v>2.32361733931241</v>
      </c>
      <c r="I172" s="44">
        <f>SUM(I170:I171)</f>
        <v>8</v>
      </c>
      <c r="J172" s="44">
        <f>SUM(J170:J171)</f>
        <v>16</v>
      </c>
      <c r="K172" s="18">
        <f t="shared" si="58"/>
        <v>0.0190839694656489</v>
      </c>
      <c r="L172" s="44">
        <f>SUM(L170:L171)</f>
        <v>54.8</v>
      </c>
      <c r="M172" s="44">
        <f>SUM(M170:M171)</f>
        <v>36.6</v>
      </c>
      <c r="N172" s="18">
        <f t="shared" si="59"/>
        <v>0.124602091859936</v>
      </c>
      <c r="O172" s="44">
        <f>SUM(O170:O171)</f>
        <v>55.8</v>
      </c>
      <c r="P172" s="44">
        <f>SUM(P170:P171)</f>
        <v>140.6</v>
      </c>
      <c r="Q172" s="18">
        <f t="shared" si="60"/>
        <v>0.102611254137551</v>
      </c>
      <c r="R172" s="44">
        <f>SUM(R170:R171)</f>
        <v>204.6</v>
      </c>
      <c r="S172" s="18">
        <f t="shared" si="61"/>
        <v>0.507440476190476</v>
      </c>
      <c r="T172" s="44">
        <f>SUM(T170:T171)</f>
        <v>42.6</v>
      </c>
      <c r="U172" s="18">
        <f t="shared" si="62"/>
        <v>0.208211143695015</v>
      </c>
      <c r="V172" s="44">
        <f>SUM(V170:V171)</f>
        <v>7.8</v>
      </c>
      <c r="W172" s="44">
        <f>SUM(W170:W171)</f>
        <v>0</v>
      </c>
      <c r="X172" s="18">
        <f t="shared" si="63"/>
        <v>0.0193452380952381</v>
      </c>
      <c r="Y172" s="44">
        <f>SUM(Y170:Y171)</f>
        <v>47.8</v>
      </c>
      <c r="Z172" s="44">
        <f>SUM(Z170:Z171)</f>
        <v>7.2</v>
      </c>
      <c r="AA172" s="63">
        <f t="shared" si="64"/>
        <v>0.116471734892788</v>
      </c>
    </row>
    <row r="173" customFormat="1" ht="34" hidden="1" spans="1:27">
      <c r="A173" s="1" t="s">
        <v>96</v>
      </c>
      <c r="B173" s="7" t="s">
        <v>33</v>
      </c>
      <c r="D173">
        <f>'APP拉新-留存'!C172</f>
        <v>170.2</v>
      </c>
      <c r="E173" s="44">
        <v>221.6</v>
      </c>
      <c r="F173" s="44">
        <v>135.2</v>
      </c>
      <c r="G173" s="18">
        <f t="shared" si="56"/>
        <v>0.610108303249097</v>
      </c>
      <c r="H173" s="54">
        <f t="shared" si="57"/>
        <v>2.35502958579882</v>
      </c>
      <c r="I173" s="44">
        <v>4.4</v>
      </c>
      <c r="J173" s="44">
        <v>6.8</v>
      </c>
      <c r="K173" s="18">
        <f t="shared" si="58"/>
        <v>0.0192644483362522</v>
      </c>
      <c r="L173" s="44">
        <v>13.2</v>
      </c>
      <c r="M173" s="44">
        <v>9</v>
      </c>
      <c r="N173" s="18">
        <f t="shared" si="59"/>
        <v>0.0572419774501301</v>
      </c>
      <c r="O173" s="44">
        <v>35.4</v>
      </c>
      <c r="P173" s="44">
        <v>87.8</v>
      </c>
      <c r="Q173" s="18">
        <f t="shared" si="60"/>
        <v>0.114414996767938</v>
      </c>
      <c r="R173" s="44">
        <v>112.8</v>
      </c>
      <c r="S173" s="18">
        <f t="shared" si="61"/>
        <v>0.509025270758123</v>
      </c>
      <c r="T173" s="44">
        <v>12.4</v>
      </c>
      <c r="U173" s="18">
        <f t="shared" si="62"/>
        <v>0.109929078014184</v>
      </c>
      <c r="V173" s="44">
        <v>9</v>
      </c>
      <c r="W173" s="44">
        <v>0</v>
      </c>
      <c r="X173" s="18">
        <f t="shared" si="63"/>
        <v>0.0406137184115523</v>
      </c>
      <c r="Y173" s="44">
        <v>24</v>
      </c>
      <c r="Z173" s="44">
        <v>3.6</v>
      </c>
      <c r="AA173" s="63">
        <f t="shared" si="64"/>
        <v>0.106571936056838</v>
      </c>
    </row>
    <row r="174" customFormat="1" hidden="1" spans="1:27">
      <c r="A174" s="1" t="s">
        <v>96</v>
      </c>
      <c r="B174" s="7" t="s">
        <v>35</v>
      </c>
      <c r="D174">
        <f>'APP拉新-留存'!C173</f>
        <v>131</v>
      </c>
      <c r="E174" s="44">
        <v>164</v>
      </c>
      <c r="F174" s="44">
        <v>124</v>
      </c>
      <c r="G174" s="18">
        <f t="shared" si="56"/>
        <v>0.75609756097561</v>
      </c>
      <c r="H174" s="54">
        <f t="shared" si="57"/>
        <v>2.40322580645161</v>
      </c>
      <c r="I174" s="44">
        <v>2.6</v>
      </c>
      <c r="J174" s="44">
        <v>8.8</v>
      </c>
      <c r="K174" s="18">
        <f t="shared" si="58"/>
        <v>0.0150462962962963</v>
      </c>
      <c r="L174" s="44">
        <v>39.2</v>
      </c>
      <c r="M174" s="44">
        <v>23.8</v>
      </c>
      <c r="N174" s="18">
        <f t="shared" si="59"/>
        <v>0.208732694355698</v>
      </c>
      <c r="O174" s="44">
        <v>21</v>
      </c>
      <c r="P174" s="44">
        <v>52</v>
      </c>
      <c r="Q174" s="18">
        <f t="shared" si="60"/>
        <v>0.0972222222222222</v>
      </c>
      <c r="R174" s="44">
        <v>79.6</v>
      </c>
      <c r="S174" s="18">
        <f t="shared" si="61"/>
        <v>0.485365853658537</v>
      </c>
      <c r="T174" s="44">
        <v>25</v>
      </c>
      <c r="U174" s="18">
        <f t="shared" si="62"/>
        <v>0.314070351758794</v>
      </c>
      <c r="V174" s="44">
        <v>13.2</v>
      </c>
      <c r="W174" s="44">
        <v>0</v>
      </c>
      <c r="X174" s="18">
        <f t="shared" si="63"/>
        <v>0.0804878048780488</v>
      </c>
      <c r="Y174" s="44">
        <v>29</v>
      </c>
      <c r="Z174" s="44">
        <v>3.8</v>
      </c>
      <c r="AA174" s="63">
        <f t="shared" si="64"/>
        <v>0.172824791418355</v>
      </c>
    </row>
    <row r="175" customFormat="1" spans="1:27">
      <c r="A175" s="1" t="s">
        <v>96</v>
      </c>
      <c r="B175" s="7" t="s">
        <v>36</v>
      </c>
      <c r="D175">
        <f>SUM(D173:D174)</f>
        <v>301.2</v>
      </c>
      <c r="E175" s="44">
        <f>SUM(E173:E174)</f>
        <v>385.6</v>
      </c>
      <c r="F175" s="44">
        <f>SUM(F173:F174)</f>
        <v>259.2</v>
      </c>
      <c r="G175" s="18">
        <f t="shared" si="56"/>
        <v>0.672199170124481</v>
      </c>
      <c r="H175" s="54">
        <f t="shared" si="57"/>
        <v>2.37808641975309</v>
      </c>
      <c r="I175" s="44">
        <f>SUM(I173:I174)</f>
        <v>7</v>
      </c>
      <c r="J175" s="44">
        <f>SUM(J173:J174)</f>
        <v>15.6</v>
      </c>
      <c r="K175" s="18">
        <f t="shared" si="58"/>
        <v>0.0174476570289133</v>
      </c>
      <c r="L175" s="44">
        <f>SUM(L173:L174)</f>
        <v>52.4</v>
      </c>
      <c r="M175" s="44">
        <f>SUM(M173:M174)</f>
        <v>32.8</v>
      </c>
      <c r="N175" s="18">
        <f t="shared" si="59"/>
        <v>0.125239005736138</v>
      </c>
      <c r="O175" s="44">
        <f>SUM(O173:O174)</f>
        <v>56.4</v>
      </c>
      <c r="P175" s="44">
        <f>SUM(P173:P174)</f>
        <v>139.8</v>
      </c>
      <c r="Q175" s="18">
        <f t="shared" si="60"/>
        <v>0.107346783403121</v>
      </c>
      <c r="R175" s="44">
        <f>SUM(R173:R174)</f>
        <v>192.4</v>
      </c>
      <c r="S175" s="18">
        <f t="shared" si="61"/>
        <v>0.49896265560166</v>
      </c>
      <c r="T175" s="44">
        <f>SUM(T173:T174)</f>
        <v>37.4</v>
      </c>
      <c r="U175" s="18">
        <f t="shared" si="62"/>
        <v>0.194386694386694</v>
      </c>
      <c r="V175" s="44">
        <f>SUM(V173:V174)</f>
        <v>22.2</v>
      </c>
      <c r="W175" s="44">
        <f>SUM(W173:W174)</f>
        <v>0</v>
      </c>
      <c r="X175" s="18">
        <f t="shared" si="63"/>
        <v>0.0575726141078838</v>
      </c>
      <c r="Y175" s="44">
        <f>SUM(Y173:Y174)</f>
        <v>53</v>
      </c>
      <c r="Z175" s="44">
        <f>SUM(Z173:Z174)</f>
        <v>7.4</v>
      </c>
      <c r="AA175" s="63">
        <f t="shared" si="64"/>
        <v>0.134860050890585</v>
      </c>
    </row>
    <row r="176" spans="3:4">
      <c r="C176" s="2"/>
      <c r="D176" s="2"/>
    </row>
    <row r="177" spans="3:27">
      <c r="C177" s="2"/>
      <c r="D177" s="2"/>
      <c r="E177" s="64">
        <f>(E175+E172+E169)/(E157+E154+E151)-1</f>
        <v>-0.090198968312454</v>
      </c>
      <c r="G177" s="64">
        <f>(G175+G172+G169)/(G157+G154+G151)-1</f>
        <v>0.111832710242191</v>
      </c>
      <c r="K177" s="64">
        <f>(K175+K172+K169)/(K157+K154+K151)-1</f>
        <v>-0.0935907868968419</v>
      </c>
      <c r="N177" s="64">
        <f t="shared" ref="N177:S177" si="65">(N175+N172+N169)/(N157+N154+N151)-1</f>
        <v>0.0364999167700104</v>
      </c>
      <c r="Q177" s="64">
        <f t="shared" si="65"/>
        <v>0.118130694524483</v>
      </c>
      <c r="S177" s="64">
        <f t="shared" si="65"/>
        <v>0.191957978929378</v>
      </c>
      <c r="U177" s="64">
        <f>(U175+U172+U169)/(U157+U154+U151)-1</f>
        <v>-0.152454075460857</v>
      </c>
      <c r="X177" s="64">
        <f>(X175+X172+X169)/(X157+X154+X151)-1</f>
        <v>-0.342532831471845</v>
      </c>
      <c r="AA177" s="64">
        <f>(AA175+AA172+AA169)/(AA157+AA154+AA151)-1</f>
        <v>-0.0529065574533487</v>
      </c>
    </row>
    <row r="178" spans="3:20">
      <c r="C178" s="2"/>
      <c r="D178" s="2"/>
      <c r="I178" s="64">
        <f>SUM(I169:I175)/SUM(F169:F175)</f>
        <v>0.029936587523964</v>
      </c>
      <c r="L178" s="64">
        <f>SUM(L169:L175)/SUM(F169:F175)</f>
        <v>0.200117976699602</v>
      </c>
      <c r="O178" s="64">
        <f>SUM(O169:O175)/SUM(F169:F175)</f>
        <v>0.210440937914762</v>
      </c>
      <c r="R178" s="64">
        <f>SUM(R169:R175)/SUM(F169:F175)</f>
        <v>0.75741041144374</v>
      </c>
      <c r="T178" s="64">
        <f>SUM(T169:T175)/SUM(F169:F175)</f>
        <v>0.153369709482377</v>
      </c>
    </row>
    <row r="179" spans="3:4">
      <c r="C179" s="2"/>
      <c r="D179" s="2"/>
    </row>
    <row r="180" spans="3:4">
      <c r="C180" s="2"/>
      <c r="D180" s="2"/>
    </row>
    <row r="181" spans="3:4">
      <c r="C181" s="2"/>
      <c r="D181" s="2"/>
    </row>
    <row r="182" spans="3:4">
      <c r="C182" s="2"/>
      <c r="D182" s="2"/>
    </row>
    <row r="183" spans="3:4">
      <c r="C183" s="2"/>
      <c r="D183" s="2"/>
    </row>
    <row r="184" spans="3:4">
      <c r="C184" s="2"/>
      <c r="D184" s="2"/>
    </row>
    <row r="185" spans="3:4">
      <c r="C185" s="2"/>
      <c r="D185" s="2"/>
    </row>
    <row r="186" spans="3:4">
      <c r="C186" s="2"/>
      <c r="D186" s="2"/>
    </row>
    <row r="187" spans="3:4">
      <c r="C187" s="2"/>
      <c r="D187" s="2"/>
    </row>
    <row r="188" spans="3:4">
      <c r="C188" s="2"/>
      <c r="D188" s="2"/>
    </row>
    <row r="189" spans="3:4">
      <c r="C189" s="2"/>
      <c r="D189" s="2"/>
    </row>
    <row r="190" spans="3:4">
      <c r="C190" s="2"/>
      <c r="D190" s="2"/>
    </row>
    <row r="191" spans="3:4">
      <c r="C191" s="2"/>
      <c r="D191" s="2"/>
    </row>
    <row r="192" spans="3:4">
      <c r="C192" s="2"/>
      <c r="D192" s="2"/>
    </row>
    <row r="193" spans="3:4">
      <c r="C193" s="2"/>
      <c r="D193" s="2"/>
    </row>
    <row r="194" spans="3:4">
      <c r="C194" s="2"/>
      <c r="D194" s="2"/>
    </row>
    <row r="195" spans="3:4">
      <c r="C195" s="2"/>
      <c r="D195" s="2"/>
    </row>
    <row r="196" spans="3:4">
      <c r="C196" s="2"/>
      <c r="D196" s="2"/>
    </row>
    <row r="197" spans="3:4">
      <c r="C197" s="2"/>
      <c r="D197" s="2"/>
    </row>
    <row r="198" spans="3:4">
      <c r="C198" s="2"/>
      <c r="D198" s="2"/>
    </row>
    <row r="199" spans="3:4">
      <c r="C199" s="2"/>
      <c r="D199" s="2"/>
    </row>
    <row r="200" spans="3:4">
      <c r="C200" s="2"/>
      <c r="D200" s="2"/>
    </row>
    <row r="201" spans="3:4">
      <c r="C201" s="2"/>
      <c r="D201" s="2"/>
    </row>
    <row r="202" spans="3:4">
      <c r="C202" s="2"/>
      <c r="D202" s="2"/>
    </row>
    <row r="203" spans="3:4">
      <c r="C203" s="2"/>
      <c r="D203" s="2"/>
    </row>
    <row r="204" spans="3:4">
      <c r="C204" s="2"/>
      <c r="D204" s="2"/>
    </row>
    <row r="205" spans="3:4">
      <c r="C205" s="2"/>
      <c r="D205" s="2"/>
    </row>
    <row r="206" spans="3:4">
      <c r="C206" s="2"/>
      <c r="D206" s="2"/>
    </row>
    <row r="207" spans="3:4">
      <c r="C207" s="2"/>
      <c r="D207" s="2"/>
    </row>
    <row r="208" spans="3:4">
      <c r="C208" s="2"/>
      <c r="D208" s="2"/>
    </row>
    <row r="209" spans="3:4">
      <c r="C209" s="2"/>
      <c r="D209" s="2"/>
    </row>
    <row r="210" spans="3:4">
      <c r="C210" s="2"/>
      <c r="D210" s="2"/>
    </row>
    <row r="211" spans="3:4">
      <c r="C211" s="2"/>
      <c r="D211" s="2"/>
    </row>
    <row r="212" spans="3:4">
      <c r="C212" s="2"/>
      <c r="D212" s="2"/>
    </row>
    <row r="213" spans="3:4">
      <c r="C213" s="2"/>
      <c r="D213" s="2"/>
    </row>
    <row r="214" spans="3:4">
      <c r="C214" s="2"/>
      <c r="D214" s="2"/>
    </row>
    <row r="215" spans="3:4">
      <c r="C215" s="2"/>
      <c r="D215" s="2"/>
    </row>
    <row r="216" spans="3:4">
      <c r="C216" s="2"/>
      <c r="D216" s="2"/>
    </row>
    <row r="217" spans="3:4">
      <c r="C217" s="2"/>
      <c r="D217" s="2"/>
    </row>
    <row r="218" spans="3:4">
      <c r="C218" s="2"/>
      <c r="D218" s="2"/>
    </row>
    <row r="219" spans="3:4">
      <c r="C219" s="2"/>
      <c r="D219" s="2"/>
    </row>
    <row r="220" spans="3:4">
      <c r="C220" s="2"/>
      <c r="D220" s="2"/>
    </row>
    <row r="221" spans="3:4">
      <c r="C221" s="2"/>
      <c r="D221" s="2"/>
    </row>
    <row r="222" spans="3:4">
      <c r="C222" s="2"/>
      <c r="D222" s="2"/>
    </row>
    <row r="223" spans="3:4">
      <c r="C223" s="2"/>
      <c r="D223" s="2"/>
    </row>
    <row r="224" spans="3:4">
      <c r="C224" s="2"/>
      <c r="D224" s="2"/>
    </row>
    <row r="225" spans="3:4">
      <c r="C225" s="2"/>
      <c r="D225" s="2"/>
    </row>
    <row r="226" spans="3:4">
      <c r="C226" s="2"/>
      <c r="D226" s="2"/>
    </row>
    <row r="227" spans="3:4">
      <c r="C227" s="2"/>
      <c r="D227" s="2"/>
    </row>
    <row r="228" spans="3:4">
      <c r="C228" s="2"/>
      <c r="D228" s="2"/>
    </row>
    <row r="229" spans="3:4">
      <c r="C229" s="2"/>
      <c r="D229" s="2"/>
    </row>
    <row r="230" spans="3:4">
      <c r="C230" s="2"/>
      <c r="D230" s="2"/>
    </row>
    <row r="231" spans="3:4">
      <c r="C231" s="2"/>
      <c r="D231" s="2"/>
    </row>
    <row r="232" spans="3:4">
      <c r="C232" s="2"/>
      <c r="D232" s="2"/>
    </row>
    <row r="233" spans="3:4">
      <c r="C233" s="2"/>
      <c r="D233" s="2"/>
    </row>
    <row r="234" spans="3:4">
      <c r="C234" s="2"/>
      <c r="D234" s="2"/>
    </row>
    <row r="235" spans="3:4">
      <c r="C235" s="2"/>
      <c r="D235" s="2"/>
    </row>
    <row r="236" spans="3:4">
      <c r="C236" s="2"/>
      <c r="D236" s="2"/>
    </row>
    <row r="237" spans="3:4">
      <c r="C237" s="2"/>
      <c r="D237" s="2"/>
    </row>
    <row r="238" spans="3:4">
      <c r="C238" s="2"/>
      <c r="D238" s="2"/>
    </row>
    <row r="239" spans="3:4">
      <c r="C239" s="2"/>
      <c r="D239" s="2"/>
    </row>
    <row r="240" spans="3:4">
      <c r="C240" s="2"/>
      <c r="D240" s="2"/>
    </row>
    <row r="241" spans="3:4">
      <c r="C241" s="2"/>
      <c r="D241" s="2"/>
    </row>
    <row r="242" spans="3:4">
      <c r="C242" s="2"/>
      <c r="D242" s="2"/>
    </row>
    <row r="243" spans="3:4">
      <c r="C243" s="2"/>
      <c r="D243" s="2"/>
    </row>
    <row r="244" spans="3:4">
      <c r="C244" s="2"/>
      <c r="D244" s="2"/>
    </row>
    <row r="245" spans="3:4">
      <c r="C245" s="2"/>
      <c r="D245" s="2"/>
    </row>
    <row r="246" spans="3:4">
      <c r="C246" s="2"/>
      <c r="D246" s="2"/>
    </row>
    <row r="247" spans="3:4">
      <c r="C247" s="2"/>
      <c r="D247" s="2"/>
    </row>
    <row r="248" spans="3:4">
      <c r="C248" s="2"/>
      <c r="D248" s="2"/>
    </row>
    <row r="249" spans="3:4">
      <c r="C249" s="2"/>
      <c r="D249" s="2"/>
    </row>
    <row r="250" spans="3:4">
      <c r="C250" s="2"/>
      <c r="D250" s="2"/>
    </row>
    <row r="251" spans="3:4">
      <c r="C251" s="2"/>
      <c r="D251" s="2"/>
    </row>
    <row r="252" spans="3:4">
      <c r="C252" s="2"/>
      <c r="D252" s="2"/>
    </row>
    <row r="253" spans="3:4">
      <c r="C253" s="2"/>
      <c r="D253" s="2"/>
    </row>
    <row r="254" spans="3:4">
      <c r="C254" s="2"/>
      <c r="D254" s="2"/>
    </row>
    <row r="255" spans="3:4">
      <c r="C255" s="2"/>
      <c r="D255" s="2"/>
    </row>
    <row r="256" spans="3:4">
      <c r="C256" s="2"/>
      <c r="D256" s="2"/>
    </row>
    <row r="257" spans="3:4">
      <c r="C257" s="2"/>
      <c r="D257" s="2"/>
    </row>
    <row r="258" spans="3:4">
      <c r="C258" s="2"/>
      <c r="D258" s="2"/>
    </row>
    <row r="259" spans="3:4">
      <c r="C259" s="2"/>
      <c r="D259" s="2"/>
    </row>
    <row r="260" spans="3:4">
      <c r="C260" s="2"/>
      <c r="D260" s="2"/>
    </row>
    <row r="261" spans="3:4">
      <c r="C261" s="2"/>
      <c r="D261" s="2"/>
    </row>
    <row r="262" spans="3:4">
      <c r="C262" s="2"/>
      <c r="D262" s="2"/>
    </row>
    <row r="263" spans="3:4">
      <c r="C263" s="2"/>
      <c r="D263" s="2"/>
    </row>
    <row r="264" spans="3:4">
      <c r="C264" s="2"/>
      <c r="D264" s="2"/>
    </row>
    <row r="265" spans="3:4">
      <c r="C265" s="2"/>
      <c r="D265" s="2"/>
    </row>
    <row r="266" spans="3:4">
      <c r="C266" s="2"/>
      <c r="D266" s="2"/>
    </row>
    <row r="267" spans="3:4">
      <c r="C267" s="2"/>
      <c r="D267" s="2"/>
    </row>
    <row r="268" spans="3:4">
      <c r="C268" s="2"/>
      <c r="D268" s="2"/>
    </row>
    <row r="269" spans="3:4">
      <c r="C269" s="2"/>
      <c r="D269" s="2"/>
    </row>
    <row r="270" spans="3:4">
      <c r="C270" s="2"/>
      <c r="D270" s="2"/>
    </row>
    <row r="271" spans="3:4">
      <c r="C271" s="2"/>
      <c r="D271" s="2"/>
    </row>
    <row r="272" spans="3:4">
      <c r="C272" s="2"/>
      <c r="D272" s="2"/>
    </row>
    <row r="273" spans="3:4">
      <c r="C273" s="2"/>
      <c r="D273" s="2"/>
    </row>
    <row r="274" spans="3:4">
      <c r="C274" s="2"/>
      <c r="D274" s="2"/>
    </row>
    <row r="275" spans="3:4">
      <c r="C275" s="2"/>
      <c r="D275" s="2"/>
    </row>
    <row r="276" spans="3:4">
      <c r="C276" s="2"/>
      <c r="D276" s="2"/>
    </row>
    <row r="277" spans="3:4">
      <c r="C277" s="2"/>
      <c r="D277" s="2"/>
    </row>
    <row r="278" spans="3:4">
      <c r="C278" s="2"/>
      <c r="D278" s="2"/>
    </row>
    <row r="279" spans="3:4">
      <c r="C279" s="2"/>
      <c r="D279" s="2"/>
    </row>
    <row r="280" spans="3:4">
      <c r="C280" s="2"/>
      <c r="D280" s="2"/>
    </row>
    <row r="281" spans="3:4">
      <c r="C281" s="2"/>
      <c r="D281" s="2"/>
    </row>
    <row r="282" spans="3:4">
      <c r="C282" s="2"/>
      <c r="D282" s="2"/>
    </row>
    <row r="283" spans="3:4">
      <c r="C283" s="2"/>
      <c r="D283" s="2"/>
    </row>
    <row r="284" spans="3:4">
      <c r="C284" s="2"/>
      <c r="D284" s="2"/>
    </row>
    <row r="285" spans="3:4">
      <c r="C285" s="2"/>
      <c r="D285" s="2"/>
    </row>
    <row r="286" spans="3:4">
      <c r="C286" s="2"/>
      <c r="D286" s="2"/>
    </row>
    <row r="287" spans="3:4">
      <c r="C287" s="2"/>
      <c r="D287" s="2"/>
    </row>
    <row r="288" spans="3:4">
      <c r="C288" s="2"/>
      <c r="D288" s="2"/>
    </row>
    <row r="289" spans="3:4">
      <c r="C289" s="2"/>
      <c r="D289" s="2"/>
    </row>
    <row r="290" spans="3:4">
      <c r="C290" s="2"/>
      <c r="D290" s="2"/>
    </row>
    <row r="291" spans="3:4">
      <c r="C291" s="2"/>
      <c r="D291" s="2"/>
    </row>
    <row r="292" spans="3:4">
      <c r="C292" s="2"/>
      <c r="D292" s="2"/>
    </row>
    <row r="293" spans="3:4">
      <c r="C293" s="2"/>
      <c r="D293" s="2"/>
    </row>
    <row r="294" spans="3:4">
      <c r="C294" s="2"/>
      <c r="D294" s="2"/>
    </row>
    <row r="295" spans="3:4">
      <c r="C295" s="2"/>
      <c r="D295" s="2"/>
    </row>
    <row r="296" spans="3:4">
      <c r="C296" s="2"/>
      <c r="D296" s="2"/>
    </row>
    <row r="297" spans="3:4">
      <c r="C297" s="2"/>
      <c r="D297" s="2"/>
    </row>
    <row r="298" spans="3:4">
      <c r="C298" s="2"/>
      <c r="D298" s="2"/>
    </row>
    <row r="299" spans="3:4">
      <c r="C299" s="2"/>
      <c r="D299" s="2"/>
    </row>
    <row r="300" spans="3:4">
      <c r="C300" s="2"/>
      <c r="D300" s="2"/>
    </row>
    <row r="301" spans="3:4">
      <c r="C301" s="2"/>
      <c r="D301" s="2"/>
    </row>
    <row r="302" spans="3:4">
      <c r="C302" s="2"/>
      <c r="D302" s="2"/>
    </row>
    <row r="303" spans="3:4">
      <c r="C303" s="2"/>
      <c r="D303" s="2"/>
    </row>
    <row r="304" spans="3:4">
      <c r="C304" s="2"/>
      <c r="D304" s="2"/>
    </row>
    <row r="305" spans="3:4">
      <c r="C305" s="2"/>
      <c r="D305" s="2"/>
    </row>
    <row r="306" spans="3:4">
      <c r="C306" s="2"/>
      <c r="D306" s="2"/>
    </row>
    <row r="307" spans="3:4">
      <c r="C307" s="2"/>
      <c r="D307" s="2"/>
    </row>
    <row r="308" spans="3:4">
      <c r="C308" s="2"/>
      <c r="D308" s="2"/>
    </row>
    <row r="309" spans="3:4">
      <c r="C309" s="2"/>
      <c r="D309" s="2"/>
    </row>
    <row r="310" spans="3:4">
      <c r="C310" s="2"/>
      <c r="D310" s="2"/>
    </row>
    <row r="311" spans="3:4">
      <c r="C311" s="2"/>
      <c r="D311" s="2"/>
    </row>
    <row r="312" spans="3:4">
      <c r="C312" s="2"/>
      <c r="D312" s="2"/>
    </row>
    <row r="313" spans="3:4">
      <c r="C313" s="2"/>
      <c r="D313" s="2"/>
    </row>
    <row r="314" spans="3:4">
      <c r="C314" s="2"/>
      <c r="D314" s="2"/>
    </row>
    <row r="315" spans="3:4">
      <c r="C315" s="2"/>
      <c r="D315" s="2"/>
    </row>
    <row r="316" spans="3:4">
      <c r="C316" s="2"/>
      <c r="D316" s="2"/>
    </row>
    <row r="317" spans="3:4">
      <c r="C317" s="2"/>
      <c r="D317" s="2"/>
    </row>
    <row r="318" spans="3:4">
      <c r="C318" s="2"/>
      <c r="D318" s="2"/>
    </row>
    <row r="319" spans="3:4">
      <c r="C319" s="2"/>
      <c r="D319" s="2"/>
    </row>
    <row r="320" spans="3:4">
      <c r="C320" s="2"/>
      <c r="D320" s="2"/>
    </row>
    <row r="321" spans="3:4">
      <c r="C321" s="2"/>
      <c r="D321" s="2"/>
    </row>
    <row r="322" spans="3:4">
      <c r="C322" s="2"/>
      <c r="D322" s="2"/>
    </row>
    <row r="323" spans="3:4">
      <c r="C323" s="2"/>
      <c r="D323" s="2"/>
    </row>
    <row r="324" spans="3:4">
      <c r="C324" s="2"/>
      <c r="D324" s="2"/>
    </row>
    <row r="325" spans="3:4">
      <c r="C325" s="2"/>
      <c r="D325" s="2"/>
    </row>
    <row r="326" spans="3:4">
      <c r="C326" s="2"/>
      <c r="D326" s="2"/>
    </row>
    <row r="327" spans="3:4">
      <c r="C327" s="2"/>
      <c r="D327" s="2"/>
    </row>
    <row r="328" spans="3:4">
      <c r="C328" s="2"/>
      <c r="D328" s="2"/>
    </row>
    <row r="329" spans="3:4">
      <c r="C329" s="2"/>
      <c r="D329" s="2"/>
    </row>
    <row r="330" spans="3:4">
      <c r="C330" s="2"/>
      <c r="D330" s="2"/>
    </row>
    <row r="331" spans="3:4">
      <c r="C331" s="2"/>
      <c r="D331" s="2"/>
    </row>
    <row r="332" spans="3:4">
      <c r="C332" s="2"/>
      <c r="D332" s="2"/>
    </row>
    <row r="333" spans="3:4">
      <c r="C333" s="2"/>
      <c r="D333" s="2"/>
    </row>
    <row r="334" spans="3:4">
      <c r="C334" s="2"/>
      <c r="D334" s="2"/>
    </row>
    <row r="335" spans="3:4">
      <c r="C335" s="2"/>
      <c r="D335" s="2"/>
    </row>
    <row r="336" spans="3:4">
      <c r="C336" s="2"/>
      <c r="D336" s="2"/>
    </row>
    <row r="337" spans="3:4">
      <c r="C337" s="2"/>
      <c r="D337" s="2"/>
    </row>
    <row r="338" spans="3:4">
      <c r="C338" s="2"/>
      <c r="D338" s="2"/>
    </row>
    <row r="339" spans="3:4">
      <c r="C339" s="2"/>
      <c r="D339" s="2"/>
    </row>
    <row r="340" spans="3:4">
      <c r="C340" s="2"/>
      <c r="D340" s="2"/>
    </row>
    <row r="341" spans="3:4">
      <c r="C341" s="2"/>
      <c r="D341" s="2"/>
    </row>
    <row r="342" spans="3:4">
      <c r="C342" s="2"/>
      <c r="D342" s="2"/>
    </row>
    <row r="343" spans="3:4">
      <c r="C343" s="2"/>
      <c r="D343" s="2"/>
    </row>
    <row r="344" spans="3:4">
      <c r="C344" s="2"/>
      <c r="D344" s="2"/>
    </row>
    <row r="345" spans="3:4">
      <c r="C345" s="2"/>
      <c r="D345" s="2"/>
    </row>
    <row r="346" spans="3:4">
      <c r="C346" s="2"/>
      <c r="D346" s="2"/>
    </row>
    <row r="347" spans="3:4">
      <c r="C347" s="2"/>
      <c r="D347" s="2"/>
    </row>
    <row r="348" spans="3:4">
      <c r="C348" s="2"/>
      <c r="D348" s="2"/>
    </row>
    <row r="349" spans="3:4">
      <c r="C349" s="2"/>
      <c r="D349" s="2"/>
    </row>
    <row r="350" spans="3:4">
      <c r="C350" s="2"/>
      <c r="D350" s="2"/>
    </row>
    <row r="351" spans="3:4">
      <c r="C351" s="2"/>
      <c r="D351" s="2"/>
    </row>
    <row r="352" spans="3:4">
      <c r="C352" s="2"/>
      <c r="D352" s="2"/>
    </row>
    <row r="353" spans="3:4">
      <c r="C353" s="2"/>
      <c r="D353" s="2"/>
    </row>
    <row r="354" spans="3:4">
      <c r="C354" s="2"/>
      <c r="D354" s="2"/>
    </row>
    <row r="355" spans="3:4">
      <c r="C355" s="2"/>
      <c r="D355" s="2"/>
    </row>
    <row r="356" spans="3:4">
      <c r="C356" s="2"/>
      <c r="D356" s="2"/>
    </row>
    <row r="357" spans="3:4">
      <c r="C357" s="2"/>
      <c r="D357" s="2"/>
    </row>
    <row r="358" spans="3:4">
      <c r="C358" s="2"/>
      <c r="D358" s="2"/>
    </row>
    <row r="359" spans="3:4">
      <c r="C359" s="2"/>
      <c r="D359" s="2"/>
    </row>
    <row r="360" spans="3:4">
      <c r="C360" s="2"/>
      <c r="D360" s="2"/>
    </row>
    <row r="361" spans="3:4">
      <c r="C361" s="2"/>
      <c r="D361" s="2"/>
    </row>
    <row r="362" spans="3:4">
      <c r="C362" s="2"/>
      <c r="D362" s="2"/>
    </row>
    <row r="363" spans="3:4">
      <c r="C363" s="2"/>
      <c r="D363" s="2"/>
    </row>
    <row r="364" spans="3:4">
      <c r="C364" s="2"/>
      <c r="D364" s="2"/>
    </row>
    <row r="365" spans="3:4">
      <c r="C365" s="2"/>
      <c r="D365" s="2"/>
    </row>
    <row r="366" spans="3:4">
      <c r="C366" s="2"/>
      <c r="D366" s="2"/>
    </row>
    <row r="367" spans="3:4">
      <c r="C367" s="2"/>
      <c r="D367" s="2"/>
    </row>
    <row r="368" spans="3:4">
      <c r="C368" s="2"/>
      <c r="D368" s="2"/>
    </row>
    <row r="369" spans="3:4">
      <c r="C369" s="2"/>
      <c r="D369" s="2"/>
    </row>
    <row r="370" spans="3:4">
      <c r="C370" s="2"/>
      <c r="D370" s="2"/>
    </row>
    <row r="371" spans="3:4">
      <c r="C371" s="2"/>
      <c r="D371" s="2"/>
    </row>
    <row r="372" spans="3:4">
      <c r="C372" s="2"/>
      <c r="D372" s="2"/>
    </row>
    <row r="373" spans="3:4">
      <c r="C373" s="2"/>
      <c r="D373" s="2"/>
    </row>
    <row r="374" spans="3:4">
      <c r="C374" s="2"/>
      <c r="D374" s="2"/>
    </row>
    <row r="375" spans="3:4">
      <c r="C375" s="2"/>
      <c r="D375" s="2"/>
    </row>
    <row r="376" spans="3:4">
      <c r="C376" s="2"/>
      <c r="D376" s="2"/>
    </row>
    <row r="377" spans="3:4">
      <c r="C377" s="2"/>
      <c r="D377" s="2"/>
    </row>
    <row r="378" spans="3:4">
      <c r="C378" s="2"/>
      <c r="D378" s="2"/>
    </row>
    <row r="379" spans="3:4">
      <c r="C379" s="2"/>
      <c r="D379" s="2"/>
    </row>
    <row r="380" spans="3:4">
      <c r="C380" s="2"/>
      <c r="D380" s="2"/>
    </row>
    <row r="381" spans="3:4">
      <c r="C381" s="2"/>
      <c r="D381" s="2"/>
    </row>
    <row r="382" spans="3:4">
      <c r="C382" s="2"/>
      <c r="D382" s="2"/>
    </row>
    <row r="383" spans="3:4">
      <c r="C383" s="2"/>
      <c r="D383" s="2"/>
    </row>
    <row r="384" spans="3:4">
      <c r="C384" s="2"/>
      <c r="D384" s="2"/>
    </row>
    <row r="385" spans="3:4">
      <c r="C385" s="2"/>
      <c r="D385" s="2"/>
    </row>
    <row r="386" spans="3:4">
      <c r="C386" s="2"/>
      <c r="D386" s="2"/>
    </row>
    <row r="387" spans="3:4">
      <c r="C387" s="2"/>
      <c r="D387" s="2"/>
    </row>
    <row r="388" spans="3:4">
      <c r="C388" s="2"/>
      <c r="D388" s="2"/>
    </row>
    <row r="389" spans="3:4">
      <c r="C389" s="2"/>
      <c r="D389" s="2"/>
    </row>
    <row r="390" spans="3:4">
      <c r="C390" s="2"/>
      <c r="D390" s="2"/>
    </row>
    <row r="391" spans="3:4">
      <c r="C391" s="2"/>
      <c r="D391" s="2"/>
    </row>
    <row r="392" spans="3:4">
      <c r="C392" s="2"/>
      <c r="D392" s="2"/>
    </row>
    <row r="393" spans="3:4">
      <c r="C393" s="2"/>
      <c r="D393" s="2"/>
    </row>
    <row r="394" spans="3:4">
      <c r="C394" s="2"/>
      <c r="D394" s="2"/>
    </row>
    <row r="395" spans="3:4">
      <c r="C395" s="2"/>
      <c r="D395" s="2"/>
    </row>
    <row r="396" spans="3:4">
      <c r="C396" s="2"/>
      <c r="D396" s="2"/>
    </row>
    <row r="397" spans="3:4">
      <c r="C397" s="2"/>
      <c r="D397" s="2"/>
    </row>
    <row r="398" spans="3:4">
      <c r="C398" s="2"/>
      <c r="D398" s="2"/>
    </row>
    <row r="399" spans="3:4">
      <c r="C399" s="2"/>
      <c r="D399" s="2"/>
    </row>
    <row r="400" spans="3:4">
      <c r="C400" s="2"/>
      <c r="D400" s="2"/>
    </row>
    <row r="401" spans="3:4">
      <c r="C401" s="2"/>
      <c r="D401" s="2"/>
    </row>
    <row r="402" spans="3:4">
      <c r="C402" s="2"/>
      <c r="D402" s="2"/>
    </row>
    <row r="403" spans="3:4">
      <c r="C403" s="2"/>
      <c r="D403" s="2"/>
    </row>
    <row r="404" spans="3:4">
      <c r="C404" s="2"/>
      <c r="D404" s="2"/>
    </row>
    <row r="405" spans="3:4">
      <c r="C405" s="2"/>
      <c r="D405" s="2"/>
    </row>
    <row r="406" spans="3:4">
      <c r="C406" s="2"/>
      <c r="D406" s="2"/>
    </row>
    <row r="407" spans="3:4">
      <c r="C407" s="2"/>
      <c r="D407" s="2"/>
    </row>
    <row r="408" spans="3:4">
      <c r="C408" s="2"/>
      <c r="D408" s="2"/>
    </row>
    <row r="409" spans="3:4">
      <c r="C409" s="2"/>
      <c r="D409" s="2"/>
    </row>
    <row r="410" spans="3:4">
      <c r="C410" s="2"/>
      <c r="D410" s="2"/>
    </row>
    <row r="411" spans="3:4">
      <c r="C411" s="2"/>
      <c r="D411" s="2"/>
    </row>
    <row r="412" spans="3:4">
      <c r="C412" s="2"/>
      <c r="D412" s="2"/>
    </row>
    <row r="413" spans="3:4">
      <c r="C413" s="2"/>
      <c r="D413" s="2"/>
    </row>
    <row r="414" spans="3:4">
      <c r="C414" s="2"/>
      <c r="D414" s="2"/>
    </row>
    <row r="415" spans="3:4">
      <c r="C415" s="2"/>
      <c r="D415" s="2"/>
    </row>
    <row r="416" spans="3:4">
      <c r="C416" s="2"/>
      <c r="D416" s="2"/>
    </row>
    <row r="417" spans="3:4">
      <c r="C417" s="2"/>
      <c r="D417" s="2"/>
    </row>
    <row r="418" spans="3:4">
      <c r="C418" s="2"/>
      <c r="D418" s="2"/>
    </row>
    <row r="419" spans="3:4">
      <c r="C419" s="2"/>
      <c r="D419" s="2"/>
    </row>
    <row r="420" spans="3:4">
      <c r="C420" s="2"/>
      <c r="D420" s="2"/>
    </row>
    <row r="421" spans="3:4">
      <c r="C421" s="2"/>
      <c r="D421" s="2"/>
    </row>
    <row r="422" spans="3:4">
      <c r="C422" s="2"/>
      <c r="D422" s="2"/>
    </row>
    <row r="423" spans="3:4">
      <c r="C423" s="2"/>
      <c r="D423" s="2"/>
    </row>
    <row r="424" spans="3:4">
      <c r="C424" s="2"/>
      <c r="D424" s="2"/>
    </row>
    <row r="425" spans="3:4">
      <c r="C425" s="2"/>
      <c r="D425" s="2"/>
    </row>
    <row r="426" spans="3:4">
      <c r="C426" s="2"/>
      <c r="D426" s="2"/>
    </row>
    <row r="427" spans="3:4">
      <c r="C427" s="2"/>
      <c r="D427" s="2"/>
    </row>
    <row r="428" spans="3:4">
      <c r="C428" s="2"/>
      <c r="D428" s="2"/>
    </row>
    <row r="429" spans="3:4">
      <c r="C429" s="2"/>
      <c r="D429" s="2"/>
    </row>
    <row r="430" spans="3:4">
      <c r="C430" s="2"/>
      <c r="D430" s="2"/>
    </row>
    <row r="431" spans="3:4">
      <c r="C431" s="2"/>
      <c r="D431" s="2"/>
    </row>
    <row r="432" spans="3:4">
      <c r="C432" s="2"/>
      <c r="D432" s="2"/>
    </row>
    <row r="433" spans="3:4">
      <c r="C433" s="2"/>
      <c r="D433" s="2"/>
    </row>
    <row r="434" spans="3:4">
      <c r="C434" s="2"/>
      <c r="D434" s="2"/>
    </row>
    <row r="435" spans="3:4">
      <c r="C435" s="2"/>
      <c r="D435" s="2"/>
    </row>
    <row r="436" spans="3:4">
      <c r="C436" s="2"/>
      <c r="D436" s="2"/>
    </row>
    <row r="437" spans="3:4">
      <c r="C437" s="2"/>
      <c r="D437" s="2"/>
    </row>
    <row r="438" spans="3:4">
      <c r="C438" s="2"/>
      <c r="D438" s="2"/>
    </row>
    <row r="439" spans="3:4">
      <c r="C439" s="2"/>
      <c r="D439" s="2"/>
    </row>
    <row r="440" spans="3:4">
      <c r="C440" s="2"/>
      <c r="D440" s="2"/>
    </row>
    <row r="441" spans="3:4">
      <c r="C441" s="2"/>
      <c r="D441" s="2"/>
    </row>
    <row r="442" spans="3:4">
      <c r="C442" s="2"/>
      <c r="D442" s="2"/>
    </row>
    <row r="443" spans="3:4">
      <c r="C443" s="2"/>
      <c r="D443" s="2"/>
    </row>
    <row r="444" spans="3:4">
      <c r="C444" s="2"/>
      <c r="D444" s="2"/>
    </row>
    <row r="445" spans="3:4">
      <c r="C445" s="2"/>
      <c r="D445" s="2"/>
    </row>
    <row r="446" spans="3:4">
      <c r="C446" s="2"/>
      <c r="D446" s="2"/>
    </row>
    <row r="447" spans="3:4">
      <c r="C447" s="2"/>
      <c r="D447" s="2"/>
    </row>
    <row r="448" spans="3:4">
      <c r="C448" s="2"/>
      <c r="D448" s="2"/>
    </row>
    <row r="449" spans="3:4">
      <c r="C449" s="2"/>
      <c r="D449" s="2"/>
    </row>
    <row r="450" spans="3:4">
      <c r="C450" s="2"/>
      <c r="D450" s="2"/>
    </row>
    <row r="451" spans="3:4">
      <c r="C451" s="2"/>
      <c r="D451" s="2"/>
    </row>
    <row r="452" spans="3:4">
      <c r="C452" s="2"/>
      <c r="D452" s="2"/>
    </row>
    <row r="453" spans="3:4">
      <c r="C453" s="2"/>
      <c r="D453" s="2"/>
    </row>
    <row r="454" spans="3:4">
      <c r="C454" s="2"/>
      <c r="D454" s="2"/>
    </row>
    <row r="455" spans="3:4">
      <c r="C455" s="2"/>
      <c r="D455" s="2"/>
    </row>
    <row r="456" spans="3:4">
      <c r="C456" s="2"/>
      <c r="D456" s="2"/>
    </row>
    <row r="457" spans="3:4">
      <c r="C457" s="2"/>
      <c r="D457" s="2"/>
    </row>
    <row r="458" spans="3:4">
      <c r="C458" s="2"/>
      <c r="D458" s="2"/>
    </row>
    <row r="459" spans="3:4">
      <c r="C459" s="2"/>
      <c r="D459" s="2"/>
    </row>
    <row r="460" spans="3:4">
      <c r="C460" s="2"/>
      <c r="D460" s="2"/>
    </row>
    <row r="461" spans="3:4">
      <c r="C461" s="2"/>
      <c r="D461" s="2"/>
    </row>
    <row r="462" spans="3:4">
      <c r="C462" s="2"/>
      <c r="D462" s="2"/>
    </row>
    <row r="463" spans="3:4">
      <c r="C463" s="2"/>
      <c r="D463" s="2"/>
    </row>
    <row r="464" spans="3:4">
      <c r="C464" s="2"/>
      <c r="D464" s="2"/>
    </row>
    <row r="465" spans="3:4">
      <c r="C465" s="2"/>
      <c r="D465" s="2"/>
    </row>
    <row r="466" spans="3:4">
      <c r="C466" s="2"/>
      <c r="D466" s="2"/>
    </row>
    <row r="467" spans="3:4">
      <c r="C467" s="2"/>
      <c r="D467" s="2"/>
    </row>
    <row r="468" spans="3:4">
      <c r="C468" s="2"/>
      <c r="D468" s="2"/>
    </row>
    <row r="469" spans="3:4">
      <c r="C469" s="2"/>
      <c r="D469" s="2"/>
    </row>
    <row r="470" spans="3:4">
      <c r="C470" s="2"/>
      <c r="D470" s="2"/>
    </row>
    <row r="471" spans="3:4">
      <c r="C471" s="2"/>
      <c r="D471" s="2"/>
    </row>
    <row r="472" spans="3:4">
      <c r="C472" s="2"/>
      <c r="D472" s="2"/>
    </row>
    <row r="473" spans="3:4">
      <c r="C473" s="2"/>
      <c r="D473" s="2"/>
    </row>
    <row r="474" spans="3:4">
      <c r="C474" s="2"/>
      <c r="D474" s="2"/>
    </row>
    <row r="475" spans="3:4">
      <c r="C475" s="2"/>
      <c r="D475" s="2"/>
    </row>
    <row r="476" spans="3:4">
      <c r="C476" s="2"/>
      <c r="D476" s="2"/>
    </row>
    <row r="477" spans="3:4">
      <c r="C477" s="2"/>
      <c r="D477" s="2"/>
    </row>
    <row r="478" spans="3:4">
      <c r="C478" s="2"/>
      <c r="D478" s="2"/>
    </row>
    <row r="479" spans="3:4">
      <c r="C479" s="2"/>
      <c r="D479" s="2"/>
    </row>
    <row r="480" spans="3:4">
      <c r="C480" s="2"/>
      <c r="D480" s="2"/>
    </row>
    <row r="481" spans="3:4">
      <c r="C481" s="2"/>
      <c r="D481" s="2"/>
    </row>
    <row r="482" spans="3:4">
      <c r="C482" s="2"/>
      <c r="D482" s="2"/>
    </row>
    <row r="483" spans="3:4">
      <c r="C483" s="2"/>
      <c r="D483" s="2"/>
    </row>
    <row r="484" spans="3:4">
      <c r="C484" s="2"/>
      <c r="D484" s="2"/>
    </row>
    <row r="485" spans="3:4">
      <c r="C485" s="2"/>
      <c r="D485" s="2"/>
    </row>
    <row r="486" spans="3:4">
      <c r="C486" s="2"/>
      <c r="D486" s="2"/>
    </row>
    <row r="487" spans="3:4">
      <c r="C487" s="2"/>
      <c r="D487" s="2"/>
    </row>
    <row r="488" spans="3:4">
      <c r="C488" s="2"/>
      <c r="D488" s="2"/>
    </row>
    <row r="489" spans="3:4">
      <c r="C489" s="2"/>
      <c r="D489" s="2"/>
    </row>
    <row r="490" spans="3:4">
      <c r="C490" s="2"/>
      <c r="D490" s="2"/>
    </row>
    <row r="491" spans="3:4">
      <c r="C491" s="2"/>
      <c r="D491" s="2"/>
    </row>
    <row r="492" spans="3:4">
      <c r="C492" s="2"/>
      <c r="D492" s="2"/>
    </row>
    <row r="493" spans="3:4">
      <c r="C493" s="2"/>
      <c r="D493" s="2"/>
    </row>
    <row r="494" spans="3:4">
      <c r="C494" s="2"/>
      <c r="D494" s="2"/>
    </row>
    <row r="495" spans="3:4">
      <c r="C495" s="2"/>
      <c r="D495" s="2"/>
    </row>
    <row r="496" spans="3:4">
      <c r="C496" s="2"/>
      <c r="D496" s="2"/>
    </row>
    <row r="497" spans="3:4">
      <c r="C497" s="2"/>
      <c r="D497" s="2"/>
    </row>
    <row r="498" spans="3:4">
      <c r="C498" s="2"/>
      <c r="D498" s="2"/>
    </row>
    <row r="499" spans="3:4">
      <c r="C499" s="2"/>
      <c r="D499" s="2"/>
    </row>
    <row r="500" spans="3:4">
      <c r="C500" s="2"/>
      <c r="D500" s="2"/>
    </row>
    <row r="501" spans="3:4">
      <c r="C501" s="2"/>
      <c r="D501" s="2"/>
    </row>
    <row r="502" spans="3:4">
      <c r="C502" s="2"/>
      <c r="D502" s="2"/>
    </row>
    <row r="503" spans="3:4">
      <c r="C503" s="2"/>
      <c r="D503" s="2"/>
    </row>
    <row r="504" spans="3:4">
      <c r="C504" s="2"/>
      <c r="D504" s="2"/>
    </row>
    <row r="505" spans="3:4">
      <c r="C505" s="2"/>
      <c r="D505" s="2"/>
    </row>
    <row r="506" spans="3:4">
      <c r="C506" s="2"/>
      <c r="D506" s="2"/>
    </row>
    <row r="507" spans="3:4">
      <c r="C507" s="2"/>
      <c r="D507" s="2"/>
    </row>
    <row r="508" spans="3:4">
      <c r="C508" s="2"/>
      <c r="D508" s="2"/>
    </row>
    <row r="509" spans="3:4">
      <c r="C509" s="2"/>
      <c r="D509" s="2"/>
    </row>
    <row r="510" spans="3:4">
      <c r="C510" s="2"/>
      <c r="D510" s="2"/>
    </row>
    <row r="511" spans="3:4">
      <c r="C511" s="2"/>
      <c r="D511" s="2"/>
    </row>
    <row r="512" spans="3:4">
      <c r="C512" s="2"/>
      <c r="D512" s="2"/>
    </row>
    <row r="513" spans="3:4">
      <c r="C513" s="2"/>
      <c r="D513" s="2"/>
    </row>
  </sheetData>
  <autoFilter xmlns:etc="http://www.wps.cn/officeDocument/2017/etCustomData" ref="A4:BO175" etc:filterBottomFollowUsedRange="0">
    <filterColumn colId="0">
      <filters>
        <filter val="2026-7/6~7/10"/>
        <filter val="2026-7/27~7/31"/>
        <filter val="2026-6/8~6/12"/>
        <filter val="2026-6/29~7/3"/>
        <filter val="2026-7/20~7/24"/>
        <filter val="2026-6/1~6/5"/>
        <filter val="2026-6/22~6/26"/>
        <filter val="2026-7/13~7/17"/>
        <filter val="2026-6/15~6/19"/>
      </filters>
    </filterColumn>
    <filterColumn colId="1">
      <customFilters>
        <customFilter operator="equal" val="总计"/>
      </customFilters>
    </filterColumn>
    <extLst/>
  </autoFilter>
  <mergeCells count="8">
    <mergeCell ref="E3:H3"/>
    <mergeCell ref="I3:K3"/>
    <mergeCell ref="L3:N3"/>
    <mergeCell ref="O3:Q3"/>
    <mergeCell ref="R3:S3"/>
    <mergeCell ref="T3:U3"/>
    <mergeCell ref="V3:X3"/>
    <mergeCell ref="Y3:AA3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73"/>
  <sheetViews>
    <sheetView topLeftCell="A150" workbookViewId="0">
      <selection activeCell="C169" sqref="C169"/>
    </sheetView>
  </sheetViews>
  <sheetFormatPr defaultColWidth="11" defaultRowHeight="17.6"/>
  <cols>
    <col min="1" max="1" width="14" customWidth="1"/>
    <col min="5" max="6" width="11" customWidth="1"/>
    <col min="18" max="27" width="11" customWidth="1"/>
  </cols>
  <sheetData>
    <row r="1" ht="17" customHeight="1" spans="1:27">
      <c r="A1" s="3"/>
      <c r="B1" s="4"/>
      <c r="C1" s="45" t="s">
        <v>0</v>
      </c>
      <c r="D1" s="45" t="s">
        <v>0</v>
      </c>
      <c r="E1" s="45"/>
      <c r="F1" s="45"/>
      <c r="G1" s="45" t="s">
        <v>131</v>
      </c>
      <c r="H1" s="45" t="s">
        <v>132</v>
      </c>
      <c r="I1" s="45" t="s">
        <v>131</v>
      </c>
      <c r="J1" s="45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</row>
    <row r="2" ht="36" spans="1:27">
      <c r="A2" s="3" t="s">
        <v>12</v>
      </c>
      <c r="B2" s="4" t="s">
        <v>13</v>
      </c>
      <c r="C2" s="46" t="s">
        <v>14</v>
      </c>
      <c r="D2" s="46" t="s">
        <v>133</v>
      </c>
      <c r="E2" s="46" t="s">
        <v>134</v>
      </c>
      <c r="F2" s="46" t="s">
        <v>135</v>
      </c>
      <c r="G2" s="47" t="s">
        <v>136</v>
      </c>
      <c r="H2" s="47" t="s">
        <v>137</v>
      </c>
      <c r="I2" s="47" t="s">
        <v>138</v>
      </c>
      <c r="J2" s="47" t="s">
        <v>139</v>
      </c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</row>
    <row r="3" ht="16" hidden="1" customHeight="1" spans="1:10">
      <c r="A3" s="1" t="s">
        <v>32</v>
      </c>
      <c r="B3" s="7" t="s">
        <v>33</v>
      </c>
      <c r="C3" s="17">
        <v>256.1</v>
      </c>
      <c r="D3" s="17">
        <v>1061</v>
      </c>
      <c r="E3" s="17">
        <v>778.8</v>
      </c>
      <c r="F3" s="17">
        <v>0</v>
      </c>
      <c r="G3" s="9"/>
      <c r="H3" s="9">
        <v>372</v>
      </c>
      <c r="I3" s="9"/>
      <c r="J3" s="49"/>
    </row>
    <row r="4" ht="16" hidden="1" customHeight="1" spans="1:10">
      <c r="A4" s="1" t="s">
        <v>32</v>
      </c>
      <c r="B4" s="7" t="s">
        <v>35</v>
      </c>
      <c r="C4" s="17">
        <v>240.6</v>
      </c>
      <c r="D4" s="17">
        <v>834.4</v>
      </c>
      <c r="E4" s="17">
        <v>592.6</v>
      </c>
      <c r="F4" s="17">
        <v>0.2</v>
      </c>
      <c r="G4" s="9"/>
      <c r="H4" s="9">
        <v>141</v>
      </c>
      <c r="I4" s="9"/>
      <c r="J4" s="49"/>
    </row>
    <row r="5" ht="16" hidden="1" customHeight="1" spans="1:10">
      <c r="A5" s="1" t="s">
        <v>32</v>
      </c>
      <c r="B5" s="7" t="s">
        <v>36</v>
      </c>
      <c r="C5" s="9">
        <f>C3+C4</f>
        <v>496.7</v>
      </c>
      <c r="D5" s="9">
        <f>D3+D4</f>
        <v>1895.4</v>
      </c>
      <c r="E5" s="9">
        <f>E3+E4</f>
        <v>1371.4</v>
      </c>
      <c r="F5" s="9">
        <f>F3+F4</f>
        <v>0.2</v>
      </c>
      <c r="G5" s="9"/>
      <c r="H5" s="9"/>
      <c r="I5" s="9"/>
      <c r="J5" s="49"/>
    </row>
    <row r="6" ht="16" hidden="1" customHeight="1" spans="1:10">
      <c r="A6" s="1" t="s">
        <v>37</v>
      </c>
      <c r="B6" s="7" t="s">
        <v>33</v>
      </c>
      <c r="C6" s="9">
        <v>264</v>
      </c>
      <c r="D6" s="9">
        <v>1097</v>
      </c>
      <c r="E6" s="9">
        <v>815.2</v>
      </c>
      <c r="F6" s="9">
        <v>0</v>
      </c>
      <c r="G6" s="9"/>
      <c r="H6" s="9">
        <v>374</v>
      </c>
      <c r="I6" s="9"/>
      <c r="J6" s="49"/>
    </row>
    <row r="7" ht="16" hidden="1" customHeight="1" spans="1:10">
      <c r="A7" s="1" t="s">
        <v>37</v>
      </c>
      <c r="B7" s="7" t="s">
        <v>35</v>
      </c>
      <c r="C7" s="9">
        <v>226.6</v>
      </c>
      <c r="D7" s="9">
        <v>794.8</v>
      </c>
      <c r="E7" s="9">
        <v>557.4</v>
      </c>
      <c r="F7" s="9">
        <v>0.6</v>
      </c>
      <c r="G7" s="9"/>
      <c r="H7" s="9">
        <v>146</v>
      </c>
      <c r="I7" s="9"/>
      <c r="J7" s="49"/>
    </row>
    <row r="8" ht="16" hidden="1" customHeight="1" spans="1:10">
      <c r="A8" s="1" t="s">
        <v>37</v>
      </c>
      <c r="B8" s="7" t="s">
        <v>36</v>
      </c>
      <c r="C8" s="9">
        <f>C6+C7</f>
        <v>490.6</v>
      </c>
      <c r="D8" s="9">
        <f>D6+D7</f>
        <v>1891.8</v>
      </c>
      <c r="E8" s="9">
        <f>E6+E7</f>
        <v>1372.6</v>
      </c>
      <c r="F8" s="9">
        <f>F6+F7</f>
        <v>0.6</v>
      </c>
      <c r="G8" s="9"/>
      <c r="H8" s="9"/>
      <c r="I8" s="9"/>
      <c r="J8" s="49"/>
    </row>
    <row r="9" ht="16" hidden="1" customHeight="1" spans="1:10">
      <c r="A9" s="1" t="s">
        <v>38</v>
      </c>
      <c r="B9" s="7" t="s">
        <v>33</v>
      </c>
      <c r="C9" s="9">
        <v>300.9</v>
      </c>
      <c r="D9" s="9">
        <v>1124</v>
      </c>
      <c r="E9" s="9">
        <v>842.4</v>
      </c>
      <c r="F9" s="9">
        <v>0.2</v>
      </c>
      <c r="G9" s="9"/>
      <c r="H9" s="9">
        <v>376</v>
      </c>
      <c r="I9" s="9"/>
      <c r="J9" s="49"/>
    </row>
    <row r="10" ht="16" hidden="1" customHeight="1" spans="1:10">
      <c r="A10" s="1" t="s">
        <v>38</v>
      </c>
      <c r="B10" s="7" t="s">
        <v>35</v>
      </c>
      <c r="C10" s="9">
        <v>267</v>
      </c>
      <c r="D10" s="9">
        <v>836.6</v>
      </c>
      <c r="E10" s="9">
        <v>592.4</v>
      </c>
      <c r="F10" s="9">
        <v>0.2</v>
      </c>
      <c r="G10" s="9"/>
      <c r="H10" s="9">
        <v>150</v>
      </c>
      <c r="I10" s="9"/>
      <c r="J10" s="49"/>
    </row>
    <row r="11" ht="16" hidden="1" customHeight="1" spans="1:10">
      <c r="A11" s="1" t="s">
        <v>38</v>
      </c>
      <c r="B11" s="7" t="s">
        <v>36</v>
      </c>
      <c r="C11" s="9">
        <f>C9+C10</f>
        <v>567.9</v>
      </c>
      <c r="D11" s="9">
        <f>D9+D10</f>
        <v>1960.6</v>
      </c>
      <c r="E11" s="9">
        <f>E9+E10</f>
        <v>1434.8</v>
      </c>
      <c r="F11" s="9">
        <f>F9+F10</f>
        <v>0.4</v>
      </c>
      <c r="G11" s="9"/>
      <c r="H11" s="9"/>
      <c r="I11" s="9"/>
      <c r="J11" s="49"/>
    </row>
    <row r="12" ht="16" hidden="1" customHeight="1" spans="1:10">
      <c r="A12" s="1" t="s">
        <v>39</v>
      </c>
      <c r="B12" s="7" t="s">
        <v>33</v>
      </c>
      <c r="C12" s="9">
        <v>291.3</v>
      </c>
      <c r="D12" s="9">
        <v>1191.6</v>
      </c>
      <c r="E12" s="9">
        <v>880.2</v>
      </c>
      <c r="F12" s="9">
        <v>0.6</v>
      </c>
      <c r="G12" s="9"/>
      <c r="H12" s="9">
        <v>406</v>
      </c>
      <c r="I12" s="9"/>
      <c r="J12" s="49"/>
    </row>
    <row r="13" ht="16" hidden="1" customHeight="1" spans="1:10">
      <c r="A13" s="1" t="s">
        <v>39</v>
      </c>
      <c r="B13" s="7" t="s">
        <v>35</v>
      </c>
      <c r="C13" s="9">
        <v>248.2</v>
      </c>
      <c r="D13" s="9">
        <v>842.6</v>
      </c>
      <c r="E13" s="9">
        <v>610.6</v>
      </c>
      <c r="F13" s="9">
        <v>0.2</v>
      </c>
      <c r="G13" s="9"/>
      <c r="H13" s="9">
        <v>155</v>
      </c>
      <c r="I13" s="9"/>
      <c r="J13" s="49"/>
    </row>
    <row r="14" ht="16" hidden="1" customHeight="1" spans="1:10">
      <c r="A14" s="1" t="s">
        <v>39</v>
      </c>
      <c r="B14" s="7" t="s">
        <v>36</v>
      </c>
      <c r="C14" s="9">
        <f>C12+C13</f>
        <v>539.5</v>
      </c>
      <c r="D14" s="9">
        <f>D12+D13</f>
        <v>2034.2</v>
      </c>
      <c r="E14" s="9">
        <f>E12+E13</f>
        <v>1490.8</v>
      </c>
      <c r="F14" s="9">
        <f>F12+F13</f>
        <v>0.8</v>
      </c>
      <c r="G14" s="9"/>
      <c r="H14" s="9"/>
      <c r="I14" s="9"/>
      <c r="J14" s="49"/>
    </row>
    <row r="15" ht="16" hidden="1" customHeight="1" spans="1:10">
      <c r="A15" s="1" t="s">
        <v>40</v>
      </c>
      <c r="B15" s="7" t="s">
        <v>33</v>
      </c>
      <c r="C15" s="9">
        <v>293.4</v>
      </c>
      <c r="D15" s="9">
        <v>1334.8</v>
      </c>
      <c r="E15" s="9">
        <v>907.6</v>
      </c>
      <c r="F15" s="9">
        <v>1</v>
      </c>
      <c r="G15" s="9"/>
      <c r="H15" s="9">
        <v>417</v>
      </c>
      <c r="I15" s="9"/>
      <c r="J15" s="49"/>
    </row>
    <row r="16" ht="16" hidden="1" customHeight="1" spans="1:10">
      <c r="A16" s="1" t="s">
        <v>40</v>
      </c>
      <c r="B16" s="7" t="s">
        <v>35</v>
      </c>
      <c r="C16" s="9">
        <v>230.1</v>
      </c>
      <c r="D16" s="9">
        <v>911.4</v>
      </c>
      <c r="E16" s="9">
        <v>579.2</v>
      </c>
      <c r="F16" s="9">
        <v>0</v>
      </c>
      <c r="G16" s="9"/>
      <c r="H16" s="9">
        <v>164</v>
      </c>
      <c r="I16" s="9"/>
      <c r="J16" s="49"/>
    </row>
    <row r="17" ht="16" hidden="1" customHeight="1" spans="1:10">
      <c r="A17" s="1" t="s">
        <v>40</v>
      </c>
      <c r="B17" s="7" t="s">
        <v>36</v>
      </c>
      <c r="C17" s="9">
        <f>C15+C16</f>
        <v>523.5</v>
      </c>
      <c r="D17" s="9">
        <f>D15+D16</f>
        <v>2246.2</v>
      </c>
      <c r="E17" s="9">
        <f>E15+E16</f>
        <v>1486.8</v>
      </c>
      <c r="F17" s="9">
        <f>F15+F16</f>
        <v>1</v>
      </c>
      <c r="G17" s="9"/>
      <c r="H17" s="9"/>
      <c r="I17" s="9"/>
      <c r="J17" s="49"/>
    </row>
    <row r="18" ht="16" hidden="1" customHeight="1" spans="1:10">
      <c r="A18" s="1" t="s">
        <v>41</v>
      </c>
      <c r="B18" s="7" t="s">
        <v>33</v>
      </c>
      <c r="C18" s="9">
        <v>291.3</v>
      </c>
      <c r="D18" s="9">
        <v>1143.8</v>
      </c>
      <c r="E18" s="9">
        <v>846.8</v>
      </c>
      <c r="F18" s="9">
        <v>0</v>
      </c>
      <c r="G18" s="9"/>
      <c r="H18" s="9">
        <v>414</v>
      </c>
      <c r="I18" s="9"/>
      <c r="J18" s="49"/>
    </row>
    <row r="19" ht="16" hidden="1" customHeight="1" spans="1:10">
      <c r="A19" s="1" t="s">
        <v>41</v>
      </c>
      <c r="B19" s="7" t="s">
        <v>35</v>
      </c>
      <c r="C19" s="9">
        <v>240.4</v>
      </c>
      <c r="D19" s="9">
        <v>837.4</v>
      </c>
      <c r="E19" s="9">
        <v>583</v>
      </c>
      <c r="F19" s="9">
        <v>0</v>
      </c>
      <c r="G19" s="9"/>
      <c r="H19" s="9">
        <v>164</v>
      </c>
      <c r="I19" s="9"/>
      <c r="J19" s="49"/>
    </row>
    <row r="20" ht="16" hidden="1" customHeight="1" spans="1:10">
      <c r="A20" s="1" t="s">
        <v>41</v>
      </c>
      <c r="B20" s="7" t="s">
        <v>36</v>
      </c>
      <c r="C20" s="9">
        <f>C18+C19</f>
        <v>531.7</v>
      </c>
      <c r="D20" s="9">
        <f>D18+D19</f>
        <v>1981.2</v>
      </c>
      <c r="E20" s="9">
        <f>E18+E19</f>
        <v>1429.8</v>
      </c>
      <c r="F20" s="9">
        <f>F18+F19</f>
        <v>0</v>
      </c>
      <c r="G20" s="9"/>
      <c r="H20" s="9"/>
      <c r="I20" s="9"/>
      <c r="J20" s="49"/>
    </row>
    <row r="21" ht="16" hidden="1" customHeight="1" spans="1:10">
      <c r="A21" s="1" t="s">
        <v>42</v>
      </c>
      <c r="B21" s="7" t="s">
        <v>33</v>
      </c>
      <c r="C21" s="9">
        <v>268.2</v>
      </c>
      <c r="D21" s="9">
        <v>1138.6</v>
      </c>
      <c r="E21" s="9">
        <v>794</v>
      </c>
      <c r="F21" s="9">
        <v>0</v>
      </c>
      <c r="G21" s="9"/>
      <c r="H21" s="9">
        <v>422</v>
      </c>
      <c r="I21" s="9"/>
      <c r="J21" s="49"/>
    </row>
    <row r="22" ht="16" hidden="1" customHeight="1" spans="1:10">
      <c r="A22" s="1" t="s">
        <v>42</v>
      </c>
      <c r="B22" s="7" t="s">
        <v>35</v>
      </c>
      <c r="C22" s="9">
        <v>221.4</v>
      </c>
      <c r="D22" s="9">
        <v>907.6</v>
      </c>
      <c r="E22" s="9">
        <v>571.6</v>
      </c>
      <c r="F22" s="9">
        <v>0</v>
      </c>
      <c r="G22" s="9"/>
      <c r="H22" s="9">
        <v>174</v>
      </c>
      <c r="I22" s="9"/>
      <c r="J22" s="49"/>
    </row>
    <row r="23" ht="16" hidden="1" customHeight="1" spans="1:10">
      <c r="A23" s="1" t="s">
        <v>42</v>
      </c>
      <c r="B23" s="7" t="s">
        <v>36</v>
      </c>
      <c r="C23" s="9">
        <f>C21+C22</f>
        <v>489.6</v>
      </c>
      <c r="D23" s="9">
        <f>D21+D22</f>
        <v>2046.2</v>
      </c>
      <c r="E23" s="9">
        <f>E21+E22</f>
        <v>1365.6</v>
      </c>
      <c r="F23" s="9">
        <f>F21+F22</f>
        <v>0</v>
      </c>
      <c r="G23" s="9"/>
      <c r="H23" s="9"/>
      <c r="I23" s="9"/>
      <c r="J23" s="49"/>
    </row>
    <row r="24" ht="16" hidden="1" customHeight="1" spans="1:10">
      <c r="A24" s="1" t="s">
        <v>43</v>
      </c>
      <c r="B24" s="7" t="s">
        <v>33</v>
      </c>
      <c r="C24" s="9">
        <v>277.6</v>
      </c>
      <c r="D24" s="9">
        <v>1056.6</v>
      </c>
      <c r="E24" s="9">
        <v>759.8</v>
      </c>
      <c r="F24" s="9">
        <v>0.4</v>
      </c>
      <c r="G24" s="9"/>
      <c r="H24" s="9">
        <v>401</v>
      </c>
      <c r="I24" s="9"/>
      <c r="J24" s="49"/>
    </row>
    <row r="25" ht="16" hidden="1" customHeight="1" spans="1:10">
      <c r="A25" s="1" t="s">
        <v>43</v>
      </c>
      <c r="B25" s="7" t="s">
        <v>35</v>
      </c>
      <c r="C25" s="9">
        <v>231.2</v>
      </c>
      <c r="D25" s="9">
        <v>903</v>
      </c>
      <c r="E25" s="9">
        <v>551</v>
      </c>
      <c r="F25" s="9">
        <v>0</v>
      </c>
      <c r="G25" s="9"/>
      <c r="H25" s="9">
        <v>183</v>
      </c>
      <c r="I25" s="9"/>
      <c r="J25" s="49"/>
    </row>
    <row r="26" ht="16" hidden="1" customHeight="1" spans="1:10">
      <c r="A26" s="1" t="s">
        <v>43</v>
      </c>
      <c r="B26" s="7" t="s">
        <v>36</v>
      </c>
      <c r="C26" s="9">
        <f>C24+C25</f>
        <v>508.8</v>
      </c>
      <c r="D26" s="9">
        <f>D24+D25</f>
        <v>1959.6</v>
      </c>
      <c r="E26" s="9">
        <f>E24+E25</f>
        <v>1310.8</v>
      </c>
      <c r="F26" s="9">
        <f>F24+F25</f>
        <v>0.4</v>
      </c>
      <c r="G26" s="9"/>
      <c r="H26" s="9"/>
      <c r="I26" s="9"/>
      <c r="J26" s="49"/>
    </row>
    <row r="27" ht="16" hidden="1" customHeight="1" spans="1:10">
      <c r="A27" s="1" t="s">
        <v>44</v>
      </c>
      <c r="B27" s="7" t="s">
        <v>33</v>
      </c>
      <c r="C27" s="9">
        <v>316.7</v>
      </c>
      <c r="D27" s="9">
        <v>1217.8</v>
      </c>
      <c r="E27" s="9">
        <v>904.6</v>
      </c>
      <c r="F27" s="9">
        <v>0.4</v>
      </c>
      <c r="G27" s="9"/>
      <c r="H27" s="9">
        <v>383</v>
      </c>
      <c r="I27" s="9"/>
      <c r="J27" s="49"/>
    </row>
    <row r="28" ht="16" hidden="1" customHeight="1" spans="1:10">
      <c r="A28" s="1" t="s">
        <v>44</v>
      </c>
      <c r="B28" s="7" t="s">
        <v>35</v>
      </c>
      <c r="C28" s="9">
        <v>225.9</v>
      </c>
      <c r="D28" s="9">
        <v>753.6</v>
      </c>
      <c r="E28" s="9">
        <v>539.6</v>
      </c>
      <c r="F28" s="9">
        <v>0.2</v>
      </c>
      <c r="G28" s="9"/>
      <c r="H28" s="9">
        <v>187</v>
      </c>
      <c r="I28" s="9"/>
      <c r="J28" s="49"/>
    </row>
    <row r="29" ht="16" hidden="1" customHeight="1" spans="1:10">
      <c r="A29" s="1" t="s">
        <v>44</v>
      </c>
      <c r="B29" s="7" t="s">
        <v>36</v>
      </c>
      <c r="C29" s="9">
        <f>C27+C28</f>
        <v>542.6</v>
      </c>
      <c r="D29" s="9">
        <f>D27+D28</f>
        <v>1971.4</v>
      </c>
      <c r="E29" s="9">
        <f>E27+E28</f>
        <v>1444.2</v>
      </c>
      <c r="F29" s="9">
        <f>F27+F28</f>
        <v>0.6</v>
      </c>
      <c r="G29" s="9"/>
      <c r="H29" s="9"/>
      <c r="I29" s="9"/>
      <c r="J29" s="49"/>
    </row>
    <row r="30" ht="16" hidden="1" customHeight="1" spans="1:10">
      <c r="A30" s="1" t="s">
        <v>45</v>
      </c>
      <c r="B30" s="7" t="s">
        <v>33</v>
      </c>
      <c r="C30" s="9">
        <v>274</v>
      </c>
      <c r="D30" s="9">
        <v>1140.4</v>
      </c>
      <c r="E30" s="9">
        <v>777</v>
      </c>
      <c r="F30" s="9">
        <v>0.6</v>
      </c>
      <c r="G30" s="9"/>
      <c r="H30" s="9">
        <v>359</v>
      </c>
      <c r="I30" s="9"/>
      <c r="J30" s="49"/>
    </row>
    <row r="31" ht="16" hidden="1" customHeight="1" spans="1:10">
      <c r="A31" s="1" t="s">
        <v>45</v>
      </c>
      <c r="B31" s="7" t="s">
        <v>35</v>
      </c>
      <c r="C31" s="9">
        <v>209.7</v>
      </c>
      <c r="D31" s="9">
        <v>726.2</v>
      </c>
      <c r="E31" s="9">
        <v>494.2</v>
      </c>
      <c r="F31" s="9">
        <v>0</v>
      </c>
      <c r="G31" s="9"/>
      <c r="H31" s="9">
        <v>192</v>
      </c>
      <c r="I31" s="9"/>
      <c r="J31" s="49"/>
    </row>
    <row r="32" ht="16" hidden="1" customHeight="1" spans="1:10">
      <c r="A32" s="1" t="s">
        <v>45</v>
      </c>
      <c r="B32" s="7" t="s">
        <v>36</v>
      </c>
      <c r="C32" s="9">
        <f>C30+C31</f>
        <v>483.7</v>
      </c>
      <c r="D32" s="9">
        <f>D30+D31</f>
        <v>1866.6</v>
      </c>
      <c r="E32" s="9">
        <f>E30+E31</f>
        <v>1271.2</v>
      </c>
      <c r="F32" s="9">
        <f>F30+F31</f>
        <v>0.6</v>
      </c>
      <c r="G32" s="9"/>
      <c r="H32" s="9"/>
      <c r="I32" s="9"/>
      <c r="J32" s="49"/>
    </row>
    <row r="33" ht="16" hidden="1" customHeight="1" spans="1:10">
      <c r="A33" s="1" t="s">
        <v>46</v>
      </c>
      <c r="B33" s="7" t="s">
        <v>33</v>
      </c>
      <c r="C33" s="9">
        <v>310.1</v>
      </c>
      <c r="D33" s="9">
        <v>1204.8</v>
      </c>
      <c r="E33" s="9">
        <v>859.4</v>
      </c>
      <c r="F33" s="9">
        <v>0</v>
      </c>
      <c r="G33" s="9"/>
      <c r="H33" s="9"/>
      <c r="I33" s="9"/>
      <c r="J33" s="49"/>
    </row>
    <row r="34" ht="16" hidden="1" customHeight="1" spans="1:10">
      <c r="A34" s="1" t="s">
        <v>46</v>
      </c>
      <c r="B34" s="7" t="s">
        <v>35</v>
      </c>
      <c r="C34" s="9">
        <v>216.3</v>
      </c>
      <c r="D34" s="9">
        <v>754.8</v>
      </c>
      <c r="E34" s="9">
        <v>525.2</v>
      </c>
      <c r="F34" s="9">
        <v>0</v>
      </c>
      <c r="G34" s="9"/>
      <c r="H34" s="9"/>
      <c r="I34" s="9"/>
      <c r="J34" s="49"/>
    </row>
    <row r="35" ht="16" hidden="1" customHeight="1" spans="1:10">
      <c r="A35" s="1" t="s">
        <v>46</v>
      </c>
      <c r="B35" s="7" t="s">
        <v>36</v>
      </c>
      <c r="C35" s="9">
        <f>C33+C34</f>
        <v>526.4</v>
      </c>
      <c r="D35" s="9">
        <f>D33+D34</f>
        <v>1959.6</v>
      </c>
      <c r="E35" s="9">
        <f>E33+E34</f>
        <v>1384.6</v>
      </c>
      <c r="F35" s="9">
        <f>F33+F34</f>
        <v>0</v>
      </c>
      <c r="G35" s="9"/>
      <c r="H35" s="9"/>
      <c r="I35" s="9"/>
      <c r="J35" s="49"/>
    </row>
    <row r="36" ht="16" hidden="1" customHeight="1" spans="1:10">
      <c r="A36" s="1" t="s">
        <v>47</v>
      </c>
      <c r="B36" s="7" t="s">
        <v>33</v>
      </c>
      <c r="C36" s="9">
        <v>324.8</v>
      </c>
      <c r="D36" s="9">
        <v>1155.2</v>
      </c>
      <c r="E36" s="9">
        <v>813.8</v>
      </c>
      <c r="F36" s="9">
        <v>0.4</v>
      </c>
      <c r="G36" s="9"/>
      <c r="H36" s="9"/>
      <c r="I36" s="9"/>
      <c r="J36" s="49"/>
    </row>
    <row r="37" ht="16" hidden="1" customHeight="1" spans="1:10">
      <c r="A37" s="1" t="s">
        <v>47</v>
      </c>
      <c r="B37" s="7" t="s">
        <v>35</v>
      </c>
      <c r="C37" s="9">
        <v>241.3</v>
      </c>
      <c r="D37" s="9">
        <v>816</v>
      </c>
      <c r="E37" s="9">
        <v>568.8</v>
      </c>
      <c r="F37" s="9">
        <v>0.6</v>
      </c>
      <c r="G37" s="9"/>
      <c r="H37" s="9"/>
      <c r="I37" s="9"/>
      <c r="J37" s="49"/>
    </row>
    <row r="38" ht="16" hidden="1" customHeight="1" spans="1:10">
      <c r="A38" s="1" t="s">
        <v>47</v>
      </c>
      <c r="B38" s="7" t="s">
        <v>36</v>
      </c>
      <c r="C38" s="9">
        <f>C36+C37</f>
        <v>566.1</v>
      </c>
      <c r="D38" s="9">
        <f>D36+D37</f>
        <v>1971.2</v>
      </c>
      <c r="E38" s="9">
        <f>E36+E37</f>
        <v>1382.6</v>
      </c>
      <c r="F38" s="9">
        <f>F36+F37</f>
        <v>1</v>
      </c>
      <c r="G38" s="9"/>
      <c r="H38" s="9"/>
      <c r="I38" s="9"/>
      <c r="J38" s="49"/>
    </row>
    <row r="39" ht="16" hidden="1" customHeight="1" spans="1:10">
      <c r="A39" s="1" t="s">
        <v>48</v>
      </c>
      <c r="B39" s="7" t="s">
        <v>33</v>
      </c>
      <c r="C39" s="9">
        <v>266.3</v>
      </c>
      <c r="D39" s="9">
        <v>1100.2</v>
      </c>
      <c r="E39" s="9">
        <v>792.8</v>
      </c>
      <c r="F39" s="9">
        <v>1</v>
      </c>
      <c r="G39" s="9"/>
      <c r="H39" s="9"/>
      <c r="I39" s="9"/>
      <c r="J39" s="49"/>
    </row>
    <row r="40" ht="16" hidden="1" customHeight="1" spans="1:10">
      <c r="A40" s="1" t="s">
        <v>48</v>
      </c>
      <c r="B40" s="7" t="s">
        <v>35</v>
      </c>
      <c r="C40" s="9">
        <v>228.9</v>
      </c>
      <c r="D40" s="9">
        <v>838.6</v>
      </c>
      <c r="E40" s="9">
        <v>581.4</v>
      </c>
      <c r="F40" s="9">
        <v>0</v>
      </c>
      <c r="G40" s="9"/>
      <c r="H40" s="9"/>
      <c r="I40" s="9"/>
      <c r="J40" s="49"/>
    </row>
    <row r="41" ht="16" hidden="1" customHeight="1" spans="1:10">
      <c r="A41" s="1" t="s">
        <v>48</v>
      </c>
      <c r="B41" s="7" t="s">
        <v>36</v>
      </c>
      <c r="C41" s="9">
        <f>C39+C40</f>
        <v>495.2</v>
      </c>
      <c r="D41" s="9">
        <f>D39+D40</f>
        <v>1938.8</v>
      </c>
      <c r="E41" s="9">
        <f>E39+E40</f>
        <v>1374.2</v>
      </c>
      <c r="F41" s="9">
        <f>F39+F40</f>
        <v>1</v>
      </c>
      <c r="G41" s="9"/>
      <c r="H41" s="9"/>
      <c r="I41" s="9"/>
      <c r="J41" s="49"/>
    </row>
    <row r="42" ht="16" hidden="1" customHeight="1" spans="1:10">
      <c r="A42" s="1" t="s">
        <v>49</v>
      </c>
      <c r="B42" s="7" t="s">
        <v>33</v>
      </c>
      <c r="C42" s="9">
        <v>246.7</v>
      </c>
      <c r="D42" s="9">
        <v>926.6</v>
      </c>
      <c r="E42" s="9">
        <v>655.4</v>
      </c>
      <c r="F42" s="9">
        <v>0</v>
      </c>
      <c r="G42" s="9"/>
      <c r="H42" s="9"/>
      <c r="I42" s="9"/>
      <c r="J42" s="49"/>
    </row>
    <row r="43" ht="16" hidden="1" customHeight="1" spans="1:10">
      <c r="A43" s="1" t="s">
        <v>49</v>
      </c>
      <c r="B43" s="7" t="s">
        <v>35</v>
      </c>
      <c r="C43" s="9">
        <v>261.8</v>
      </c>
      <c r="D43" s="9">
        <v>849</v>
      </c>
      <c r="E43" s="9">
        <v>595.2</v>
      </c>
      <c r="F43" s="9">
        <v>0.6</v>
      </c>
      <c r="G43" s="9"/>
      <c r="H43" s="9"/>
      <c r="I43" s="9"/>
      <c r="J43" s="49"/>
    </row>
    <row r="44" ht="16" hidden="1" customHeight="1" spans="1:10">
      <c r="A44" s="1" t="s">
        <v>49</v>
      </c>
      <c r="B44" s="7" t="s">
        <v>36</v>
      </c>
      <c r="C44" s="9">
        <f>C42+C43</f>
        <v>508.5</v>
      </c>
      <c r="D44" s="9">
        <f>D42+D43</f>
        <v>1775.6</v>
      </c>
      <c r="E44" s="9">
        <f>E42+E43</f>
        <v>1250.6</v>
      </c>
      <c r="F44" s="9">
        <f>F42+F43</f>
        <v>0.6</v>
      </c>
      <c r="G44" s="9"/>
      <c r="H44" s="9"/>
      <c r="I44" s="9"/>
      <c r="J44" s="49"/>
    </row>
    <row r="45" ht="16" hidden="1" customHeight="1" spans="1:10">
      <c r="A45" s="1" t="s">
        <v>50</v>
      </c>
      <c r="B45" s="7" t="s">
        <v>33</v>
      </c>
      <c r="C45" s="9">
        <v>282.1</v>
      </c>
      <c r="D45" s="9">
        <v>1031.6</v>
      </c>
      <c r="E45" s="9">
        <v>758</v>
      </c>
      <c r="F45" s="9">
        <v>0.2</v>
      </c>
      <c r="G45" s="9"/>
      <c r="H45" s="9"/>
      <c r="I45" s="9"/>
      <c r="J45" s="49"/>
    </row>
    <row r="46" ht="16" hidden="1" customHeight="1" spans="1:10">
      <c r="A46" s="1" t="s">
        <v>50</v>
      </c>
      <c r="B46" s="7" t="s">
        <v>35</v>
      </c>
      <c r="C46" s="9">
        <v>266.3</v>
      </c>
      <c r="D46" s="9">
        <v>873</v>
      </c>
      <c r="E46" s="9">
        <v>604.4</v>
      </c>
      <c r="F46" s="9">
        <v>0.2</v>
      </c>
      <c r="G46" s="9"/>
      <c r="H46" s="9"/>
      <c r="I46" s="9"/>
      <c r="J46" s="49"/>
    </row>
    <row r="47" ht="16" hidden="1" customHeight="1" spans="1:10">
      <c r="A47" s="1" t="s">
        <v>50</v>
      </c>
      <c r="B47" s="7" t="s">
        <v>36</v>
      </c>
      <c r="C47" s="9">
        <f>C45+C46</f>
        <v>548.4</v>
      </c>
      <c r="D47" s="9">
        <f>D45+D46</f>
        <v>1904.6</v>
      </c>
      <c r="E47" s="9">
        <f>E45+E46</f>
        <v>1362.4</v>
      </c>
      <c r="F47" s="9">
        <f>F45+F46</f>
        <v>0.4</v>
      </c>
      <c r="G47" s="9"/>
      <c r="H47" s="9"/>
      <c r="I47" s="9"/>
      <c r="J47" s="49"/>
    </row>
    <row r="48" ht="16" hidden="1" customHeight="1" spans="1:10">
      <c r="A48" s="1" t="s">
        <v>51</v>
      </c>
      <c r="B48" s="7" t="s">
        <v>33</v>
      </c>
      <c r="C48" s="9">
        <v>272.3</v>
      </c>
      <c r="D48" s="9">
        <v>1019.8</v>
      </c>
      <c r="E48" s="9">
        <v>699</v>
      </c>
      <c r="F48" s="9">
        <v>0.4</v>
      </c>
      <c r="G48" s="9"/>
      <c r="H48" s="9"/>
      <c r="I48" s="9"/>
      <c r="J48" s="49"/>
    </row>
    <row r="49" ht="16" hidden="1" customHeight="1" spans="1:10">
      <c r="A49" s="1" t="s">
        <v>51</v>
      </c>
      <c r="B49" s="7" t="s">
        <v>35</v>
      </c>
      <c r="C49" s="9">
        <v>983.2</v>
      </c>
      <c r="D49" s="9">
        <v>2726.2</v>
      </c>
      <c r="E49" s="9">
        <v>1928.4</v>
      </c>
      <c r="F49" s="9">
        <v>0.6</v>
      </c>
      <c r="G49" s="9"/>
      <c r="H49" s="9"/>
      <c r="I49" s="9"/>
      <c r="J49" s="49"/>
    </row>
    <row r="50" ht="16" hidden="1" customHeight="1" spans="1:10">
      <c r="A50" s="1" t="s">
        <v>51</v>
      </c>
      <c r="B50" s="7" t="s">
        <v>36</v>
      </c>
      <c r="C50" s="9">
        <f>C48+C49</f>
        <v>1255.5</v>
      </c>
      <c r="D50" s="9">
        <f>D48+D49</f>
        <v>3746</v>
      </c>
      <c r="E50" s="9">
        <f>E48+E49</f>
        <v>2627.4</v>
      </c>
      <c r="F50" s="9">
        <f>F48+F49</f>
        <v>1</v>
      </c>
      <c r="G50" s="9"/>
      <c r="H50" s="9"/>
      <c r="I50" s="9"/>
      <c r="J50" s="49"/>
    </row>
    <row r="51" ht="16" hidden="1" customHeight="1" spans="1:10">
      <c r="A51" s="1" t="s">
        <v>54</v>
      </c>
      <c r="B51" s="7" t="s">
        <v>33</v>
      </c>
      <c r="C51" s="9">
        <v>231.5</v>
      </c>
      <c r="D51" s="9">
        <v>885.4</v>
      </c>
      <c r="E51" s="9">
        <v>612.4</v>
      </c>
      <c r="F51" s="9">
        <v>0</v>
      </c>
      <c r="G51" s="9"/>
      <c r="H51" s="9"/>
      <c r="I51" s="9"/>
      <c r="J51" s="49"/>
    </row>
    <row r="52" ht="16" hidden="1" customHeight="1" spans="1:10">
      <c r="A52" s="1" t="s">
        <v>54</v>
      </c>
      <c r="B52" s="7" t="s">
        <v>35</v>
      </c>
      <c r="C52" s="9">
        <v>455</v>
      </c>
      <c r="D52" s="9">
        <v>1613.4</v>
      </c>
      <c r="E52" s="9">
        <v>983.4</v>
      </c>
      <c r="F52" s="9">
        <v>0.2</v>
      </c>
      <c r="G52" s="9"/>
      <c r="H52" s="9"/>
      <c r="I52" s="9"/>
      <c r="J52" s="49"/>
    </row>
    <row r="53" ht="16" hidden="1" customHeight="1" spans="1:10">
      <c r="A53" s="1" t="s">
        <v>54</v>
      </c>
      <c r="B53" s="7" t="s">
        <v>36</v>
      </c>
      <c r="C53" s="9">
        <f>C51+C52</f>
        <v>686.5</v>
      </c>
      <c r="D53" s="9">
        <f>D51+D52</f>
        <v>2498.8</v>
      </c>
      <c r="E53" s="9">
        <f>E51+E52</f>
        <v>1595.8</v>
      </c>
      <c r="F53" s="9">
        <f>F51+F52</f>
        <v>0.2</v>
      </c>
      <c r="G53" s="9"/>
      <c r="H53" s="9"/>
      <c r="I53" s="9"/>
      <c r="J53" s="49"/>
    </row>
    <row r="54" ht="16" hidden="1" customHeight="1" spans="1:10">
      <c r="A54" s="1" t="s">
        <v>55</v>
      </c>
      <c r="B54" s="7" t="s">
        <v>33</v>
      </c>
      <c r="C54" s="9">
        <v>292.4</v>
      </c>
      <c r="D54" s="9">
        <v>1110.2</v>
      </c>
      <c r="E54" s="9">
        <v>755.8</v>
      </c>
      <c r="F54" s="9">
        <v>0.2</v>
      </c>
      <c r="G54" s="9"/>
      <c r="H54" s="9"/>
      <c r="I54" s="9"/>
      <c r="J54" s="49"/>
    </row>
    <row r="55" ht="16" hidden="1" customHeight="1" spans="1:10">
      <c r="A55" s="1" t="s">
        <v>55</v>
      </c>
      <c r="B55" s="7" t="s">
        <v>35</v>
      </c>
      <c r="C55" s="9">
        <v>444.1</v>
      </c>
      <c r="D55" s="9">
        <v>1437.2</v>
      </c>
      <c r="E55" s="9">
        <v>942</v>
      </c>
      <c r="F55" s="9">
        <v>0.2</v>
      </c>
      <c r="G55" s="9"/>
      <c r="H55" s="9"/>
      <c r="I55" s="9"/>
      <c r="J55" s="49"/>
    </row>
    <row r="56" ht="16" hidden="1" customHeight="1" spans="1:10">
      <c r="A56" s="1" t="s">
        <v>55</v>
      </c>
      <c r="B56" s="7" t="s">
        <v>36</v>
      </c>
      <c r="C56" s="9">
        <f>C54+C55</f>
        <v>736.5</v>
      </c>
      <c r="D56" s="9">
        <f>D54+D55</f>
        <v>2547.4</v>
      </c>
      <c r="E56" s="9">
        <f>E54+E55</f>
        <v>1697.8</v>
      </c>
      <c r="F56" s="9">
        <f>F54+F55</f>
        <v>0.4</v>
      </c>
      <c r="G56" s="9"/>
      <c r="H56" s="9"/>
      <c r="I56" s="9"/>
      <c r="J56" s="49"/>
    </row>
    <row r="57" ht="16" hidden="1" customHeight="1" spans="1:10">
      <c r="A57" s="1" t="s">
        <v>56</v>
      </c>
      <c r="B57" s="7" t="s">
        <v>33</v>
      </c>
      <c r="C57" s="9">
        <v>349</v>
      </c>
      <c r="D57" s="9">
        <v>1218.6</v>
      </c>
      <c r="E57" s="9">
        <v>825.8</v>
      </c>
      <c r="F57" s="9">
        <v>0.8</v>
      </c>
      <c r="G57" s="9"/>
      <c r="H57" s="9"/>
      <c r="I57" s="9"/>
      <c r="J57" s="49"/>
    </row>
    <row r="58" ht="16" hidden="1" customHeight="1" spans="1:10">
      <c r="A58" s="1" t="s">
        <v>56</v>
      </c>
      <c r="B58" s="7" t="s">
        <v>35</v>
      </c>
      <c r="C58" s="9">
        <v>379.9</v>
      </c>
      <c r="D58" s="9">
        <v>1187.6</v>
      </c>
      <c r="E58" s="9">
        <v>823.8</v>
      </c>
      <c r="F58" s="9">
        <v>0</v>
      </c>
      <c r="G58" s="9"/>
      <c r="H58" s="9"/>
      <c r="I58" s="9"/>
      <c r="J58" s="49"/>
    </row>
    <row r="59" ht="16" hidden="1" customHeight="1" spans="1:10">
      <c r="A59" s="1" t="s">
        <v>56</v>
      </c>
      <c r="B59" s="7" t="s">
        <v>36</v>
      </c>
      <c r="C59" s="9">
        <f>C57+C58</f>
        <v>728.9</v>
      </c>
      <c r="D59" s="9">
        <f>D57+D58</f>
        <v>2406.2</v>
      </c>
      <c r="E59" s="9">
        <f>E57+E58</f>
        <v>1649.6</v>
      </c>
      <c r="F59" s="9">
        <f>F57+F58</f>
        <v>0.8</v>
      </c>
      <c r="G59" s="9"/>
      <c r="H59" s="9"/>
      <c r="I59" s="9"/>
      <c r="J59" s="49"/>
    </row>
    <row r="60" ht="16" hidden="1" customHeight="1" spans="1:10">
      <c r="A60" s="1" t="s">
        <v>57</v>
      </c>
      <c r="B60" s="7" t="s">
        <v>33</v>
      </c>
      <c r="C60" s="9">
        <v>325.9</v>
      </c>
      <c r="D60" s="9">
        <v>1150.4</v>
      </c>
      <c r="E60" s="9">
        <v>775</v>
      </c>
      <c r="F60" s="9">
        <v>0</v>
      </c>
      <c r="G60" s="9"/>
      <c r="H60" s="9"/>
      <c r="I60" s="9"/>
      <c r="J60" s="49"/>
    </row>
    <row r="61" ht="16" hidden="1" customHeight="1" spans="1:10">
      <c r="A61" s="1" t="s">
        <v>57</v>
      </c>
      <c r="B61" s="7" t="s">
        <v>35</v>
      </c>
      <c r="C61" s="9">
        <v>375.6</v>
      </c>
      <c r="D61" s="9">
        <v>1177</v>
      </c>
      <c r="E61" s="9">
        <v>821.4</v>
      </c>
      <c r="F61" s="9">
        <v>0.6</v>
      </c>
      <c r="G61" s="9"/>
      <c r="H61" s="9"/>
      <c r="I61" s="9"/>
      <c r="J61" s="49"/>
    </row>
    <row r="62" ht="16" hidden="1" customHeight="1" spans="1:10">
      <c r="A62" s="1" t="s">
        <v>57</v>
      </c>
      <c r="B62" s="7" t="s">
        <v>36</v>
      </c>
      <c r="C62" s="9">
        <f>C60+C61</f>
        <v>701.5</v>
      </c>
      <c r="D62" s="9">
        <f>D60+D61</f>
        <v>2327.4</v>
      </c>
      <c r="E62" s="9">
        <f>E60+E61</f>
        <v>1596.4</v>
      </c>
      <c r="F62" s="9">
        <f>F60+F61</f>
        <v>0.6</v>
      </c>
      <c r="G62" s="9"/>
      <c r="H62" s="9"/>
      <c r="I62" s="9"/>
      <c r="J62" s="49"/>
    </row>
    <row r="63" ht="16" hidden="1" customHeight="1" spans="1:10">
      <c r="A63" s="1" t="s">
        <v>58</v>
      </c>
      <c r="B63" s="7" t="s">
        <v>33</v>
      </c>
      <c r="C63" s="9">
        <v>350.5</v>
      </c>
      <c r="D63" s="9">
        <v>1324.6</v>
      </c>
      <c r="E63" s="9">
        <v>923.2</v>
      </c>
      <c r="F63" s="9">
        <v>0</v>
      </c>
      <c r="G63" s="9"/>
      <c r="H63" s="9"/>
      <c r="I63" s="9"/>
      <c r="J63" s="49"/>
    </row>
    <row r="64" ht="16" hidden="1" customHeight="1" spans="1:10">
      <c r="A64" s="1" t="s">
        <v>58</v>
      </c>
      <c r="B64" s="7" t="s">
        <v>35</v>
      </c>
      <c r="C64" s="9">
        <v>422.4</v>
      </c>
      <c r="D64" s="9">
        <v>1302.2</v>
      </c>
      <c r="E64" s="9">
        <v>915</v>
      </c>
      <c r="F64" s="9">
        <v>0</v>
      </c>
      <c r="G64" s="9"/>
      <c r="H64" s="9"/>
      <c r="I64" s="9"/>
      <c r="J64" s="49"/>
    </row>
    <row r="65" ht="16" hidden="1" customHeight="1" spans="1:10">
      <c r="A65" s="1" t="s">
        <v>58</v>
      </c>
      <c r="B65" s="7" t="s">
        <v>36</v>
      </c>
      <c r="C65" s="9">
        <f>C63+C64</f>
        <v>772.9</v>
      </c>
      <c r="D65" s="9">
        <f>D63+D64</f>
        <v>2626.8</v>
      </c>
      <c r="E65" s="9">
        <f>E63+E64</f>
        <v>1838.2</v>
      </c>
      <c r="F65" s="9">
        <f>F63+F64</f>
        <v>0</v>
      </c>
      <c r="G65" s="9"/>
      <c r="H65" s="9"/>
      <c r="I65" s="9"/>
      <c r="J65" s="49"/>
    </row>
    <row r="66" ht="16" hidden="1" customHeight="1" spans="1:10">
      <c r="A66" s="1" t="s">
        <v>59</v>
      </c>
      <c r="B66" s="7" t="s">
        <v>33</v>
      </c>
      <c r="C66" s="9">
        <v>303.5</v>
      </c>
      <c r="D66" s="9">
        <v>1176</v>
      </c>
      <c r="E66" s="9">
        <v>799.6</v>
      </c>
      <c r="F66" s="9">
        <v>0.8</v>
      </c>
      <c r="G66" s="9"/>
      <c r="H66" s="9"/>
      <c r="I66" s="9"/>
      <c r="J66" s="49"/>
    </row>
    <row r="67" ht="16" hidden="1" customHeight="1" spans="1:10">
      <c r="A67" s="1" t="s">
        <v>59</v>
      </c>
      <c r="B67" s="7" t="s">
        <v>35</v>
      </c>
      <c r="C67" s="9">
        <v>371.5</v>
      </c>
      <c r="D67" s="9">
        <v>1203</v>
      </c>
      <c r="E67" s="9">
        <v>831.8</v>
      </c>
      <c r="F67" s="9">
        <v>0</v>
      </c>
      <c r="G67" s="9"/>
      <c r="H67" s="9"/>
      <c r="I67" s="9"/>
      <c r="J67" s="49"/>
    </row>
    <row r="68" ht="16" hidden="1" customHeight="1" spans="1:10">
      <c r="A68" s="1" t="s">
        <v>59</v>
      </c>
      <c r="B68" s="7" t="s">
        <v>36</v>
      </c>
      <c r="C68" s="9">
        <f>C66+C67</f>
        <v>675</v>
      </c>
      <c r="D68" s="9">
        <f>D66+D67</f>
        <v>2379</v>
      </c>
      <c r="E68" s="9">
        <f>E66+E67</f>
        <v>1631.4</v>
      </c>
      <c r="F68" s="9">
        <f>F66+F67</f>
        <v>0.8</v>
      </c>
      <c r="G68" s="9"/>
      <c r="H68" s="9"/>
      <c r="I68" s="9"/>
      <c r="J68" s="49"/>
    </row>
    <row r="69" ht="16" hidden="1" customHeight="1" spans="1:10">
      <c r="A69" s="1" t="s">
        <v>60</v>
      </c>
      <c r="B69" s="7" t="s">
        <v>33</v>
      </c>
      <c r="C69" s="9">
        <v>312</v>
      </c>
      <c r="D69" s="9">
        <v>1083</v>
      </c>
      <c r="E69" s="9">
        <v>759.2</v>
      </c>
      <c r="F69" s="9">
        <v>0.6</v>
      </c>
      <c r="G69" s="9"/>
      <c r="H69" s="9"/>
      <c r="I69" s="9"/>
      <c r="J69" s="49"/>
    </row>
    <row r="70" ht="16" hidden="1" customHeight="1" spans="1:10">
      <c r="A70" s="1" t="s">
        <v>60</v>
      </c>
      <c r="B70" s="7" t="s">
        <v>35</v>
      </c>
      <c r="C70" s="9">
        <v>368.4</v>
      </c>
      <c r="D70" s="9">
        <v>1143.6</v>
      </c>
      <c r="E70" s="9">
        <v>791.6</v>
      </c>
      <c r="F70" s="9">
        <v>0.2</v>
      </c>
      <c r="G70" s="9"/>
      <c r="H70" s="9"/>
      <c r="I70" s="9"/>
      <c r="J70" s="49"/>
    </row>
    <row r="71" ht="16" hidden="1" customHeight="1" spans="1:10">
      <c r="A71" s="1" t="s">
        <v>60</v>
      </c>
      <c r="B71" s="7" t="s">
        <v>36</v>
      </c>
      <c r="C71" s="9">
        <f>C69+C70</f>
        <v>680.4</v>
      </c>
      <c r="D71" s="9">
        <f>D69+D70</f>
        <v>2226.6</v>
      </c>
      <c r="E71" s="9">
        <f>E69+E70</f>
        <v>1550.8</v>
      </c>
      <c r="F71" s="9">
        <f>F69+F70</f>
        <v>0.8</v>
      </c>
      <c r="G71" s="9"/>
      <c r="H71" s="9"/>
      <c r="I71" s="9"/>
      <c r="J71" s="49"/>
    </row>
    <row r="72" ht="16" hidden="1" customHeight="1" spans="1:10">
      <c r="A72" s="1" t="s">
        <v>61</v>
      </c>
      <c r="B72" s="7" t="s">
        <v>33</v>
      </c>
      <c r="C72" s="9">
        <v>293.9</v>
      </c>
      <c r="D72" s="9">
        <v>1035.8</v>
      </c>
      <c r="E72" s="9">
        <v>718.2</v>
      </c>
      <c r="F72" s="9">
        <v>0</v>
      </c>
      <c r="G72" s="9"/>
      <c r="H72" s="9"/>
      <c r="I72" s="9"/>
      <c r="J72" s="49"/>
    </row>
    <row r="73" ht="16" hidden="1" customHeight="1" spans="1:10">
      <c r="A73" s="1" t="s">
        <v>61</v>
      </c>
      <c r="B73" s="7" t="s">
        <v>35</v>
      </c>
      <c r="C73" s="9">
        <v>317.7</v>
      </c>
      <c r="D73" s="9">
        <v>1021.2</v>
      </c>
      <c r="E73" s="9">
        <v>673.2</v>
      </c>
      <c r="F73" s="9">
        <v>0</v>
      </c>
      <c r="G73" s="9"/>
      <c r="H73" s="9"/>
      <c r="I73" s="9"/>
      <c r="J73" s="49"/>
    </row>
    <row r="74" ht="16" hidden="1" customHeight="1" spans="1:10">
      <c r="A74" s="1" t="s">
        <v>61</v>
      </c>
      <c r="B74" s="7" t="s">
        <v>36</v>
      </c>
      <c r="C74" s="9">
        <f>C72+C73</f>
        <v>611.6</v>
      </c>
      <c r="D74" s="9">
        <f>D72+D73</f>
        <v>2057</v>
      </c>
      <c r="E74" s="9">
        <f>E72+E73</f>
        <v>1391.4</v>
      </c>
      <c r="F74" s="9">
        <f>F72+F73</f>
        <v>0</v>
      </c>
      <c r="G74" s="9"/>
      <c r="H74" s="9"/>
      <c r="I74" s="9"/>
      <c r="J74" s="49"/>
    </row>
    <row r="75" ht="16" hidden="1" customHeight="1" spans="1:10">
      <c r="A75" s="1" t="s">
        <v>62</v>
      </c>
      <c r="B75" s="7" t="s">
        <v>33</v>
      </c>
      <c r="C75" s="9">
        <v>297.3</v>
      </c>
      <c r="D75" s="9">
        <v>1123.6</v>
      </c>
      <c r="E75" s="9">
        <v>785.6</v>
      </c>
      <c r="F75" s="9">
        <v>0.2</v>
      </c>
      <c r="G75" s="9"/>
      <c r="H75" s="9"/>
      <c r="I75" s="9"/>
      <c r="J75" s="49"/>
    </row>
    <row r="76" ht="16" hidden="1" customHeight="1" spans="1:10">
      <c r="A76" s="1" t="s">
        <v>62</v>
      </c>
      <c r="B76" s="7" t="s">
        <v>35</v>
      </c>
      <c r="C76" s="9">
        <v>413.5</v>
      </c>
      <c r="D76" s="9">
        <v>1242.8</v>
      </c>
      <c r="E76" s="9">
        <v>914.6</v>
      </c>
      <c r="F76" s="9">
        <v>0.4</v>
      </c>
      <c r="G76" s="9"/>
      <c r="H76" s="9"/>
      <c r="I76" s="9"/>
      <c r="J76" s="49"/>
    </row>
    <row r="77" ht="16" hidden="1" customHeight="1" spans="1:10">
      <c r="A77" s="1" t="s">
        <v>62</v>
      </c>
      <c r="B77" s="7" t="s">
        <v>36</v>
      </c>
      <c r="C77" s="9">
        <f>C75+C76</f>
        <v>710.8</v>
      </c>
      <c r="D77" s="9">
        <f>D75+D76</f>
        <v>2366.4</v>
      </c>
      <c r="E77" s="9">
        <f>E75+E76</f>
        <v>1700.2</v>
      </c>
      <c r="F77" s="9">
        <f>F75+F76</f>
        <v>0.6</v>
      </c>
      <c r="G77" s="9"/>
      <c r="H77" s="9"/>
      <c r="I77" s="9"/>
      <c r="J77" s="49"/>
    </row>
    <row r="78" ht="16" hidden="1" customHeight="1" spans="1:10">
      <c r="A78" s="1" t="s">
        <v>63</v>
      </c>
      <c r="B78" s="7" t="s">
        <v>33</v>
      </c>
      <c r="C78" s="9">
        <v>307.2</v>
      </c>
      <c r="D78" s="9">
        <v>1067.8</v>
      </c>
      <c r="E78" s="9">
        <v>759.4</v>
      </c>
      <c r="F78" s="9">
        <v>0.4</v>
      </c>
      <c r="G78" s="9"/>
      <c r="H78" s="9"/>
      <c r="I78" s="9"/>
      <c r="J78" s="49"/>
    </row>
    <row r="79" ht="16" hidden="1" customHeight="1" spans="1:10">
      <c r="A79" s="1" t="s">
        <v>63</v>
      </c>
      <c r="B79" s="7" t="s">
        <v>35</v>
      </c>
      <c r="C79" s="9">
        <v>352.4</v>
      </c>
      <c r="D79" s="9">
        <v>1178.6</v>
      </c>
      <c r="E79" s="9">
        <v>821.8</v>
      </c>
      <c r="F79" s="9">
        <v>0</v>
      </c>
      <c r="G79" s="9"/>
      <c r="H79" s="9"/>
      <c r="I79" s="9"/>
      <c r="J79" s="49"/>
    </row>
    <row r="80" ht="16" hidden="1" customHeight="1" spans="1:10">
      <c r="A80" s="1" t="s">
        <v>63</v>
      </c>
      <c r="B80" s="7" t="s">
        <v>36</v>
      </c>
      <c r="C80" s="9">
        <f>C78+C79</f>
        <v>659.6</v>
      </c>
      <c r="D80" s="9">
        <f>D78+D79</f>
        <v>2246.4</v>
      </c>
      <c r="E80" s="9">
        <f>E78+E79</f>
        <v>1581.2</v>
      </c>
      <c r="F80" s="9">
        <f>F78+F79</f>
        <v>0.4</v>
      </c>
      <c r="G80" s="9"/>
      <c r="H80" s="9"/>
      <c r="I80" s="9"/>
      <c r="J80" s="49"/>
    </row>
    <row r="81" ht="16" hidden="1" customHeight="1" spans="1:10">
      <c r="A81" s="1" t="s">
        <v>64</v>
      </c>
      <c r="B81" s="7" t="s">
        <v>33</v>
      </c>
      <c r="C81" s="9">
        <v>299</v>
      </c>
      <c r="D81" s="9">
        <v>992.6</v>
      </c>
      <c r="E81" s="9">
        <v>702.6</v>
      </c>
      <c r="F81" s="9">
        <v>0.2</v>
      </c>
      <c r="G81" s="9"/>
      <c r="H81" s="9"/>
      <c r="I81" s="9"/>
      <c r="J81" s="49"/>
    </row>
    <row r="82" ht="16" hidden="1" customHeight="1" spans="1:10">
      <c r="A82" s="1" t="s">
        <v>64</v>
      </c>
      <c r="B82" s="7" t="s">
        <v>35</v>
      </c>
      <c r="C82" s="9">
        <v>400.5</v>
      </c>
      <c r="D82" s="9">
        <v>1140.4</v>
      </c>
      <c r="E82" s="9">
        <v>834.4</v>
      </c>
      <c r="F82" s="9">
        <v>0.2</v>
      </c>
      <c r="G82" s="9"/>
      <c r="H82" s="9"/>
      <c r="I82" s="9"/>
      <c r="J82" s="49"/>
    </row>
    <row r="83" ht="16" hidden="1" customHeight="1" spans="1:10">
      <c r="A83" s="1" t="s">
        <v>64</v>
      </c>
      <c r="B83" s="7" t="s">
        <v>36</v>
      </c>
      <c r="C83" s="9">
        <f>C81+C82</f>
        <v>699.5</v>
      </c>
      <c r="D83" s="9">
        <f>D81+D82</f>
        <v>2133</v>
      </c>
      <c r="E83" s="9">
        <f>E81+E82</f>
        <v>1537</v>
      </c>
      <c r="F83" s="9">
        <f>F81+F82</f>
        <v>0.4</v>
      </c>
      <c r="G83" s="9"/>
      <c r="H83" s="9"/>
      <c r="I83" s="9"/>
      <c r="J83" s="49"/>
    </row>
    <row r="84" ht="16" customHeight="1" spans="1:10">
      <c r="A84" s="1" t="s">
        <v>65</v>
      </c>
      <c r="B84" s="7" t="s">
        <v>33</v>
      </c>
      <c r="C84" s="9">
        <v>329.9</v>
      </c>
      <c r="D84" s="9">
        <v>1297.4</v>
      </c>
      <c r="E84" s="9">
        <v>876.4</v>
      </c>
      <c r="F84" s="9">
        <v>0.6</v>
      </c>
      <c r="G84" s="9">
        <f>(5280+517)/5</f>
        <v>1159.4</v>
      </c>
      <c r="H84" s="9">
        <f>313+21</f>
        <v>334</v>
      </c>
      <c r="I84" s="9">
        <f>(181634+22509)/5</f>
        <v>40828.6</v>
      </c>
      <c r="J84" s="49">
        <f t="shared" ref="J84:J167" si="0">G84/I84</f>
        <v>0.0283967610939391</v>
      </c>
    </row>
    <row r="85" ht="16" customHeight="1" spans="1:10">
      <c r="A85" s="1" t="s">
        <v>65</v>
      </c>
      <c r="B85" s="7" t="s">
        <v>35</v>
      </c>
      <c r="C85" s="9">
        <v>398.9</v>
      </c>
      <c r="D85" s="9">
        <v>1283</v>
      </c>
      <c r="E85" s="9">
        <v>911</v>
      </c>
      <c r="F85" s="9">
        <v>0</v>
      </c>
      <c r="G85" s="9">
        <f>6037/5</f>
        <v>1207.4</v>
      </c>
      <c r="H85" s="9">
        <v>178</v>
      </c>
      <c r="I85" s="9">
        <f>191122/5</f>
        <v>38224.4</v>
      </c>
      <c r="J85" s="49">
        <f t="shared" si="0"/>
        <v>0.031587153755193</v>
      </c>
    </row>
    <row r="86" ht="16" customHeight="1" spans="1:10">
      <c r="A86" s="1" t="s">
        <v>65</v>
      </c>
      <c r="B86" s="7" t="s">
        <v>36</v>
      </c>
      <c r="C86" s="9">
        <f t="shared" ref="C86:I86" si="1">C84+C85</f>
        <v>728.8</v>
      </c>
      <c r="D86" s="9">
        <f t="shared" si="1"/>
        <v>2580.4</v>
      </c>
      <c r="E86" s="9">
        <f t="shared" si="1"/>
        <v>1787.4</v>
      </c>
      <c r="F86" s="9">
        <f t="shared" si="1"/>
        <v>0.6</v>
      </c>
      <c r="G86" s="9">
        <f t="shared" si="1"/>
        <v>2366.8</v>
      </c>
      <c r="H86" s="9">
        <f t="shared" si="1"/>
        <v>512</v>
      </c>
      <c r="I86" s="9">
        <f t="shared" si="1"/>
        <v>79053</v>
      </c>
      <c r="J86" s="49">
        <f t="shared" si="0"/>
        <v>0.0299394077391117</v>
      </c>
    </row>
    <row r="87" ht="16" customHeight="1" spans="1:10">
      <c r="A87" s="1" t="s">
        <v>66</v>
      </c>
      <c r="B87" s="7" t="s">
        <v>33</v>
      </c>
      <c r="C87" s="9">
        <v>367.3</v>
      </c>
      <c r="D87" s="9">
        <v>1204.2</v>
      </c>
      <c r="E87" s="9">
        <v>867</v>
      </c>
      <c r="F87" s="9">
        <v>0</v>
      </c>
      <c r="G87" s="9">
        <f>(5089+573)/5</f>
        <v>1132.4</v>
      </c>
      <c r="H87" s="9">
        <f>327+21</f>
        <v>348</v>
      </c>
      <c r="I87" s="9">
        <f>(179976+22475)/5</f>
        <v>40490.2</v>
      </c>
      <c r="J87" s="49">
        <f t="shared" si="0"/>
        <v>0.0279672612138246</v>
      </c>
    </row>
    <row r="88" ht="16" customHeight="1" spans="1:10">
      <c r="A88" s="1" t="s">
        <v>66</v>
      </c>
      <c r="B88" s="7" t="s">
        <v>35</v>
      </c>
      <c r="C88" s="9">
        <v>762.7</v>
      </c>
      <c r="D88" s="9">
        <v>1966</v>
      </c>
      <c r="E88" s="9">
        <v>1494.8</v>
      </c>
      <c r="F88" s="9">
        <v>0.2</v>
      </c>
      <c r="G88" s="9">
        <f>10367/5</f>
        <v>2073.4</v>
      </c>
      <c r="H88" s="9">
        <v>186</v>
      </c>
      <c r="I88" s="9">
        <f>186982/5</f>
        <v>37396.4</v>
      </c>
      <c r="J88" s="49">
        <f t="shared" si="0"/>
        <v>0.0554438395139639</v>
      </c>
    </row>
    <row r="89" ht="16" customHeight="1" spans="1:10">
      <c r="A89" s="1" t="s">
        <v>66</v>
      </c>
      <c r="B89" s="7" t="s">
        <v>36</v>
      </c>
      <c r="C89" s="9">
        <f t="shared" ref="C89:I89" si="2">C87+C88</f>
        <v>1130</v>
      </c>
      <c r="D89" s="9">
        <f t="shared" si="2"/>
        <v>3170.2</v>
      </c>
      <c r="E89" s="9">
        <f t="shared" si="2"/>
        <v>2361.8</v>
      </c>
      <c r="F89" s="9">
        <f t="shared" si="2"/>
        <v>0.2</v>
      </c>
      <c r="G89" s="9">
        <f t="shared" si="2"/>
        <v>3205.8</v>
      </c>
      <c r="H89" s="9">
        <f t="shared" si="2"/>
        <v>534</v>
      </c>
      <c r="I89" s="9">
        <f t="shared" si="2"/>
        <v>77886.6</v>
      </c>
      <c r="J89" s="49">
        <f t="shared" si="0"/>
        <v>0.0411598400751862</v>
      </c>
    </row>
    <row r="90" ht="16" customHeight="1" spans="1:10">
      <c r="A90" s="1" t="s">
        <v>67</v>
      </c>
      <c r="B90" s="7" t="s">
        <v>33</v>
      </c>
      <c r="C90" s="9">
        <v>377.2</v>
      </c>
      <c r="D90" s="9">
        <v>1313.6</v>
      </c>
      <c r="E90" s="9">
        <v>920.8</v>
      </c>
      <c r="F90" s="9">
        <v>0.2</v>
      </c>
      <c r="G90" s="9">
        <f>(5446+638)/5</f>
        <v>1216.8</v>
      </c>
      <c r="H90" s="9">
        <f>330+22</f>
        <v>352</v>
      </c>
      <c r="I90" s="9">
        <f>(219132+25551)/5</f>
        <v>48936.6</v>
      </c>
      <c r="J90" s="49">
        <f t="shared" si="0"/>
        <v>0.0248648251002317</v>
      </c>
    </row>
    <row r="91" ht="16" customHeight="1" spans="1:10">
      <c r="A91" s="1" t="s">
        <v>67</v>
      </c>
      <c r="B91" s="7" t="s">
        <v>35</v>
      </c>
      <c r="C91" s="9">
        <v>539.5</v>
      </c>
      <c r="D91" s="9">
        <v>1611</v>
      </c>
      <c r="E91" s="9">
        <v>1182</v>
      </c>
      <c r="F91" s="9">
        <v>1</v>
      </c>
      <c r="G91" s="9">
        <f>7579/5</f>
        <v>1515.8</v>
      </c>
      <c r="H91" s="9">
        <v>189</v>
      </c>
      <c r="I91" s="9">
        <f>214498/5</f>
        <v>42899.6</v>
      </c>
      <c r="J91" s="49">
        <f t="shared" si="0"/>
        <v>0.0353336627847346</v>
      </c>
    </row>
    <row r="92" ht="16" customHeight="1" spans="1:10">
      <c r="A92" s="1" t="s">
        <v>67</v>
      </c>
      <c r="B92" s="7" t="s">
        <v>36</v>
      </c>
      <c r="C92" s="9">
        <f t="shared" ref="C92:I92" si="3">C90+C91</f>
        <v>916.7</v>
      </c>
      <c r="D92" s="9">
        <f t="shared" si="3"/>
        <v>2924.6</v>
      </c>
      <c r="E92" s="9">
        <f t="shared" si="3"/>
        <v>2102.8</v>
      </c>
      <c r="F92" s="9">
        <f t="shared" si="3"/>
        <v>1.2</v>
      </c>
      <c r="G92" s="9">
        <f t="shared" si="3"/>
        <v>2732.6</v>
      </c>
      <c r="H92" s="9">
        <f t="shared" si="3"/>
        <v>541</v>
      </c>
      <c r="I92" s="9">
        <f t="shared" si="3"/>
        <v>91836.2</v>
      </c>
      <c r="J92" s="49">
        <f t="shared" si="0"/>
        <v>0.0297551510188793</v>
      </c>
    </row>
    <row r="93" ht="16" customHeight="1" spans="1:10">
      <c r="A93" s="1" t="s">
        <v>68</v>
      </c>
      <c r="B93" s="7" t="s">
        <v>33</v>
      </c>
      <c r="C93" s="9">
        <v>391.8</v>
      </c>
      <c r="D93" s="9">
        <v>1363.2</v>
      </c>
      <c r="E93" s="9">
        <v>970.2</v>
      </c>
      <c r="F93" s="9">
        <v>0</v>
      </c>
      <c r="G93" s="9">
        <f>(5985+664)/5</f>
        <v>1329.8</v>
      </c>
      <c r="H93" s="9">
        <f>342+19</f>
        <v>361</v>
      </c>
      <c r="I93" s="9">
        <f>(243042+27742)/5</f>
        <v>54156.8</v>
      </c>
      <c r="J93" s="49">
        <f t="shared" si="0"/>
        <v>0.0245546265658237</v>
      </c>
    </row>
    <row r="94" ht="16" customHeight="1" spans="1:10">
      <c r="A94" s="1" t="s">
        <v>68</v>
      </c>
      <c r="B94" s="7" t="s">
        <v>35</v>
      </c>
      <c r="C94" s="9">
        <v>524.4</v>
      </c>
      <c r="D94" s="9">
        <v>1606.8</v>
      </c>
      <c r="E94" s="9">
        <v>1168.8</v>
      </c>
      <c r="F94" s="9">
        <v>0.8</v>
      </c>
      <c r="G94" s="9">
        <f>7659/5</f>
        <v>1531.8</v>
      </c>
      <c r="H94" s="9">
        <v>197</v>
      </c>
      <c r="I94" s="9">
        <f>239822/5</f>
        <v>47964.4</v>
      </c>
      <c r="J94" s="49">
        <f t="shared" si="0"/>
        <v>0.0319361860046201</v>
      </c>
    </row>
    <row r="95" ht="16" customHeight="1" spans="1:10">
      <c r="A95" s="1" t="s">
        <v>68</v>
      </c>
      <c r="B95" s="7" t="s">
        <v>36</v>
      </c>
      <c r="C95" s="9">
        <f t="shared" ref="C95:I95" si="4">C93+C94</f>
        <v>916.2</v>
      </c>
      <c r="D95" s="9">
        <f t="shared" si="4"/>
        <v>2970</v>
      </c>
      <c r="E95" s="9">
        <f t="shared" si="4"/>
        <v>2139</v>
      </c>
      <c r="F95" s="9">
        <f t="shared" si="4"/>
        <v>0.8</v>
      </c>
      <c r="G95" s="9">
        <f t="shared" si="4"/>
        <v>2861.6</v>
      </c>
      <c r="H95" s="9">
        <f t="shared" si="4"/>
        <v>558</v>
      </c>
      <c r="I95" s="9">
        <f t="shared" si="4"/>
        <v>102121.2</v>
      </c>
      <c r="J95" s="49">
        <f t="shared" si="0"/>
        <v>0.0280216056998938</v>
      </c>
    </row>
    <row r="96" ht="16" customHeight="1" spans="1:10">
      <c r="A96" s="1" t="s">
        <v>69</v>
      </c>
      <c r="B96" s="7" t="s">
        <v>33</v>
      </c>
      <c r="C96" s="9">
        <v>202.8</v>
      </c>
      <c r="D96" s="9">
        <v>1011.6</v>
      </c>
      <c r="E96" s="9">
        <v>764.8</v>
      </c>
      <c r="F96" s="9">
        <v>0.4</v>
      </c>
      <c r="G96" s="9">
        <f>(5485+568)/5</f>
        <v>1210.6</v>
      </c>
      <c r="H96" s="9">
        <f>352+22</f>
        <v>374</v>
      </c>
      <c r="I96" s="9">
        <f>(228960+568)/5</f>
        <v>45905.6</v>
      </c>
      <c r="J96" s="49">
        <f t="shared" si="0"/>
        <v>0.0263715102296888</v>
      </c>
    </row>
    <row r="97" ht="16" customHeight="1" spans="1:10">
      <c r="A97" s="1" t="s">
        <v>69</v>
      </c>
      <c r="B97" s="7" t="s">
        <v>35</v>
      </c>
      <c r="C97" s="9">
        <v>294</v>
      </c>
      <c r="D97" s="9">
        <v>1345.8</v>
      </c>
      <c r="E97" s="9">
        <v>1039.4</v>
      </c>
      <c r="F97" s="9">
        <v>0.6</v>
      </c>
      <c r="G97" s="9">
        <f>8276/5</f>
        <v>1655.2</v>
      </c>
      <c r="H97" s="9">
        <v>210</v>
      </c>
      <c r="I97" s="9">
        <f>276613/5</f>
        <v>55322.6</v>
      </c>
      <c r="J97" s="49">
        <f t="shared" si="0"/>
        <v>0.0299190565880852</v>
      </c>
    </row>
    <row r="98" ht="16" customHeight="1" spans="1:10">
      <c r="A98" s="1" t="s">
        <v>69</v>
      </c>
      <c r="B98" s="7" t="s">
        <v>36</v>
      </c>
      <c r="C98" s="9">
        <f t="shared" ref="C98:I98" si="5">C96+C97</f>
        <v>496.8</v>
      </c>
      <c r="D98" s="9">
        <f t="shared" si="5"/>
        <v>2357.4</v>
      </c>
      <c r="E98" s="9">
        <f t="shared" si="5"/>
        <v>1804.2</v>
      </c>
      <c r="F98" s="9">
        <f t="shared" si="5"/>
        <v>1</v>
      </c>
      <c r="G98" s="9">
        <f t="shared" si="5"/>
        <v>2865.8</v>
      </c>
      <c r="H98" s="9">
        <f t="shared" si="5"/>
        <v>584</v>
      </c>
      <c r="I98" s="9">
        <f t="shared" si="5"/>
        <v>101228.2</v>
      </c>
      <c r="J98" s="49">
        <f t="shared" si="0"/>
        <v>0.0283102929816</v>
      </c>
    </row>
    <row r="99" ht="16" customHeight="1" spans="1:10">
      <c r="A99" s="1" t="s">
        <v>72</v>
      </c>
      <c r="B99" s="7" t="s">
        <v>33</v>
      </c>
      <c r="C99" s="9">
        <v>415.6</v>
      </c>
      <c r="D99" s="9">
        <v>1373.2</v>
      </c>
      <c r="E99" s="9">
        <v>1026.2</v>
      </c>
      <c r="F99" s="9">
        <v>0.6</v>
      </c>
      <c r="G99" s="9">
        <f>(6060+718)/5</f>
        <v>1355.6</v>
      </c>
      <c r="H99" s="9">
        <f>367+28</f>
        <v>395</v>
      </c>
      <c r="I99" s="9">
        <f>(227797+27696)/5</f>
        <v>51098.6</v>
      </c>
      <c r="J99" s="49">
        <f t="shared" si="0"/>
        <v>0.0265291025585828</v>
      </c>
    </row>
    <row r="100" ht="16" customHeight="1" spans="1:10">
      <c r="A100" s="1" t="s">
        <v>72</v>
      </c>
      <c r="B100" s="7" t="s">
        <v>35</v>
      </c>
      <c r="C100" s="9">
        <v>532.4</v>
      </c>
      <c r="D100" s="9">
        <v>1626.4</v>
      </c>
      <c r="E100" s="9">
        <v>1196</v>
      </c>
      <c r="F100" s="9">
        <v>0.2</v>
      </c>
      <c r="G100" s="9">
        <f>7948/5</f>
        <v>1589.6</v>
      </c>
      <c r="H100" s="9">
        <v>202</v>
      </c>
      <c r="I100" s="9">
        <f>268189/5</f>
        <v>53637.8</v>
      </c>
      <c r="J100" s="49">
        <f t="shared" si="0"/>
        <v>0.0296358165323708</v>
      </c>
    </row>
    <row r="101" ht="16" customHeight="1" spans="1:10">
      <c r="A101" s="1" t="s">
        <v>72</v>
      </c>
      <c r="B101" s="7" t="s">
        <v>36</v>
      </c>
      <c r="C101" s="9">
        <f t="shared" ref="C101:I101" si="6">C99+C100</f>
        <v>948</v>
      </c>
      <c r="D101" s="9">
        <f t="shared" si="6"/>
        <v>2999.6</v>
      </c>
      <c r="E101" s="9">
        <f t="shared" si="6"/>
        <v>2222.2</v>
      </c>
      <c r="F101" s="9">
        <f t="shared" si="6"/>
        <v>0.8</v>
      </c>
      <c r="G101" s="9">
        <f t="shared" si="6"/>
        <v>2945.2</v>
      </c>
      <c r="H101" s="9">
        <f t="shared" si="6"/>
        <v>597</v>
      </c>
      <c r="I101" s="9">
        <f t="shared" si="6"/>
        <v>104736.4</v>
      </c>
      <c r="J101" s="49">
        <f t="shared" si="0"/>
        <v>0.0281201186979885</v>
      </c>
    </row>
    <row r="102" ht="16" customHeight="1" spans="1:10">
      <c r="A102" s="1" t="s">
        <v>73</v>
      </c>
      <c r="B102" s="7" t="s">
        <v>33</v>
      </c>
      <c r="C102" s="9">
        <v>377.3</v>
      </c>
      <c r="D102" s="9">
        <v>1238</v>
      </c>
      <c r="E102" s="9">
        <v>890.2</v>
      </c>
      <c r="F102" s="9">
        <v>0.4</v>
      </c>
      <c r="G102" s="9">
        <f>(5357+589)/5</f>
        <v>1189.2</v>
      </c>
      <c r="H102" s="9">
        <f>377+34</f>
        <v>411</v>
      </c>
      <c r="I102" s="9">
        <f>(197409+26272)/5</f>
        <v>44736.2</v>
      </c>
      <c r="J102" s="49">
        <f t="shared" si="0"/>
        <v>0.0265824991841059</v>
      </c>
    </row>
    <row r="103" ht="16" customHeight="1" spans="1:10">
      <c r="A103" s="1" t="s">
        <v>73</v>
      </c>
      <c r="B103" s="7" t="s">
        <v>35</v>
      </c>
      <c r="C103" s="9">
        <v>455.9</v>
      </c>
      <c r="D103" s="9">
        <v>1505.4</v>
      </c>
      <c r="E103" s="9">
        <v>1094.2</v>
      </c>
      <c r="F103" s="9">
        <v>0.2</v>
      </c>
      <c r="G103" s="9">
        <f>7133/5</f>
        <v>1426.6</v>
      </c>
      <c r="H103" s="9">
        <v>192</v>
      </c>
      <c r="I103" s="9">
        <f>243463/5</f>
        <v>48692.6</v>
      </c>
      <c r="J103" s="49">
        <f t="shared" si="0"/>
        <v>0.0292980863621988</v>
      </c>
    </row>
    <row r="104" ht="16" customHeight="1" spans="1:10">
      <c r="A104" s="1" t="s">
        <v>73</v>
      </c>
      <c r="B104" s="7" t="s">
        <v>36</v>
      </c>
      <c r="C104" s="9">
        <f t="shared" ref="C104:I104" si="7">C102+C103</f>
        <v>833.2</v>
      </c>
      <c r="D104" s="9">
        <f t="shared" si="7"/>
        <v>2743.4</v>
      </c>
      <c r="E104" s="9">
        <f t="shared" si="7"/>
        <v>1984.4</v>
      </c>
      <c r="F104" s="9">
        <f t="shared" si="7"/>
        <v>0.6</v>
      </c>
      <c r="G104" s="9">
        <f t="shared" si="7"/>
        <v>2615.8</v>
      </c>
      <c r="H104" s="9">
        <f t="shared" si="7"/>
        <v>603</v>
      </c>
      <c r="I104" s="9">
        <f t="shared" si="7"/>
        <v>93428.8</v>
      </c>
      <c r="J104" s="49">
        <f t="shared" si="0"/>
        <v>0.0279977908310928</v>
      </c>
    </row>
    <row r="105" ht="16" customHeight="1" spans="1:10">
      <c r="A105" s="1" t="s">
        <v>74</v>
      </c>
      <c r="B105" s="7" t="s">
        <v>33</v>
      </c>
      <c r="C105" s="9">
        <v>377.5</v>
      </c>
      <c r="D105" s="9">
        <v>1316.4</v>
      </c>
      <c r="E105" s="9">
        <v>895.8</v>
      </c>
      <c r="F105" s="9">
        <v>0.4</v>
      </c>
      <c r="G105" s="9">
        <f>(5368+719)/5</f>
        <v>1217.4</v>
      </c>
      <c r="H105" s="9">
        <f>370+33</f>
        <v>403</v>
      </c>
      <c r="I105" s="9">
        <f>(215157+27068)/5</f>
        <v>48445</v>
      </c>
      <c r="J105" s="49">
        <f t="shared" si="0"/>
        <v>0.0251295283310971</v>
      </c>
    </row>
    <row r="106" ht="16" customHeight="1" spans="1:10">
      <c r="A106" s="1" t="s">
        <v>74</v>
      </c>
      <c r="B106" s="7" t="s">
        <v>35</v>
      </c>
      <c r="C106" s="9">
        <v>442.7</v>
      </c>
      <c r="D106" s="9">
        <v>1378.4</v>
      </c>
      <c r="E106" s="9">
        <v>989.2</v>
      </c>
      <c r="F106" s="9">
        <v>0.4</v>
      </c>
      <c r="G106" s="9">
        <f>6647/5</f>
        <v>1329.4</v>
      </c>
      <c r="H106" s="9">
        <v>183</v>
      </c>
      <c r="I106" s="9">
        <f>202005/5</f>
        <v>40401</v>
      </c>
      <c r="J106" s="49">
        <f t="shared" si="0"/>
        <v>0.0329051261107398</v>
      </c>
    </row>
    <row r="107" ht="16" customHeight="1" spans="1:10">
      <c r="A107" s="1" t="s">
        <v>74</v>
      </c>
      <c r="B107" s="7" t="s">
        <v>36</v>
      </c>
      <c r="C107" s="9">
        <f t="shared" ref="C107:I107" si="8">C105+C106</f>
        <v>820.2</v>
      </c>
      <c r="D107" s="9">
        <f t="shared" si="8"/>
        <v>2694.8</v>
      </c>
      <c r="E107" s="9">
        <f t="shared" si="8"/>
        <v>1885</v>
      </c>
      <c r="F107" s="9">
        <f t="shared" si="8"/>
        <v>0.8</v>
      </c>
      <c r="G107" s="9">
        <f t="shared" si="8"/>
        <v>2546.8</v>
      </c>
      <c r="H107" s="9">
        <f t="shared" si="8"/>
        <v>586</v>
      </c>
      <c r="I107" s="9">
        <f t="shared" si="8"/>
        <v>88846</v>
      </c>
      <c r="J107" s="49">
        <f t="shared" si="0"/>
        <v>0.0286653310222182</v>
      </c>
    </row>
    <row r="108" ht="16" customHeight="1" spans="1:10">
      <c r="A108" s="1" t="s">
        <v>75</v>
      </c>
      <c r="B108" s="7" t="s">
        <v>33</v>
      </c>
      <c r="C108" s="9">
        <v>279.7</v>
      </c>
      <c r="D108" s="9">
        <v>1016.8</v>
      </c>
      <c r="E108" s="9">
        <v>724.8</v>
      </c>
      <c r="F108" s="9">
        <v>0.6</v>
      </c>
      <c r="G108" s="9">
        <f>(4226+522)/5</f>
        <v>949.6</v>
      </c>
      <c r="H108" s="9">
        <f>365+29</f>
        <v>394</v>
      </c>
      <c r="I108" s="9">
        <f>(186653+22258)/5</f>
        <v>41782.2</v>
      </c>
      <c r="J108" s="49">
        <f t="shared" si="0"/>
        <v>0.022727381516531</v>
      </c>
    </row>
    <row r="109" ht="16" customHeight="1" spans="1:10">
      <c r="A109" s="1" t="s">
        <v>75</v>
      </c>
      <c r="B109" s="7" t="s">
        <v>35</v>
      </c>
      <c r="C109" s="9">
        <v>433</v>
      </c>
      <c r="D109" s="9">
        <v>1359</v>
      </c>
      <c r="E109" s="9">
        <v>986</v>
      </c>
      <c r="F109" s="9">
        <v>0.4</v>
      </c>
      <c r="G109" s="9">
        <f>6326/5</f>
        <v>1265.2</v>
      </c>
      <c r="H109" s="9">
        <v>191</v>
      </c>
      <c r="I109" s="9">
        <f>232085/5</f>
        <v>46417</v>
      </c>
      <c r="J109" s="49">
        <f t="shared" si="0"/>
        <v>0.0272572548850637</v>
      </c>
    </row>
    <row r="110" ht="16" customHeight="1" spans="1:10">
      <c r="A110" s="1" t="s">
        <v>75</v>
      </c>
      <c r="B110" s="7" t="s">
        <v>36</v>
      </c>
      <c r="C110" s="9">
        <f t="shared" ref="C110:I110" si="9">C108+C109</f>
        <v>712.7</v>
      </c>
      <c r="D110" s="9">
        <f t="shared" si="9"/>
        <v>2375.8</v>
      </c>
      <c r="E110" s="9">
        <f t="shared" si="9"/>
        <v>1710.8</v>
      </c>
      <c r="F110" s="9">
        <f t="shared" si="9"/>
        <v>1</v>
      </c>
      <c r="G110" s="9">
        <f t="shared" si="9"/>
        <v>2214.8</v>
      </c>
      <c r="H110" s="9">
        <f t="shared" si="9"/>
        <v>585</v>
      </c>
      <c r="I110" s="9">
        <f t="shared" si="9"/>
        <v>88199.2</v>
      </c>
      <c r="J110" s="49">
        <f t="shared" si="0"/>
        <v>0.0251113388783572</v>
      </c>
    </row>
    <row r="111" ht="16" customHeight="1" spans="1:10">
      <c r="A111" s="1" t="s">
        <v>76</v>
      </c>
      <c r="B111" s="7" t="s">
        <v>33</v>
      </c>
      <c r="C111" s="9">
        <v>330.2</v>
      </c>
      <c r="D111" s="9">
        <v>1075.4</v>
      </c>
      <c r="E111" s="9">
        <v>783</v>
      </c>
      <c r="F111" s="9">
        <v>0.2</v>
      </c>
      <c r="G111" s="9">
        <f>(4796+700)/5</f>
        <v>1099.2</v>
      </c>
      <c r="H111" s="9">
        <f>361+29</f>
        <v>390</v>
      </c>
      <c r="I111" s="9">
        <f>(180677+20922)/5</f>
        <v>40319.8</v>
      </c>
      <c r="J111" s="49">
        <f t="shared" si="0"/>
        <v>0.0272620399902777</v>
      </c>
    </row>
    <row r="112" ht="16" customHeight="1" spans="1:10">
      <c r="A112" s="1" t="s">
        <v>76</v>
      </c>
      <c r="B112" s="7" t="s">
        <v>35</v>
      </c>
      <c r="C112" s="9">
        <v>440.4</v>
      </c>
      <c r="D112" s="9">
        <v>1328.2</v>
      </c>
      <c r="E112" s="9">
        <v>967</v>
      </c>
      <c r="F112" s="9">
        <v>0.2</v>
      </c>
      <c r="G112" s="9">
        <f>6799/5</f>
        <v>1359.8</v>
      </c>
      <c r="H112" s="9">
        <v>202</v>
      </c>
      <c r="I112" s="9">
        <f>241077/5</f>
        <v>48215.4</v>
      </c>
      <c r="J112" s="49">
        <f t="shared" si="0"/>
        <v>0.0282026074656645</v>
      </c>
    </row>
    <row r="113" ht="16" customHeight="1" spans="1:10">
      <c r="A113" s="1" t="s">
        <v>76</v>
      </c>
      <c r="B113" s="7" t="s">
        <v>36</v>
      </c>
      <c r="C113" s="9">
        <f t="shared" ref="C113:I113" si="10">C111+C112</f>
        <v>770.6</v>
      </c>
      <c r="D113" s="9">
        <f t="shared" si="10"/>
        <v>2403.6</v>
      </c>
      <c r="E113" s="9">
        <f t="shared" si="10"/>
        <v>1750</v>
      </c>
      <c r="F113" s="9">
        <f t="shared" si="10"/>
        <v>0.4</v>
      </c>
      <c r="G113" s="9">
        <f t="shared" si="10"/>
        <v>2459</v>
      </c>
      <c r="H113" s="9">
        <f t="shared" si="10"/>
        <v>592</v>
      </c>
      <c r="I113" s="9">
        <f t="shared" si="10"/>
        <v>88535.2</v>
      </c>
      <c r="J113" s="49">
        <f t="shared" si="0"/>
        <v>0.0277742637956429</v>
      </c>
    </row>
    <row r="114" ht="34" spans="1:10">
      <c r="A114" s="1" t="s">
        <v>77</v>
      </c>
      <c r="B114" s="7" t="s">
        <v>33</v>
      </c>
      <c r="C114" s="9">
        <v>307.6</v>
      </c>
      <c r="D114" s="9">
        <v>1117</v>
      </c>
      <c r="E114" s="9">
        <v>812.2</v>
      </c>
      <c r="F114" s="9">
        <v>0.6</v>
      </c>
      <c r="G114" s="9">
        <f>(4752+533)/5</f>
        <v>1057</v>
      </c>
      <c r="H114" s="9">
        <f>387+30</f>
        <v>417</v>
      </c>
      <c r="I114" s="9">
        <f>(185373+20815)/5</f>
        <v>41237.6</v>
      </c>
      <c r="J114" s="49">
        <f t="shared" si="0"/>
        <v>0.025631947543019</v>
      </c>
    </row>
    <row r="115" spans="1:10">
      <c r="A115" s="1" t="s">
        <v>77</v>
      </c>
      <c r="B115" s="7" t="s">
        <v>35</v>
      </c>
      <c r="C115" s="9">
        <v>344.2</v>
      </c>
      <c r="D115" s="9">
        <v>1147.4</v>
      </c>
      <c r="E115" s="9">
        <v>816.2</v>
      </c>
      <c r="F115" s="9">
        <v>0</v>
      </c>
      <c r="G115" s="9">
        <f>5493/5</f>
        <v>1098.6</v>
      </c>
      <c r="H115" s="9">
        <v>209</v>
      </c>
      <c r="I115" s="9">
        <f>180719/5</f>
        <v>36143.8</v>
      </c>
      <c r="J115" s="49">
        <f t="shared" si="0"/>
        <v>0.0303952545111471</v>
      </c>
    </row>
    <row r="116" spans="1:10">
      <c r="A116" s="1" t="s">
        <v>77</v>
      </c>
      <c r="B116" s="7" t="s">
        <v>36</v>
      </c>
      <c r="C116" s="9">
        <f t="shared" ref="C116:I116" si="11">C114+C115</f>
        <v>651.8</v>
      </c>
      <c r="D116" s="9">
        <f t="shared" si="11"/>
        <v>2264.4</v>
      </c>
      <c r="E116" s="9">
        <f t="shared" si="11"/>
        <v>1628.4</v>
      </c>
      <c r="F116" s="9">
        <f t="shared" si="11"/>
        <v>0.6</v>
      </c>
      <c r="G116" s="9">
        <f t="shared" si="11"/>
        <v>2155.6</v>
      </c>
      <c r="H116" s="9">
        <f t="shared" si="11"/>
        <v>626</v>
      </c>
      <c r="I116" s="9">
        <f t="shared" si="11"/>
        <v>77381.4</v>
      </c>
      <c r="J116" s="49">
        <f t="shared" si="0"/>
        <v>0.027856823474375</v>
      </c>
    </row>
    <row r="117" ht="34" spans="1:10">
      <c r="A117" s="1" t="s">
        <v>78</v>
      </c>
      <c r="B117" s="7" t="s">
        <v>33</v>
      </c>
      <c r="C117" s="9">
        <v>330.5</v>
      </c>
      <c r="D117" s="9">
        <v>1158.2</v>
      </c>
      <c r="E117" s="9">
        <v>818.6</v>
      </c>
      <c r="F117" s="9">
        <v>0.2</v>
      </c>
      <c r="G117" s="9">
        <f>(4973+673)/5</f>
        <v>1129.2</v>
      </c>
      <c r="H117" s="9">
        <f>417+32</f>
        <v>449</v>
      </c>
      <c r="I117" s="9">
        <f>(199748+23933)/5</f>
        <v>44736.2</v>
      </c>
      <c r="J117" s="49">
        <f t="shared" si="0"/>
        <v>0.0252413034634144</v>
      </c>
    </row>
    <row r="118" spans="1:10">
      <c r="A118" s="1" t="s">
        <v>78</v>
      </c>
      <c r="B118" s="7" t="s">
        <v>35</v>
      </c>
      <c r="C118" s="9">
        <v>385.4</v>
      </c>
      <c r="D118" s="9">
        <v>1335.4</v>
      </c>
      <c r="E118" s="9">
        <v>897.8</v>
      </c>
      <c r="F118" s="9">
        <v>0</v>
      </c>
      <c r="G118" s="9">
        <f>5929/5</f>
        <v>1185.8</v>
      </c>
      <c r="H118" s="9">
        <v>218</v>
      </c>
      <c r="I118" s="9">
        <f>216248/5</f>
        <v>43249.6</v>
      </c>
      <c r="J118" s="49">
        <f t="shared" si="0"/>
        <v>0.0274175946135918</v>
      </c>
    </row>
    <row r="119" spans="1:10">
      <c r="A119" s="1" t="s">
        <v>78</v>
      </c>
      <c r="B119" s="7" t="s">
        <v>36</v>
      </c>
      <c r="C119" s="9">
        <f t="shared" ref="C119:I119" si="12">C117+C118</f>
        <v>715.9</v>
      </c>
      <c r="D119" s="9">
        <f t="shared" si="12"/>
        <v>2493.6</v>
      </c>
      <c r="E119" s="9">
        <f t="shared" si="12"/>
        <v>1716.4</v>
      </c>
      <c r="F119" s="9">
        <f t="shared" si="12"/>
        <v>0.2</v>
      </c>
      <c r="G119" s="9">
        <f t="shared" si="12"/>
        <v>2315</v>
      </c>
      <c r="H119" s="9">
        <f t="shared" si="12"/>
        <v>667</v>
      </c>
      <c r="I119" s="9">
        <f t="shared" si="12"/>
        <v>87985.8</v>
      </c>
      <c r="J119" s="49">
        <f t="shared" si="0"/>
        <v>0.0263110638307545</v>
      </c>
    </row>
    <row r="120" ht="34" spans="1:10">
      <c r="A120" s="1" t="s">
        <v>79</v>
      </c>
      <c r="B120" s="7" t="s">
        <v>33</v>
      </c>
      <c r="C120" s="9">
        <v>310.5</v>
      </c>
      <c r="D120" s="9">
        <v>1218.4</v>
      </c>
      <c r="E120" s="9">
        <v>882</v>
      </c>
      <c r="F120" s="9">
        <v>0.6</v>
      </c>
      <c r="G120" s="9">
        <f>(5287+710)/5</f>
        <v>1199.4</v>
      </c>
      <c r="H120" s="9">
        <f>415+37</f>
        <v>452</v>
      </c>
      <c r="I120" s="9">
        <f>(184679+24297)/5</f>
        <v>41795.2</v>
      </c>
      <c r="J120" s="49">
        <f t="shared" si="0"/>
        <v>0.0286970752622311</v>
      </c>
    </row>
    <row r="121" spans="1:10">
      <c r="A121" s="1" t="s">
        <v>79</v>
      </c>
      <c r="B121" s="7" t="s">
        <v>35</v>
      </c>
      <c r="C121" s="9">
        <v>306.2</v>
      </c>
      <c r="D121" s="9">
        <v>1123.2</v>
      </c>
      <c r="E121" s="9">
        <v>789</v>
      </c>
      <c r="F121" s="9">
        <v>0.4</v>
      </c>
      <c r="G121" s="9">
        <f>5276/5</f>
        <v>1055.2</v>
      </c>
      <c r="H121" s="9">
        <v>221</v>
      </c>
      <c r="I121" s="9">
        <f>181187/5</f>
        <v>36237.4</v>
      </c>
      <c r="J121" s="49">
        <f t="shared" si="0"/>
        <v>0.0291190869102088</v>
      </c>
    </row>
    <row r="122" spans="1:10">
      <c r="A122" s="1" t="s">
        <v>79</v>
      </c>
      <c r="B122" s="7" t="s">
        <v>36</v>
      </c>
      <c r="C122" s="9">
        <f t="shared" ref="C122:I122" si="13">C120+C121</f>
        <v>616.7</v>
      </c>
      <c r="D122" s="9">
        <f t="shared" si="13"/>
        <v>2341.6</v>
      </c>
      <c r="E122" s="9">
        <f t="shared" si="13"/>
        <v>1671</v>
      </c>
      <c r="F122" s="9">
        <f t="shared" si="13"/>
        <v>1</v>
      </c>
      <c r="G122" s="9">
        <f t="shared" si="13"/>
        <v>2254.6</v>
      </c>
      <c r="H122" s="9">
        <f t="shared" si="13"/>
        <v>673</v>
      </c>
      <c r="I122" s="9">
        <f t="shared" si="13"/>
        <v>78032.6</v>
      </c>
      <c r="J122" s="49">
        <f t="shared" si="0"/>
        <v>0.0288930523909238</v>
      </c>
    </row>
    <row r="123" ht="34" spans="1:10">
      <c r="A123" s="7" t="s">
        <v>80</v>
      </c>
      <c r="B123" s="7" t="s">
        <v>33</v>
      </c>
      <c r="C123" s="9">
        <v>312.8</v>
      </c>
      <c r="D123" s="9">
        <v>1235.2</v>
      </c>
      <c r="E123" s="9">
        <v>896.4</v>
      </c>
      <c r="F123" s="9">
        <v>0.2</v>
      </c>
      <c r="G123" s="9">
        <f>(5388+814)/5</f>
        <v>1240.4</v>
      </c>
      <c r="H123" s="9">
        <f>436+40</f>
        <v>476</v>
      </c>
      <c r="I123" s="9">
        <f>(210829+26794)/5</f>
        <v>47524.6</v>
      </c>
      <c r="J123" s="49">
        <f t="shared" si="0"/>
        <v>0.0261001670713694</v>
      </c>
    </row>
    <row r="124" spans="1:10">
      <c r="A124" s="7" t="s">
        <v>80</v>
      </c>
      <c r="B124" s="7" t="s">
        <v>35</v>
      </c>
      <c r="C124" s="9">
        <v>328.5</v>
      </c>
      <c r="D124" s="9">
        <v>1222.8</v>
      </c>
      <c r="E124" s="9">
        <v>909.2</v>
      </c>
      <c r="F124" s="9">
        <v>0</v>
      </c>
      <c r="G124" s="9">
        <f>5933/5</f>
        <v>1186.6</v>
      </c>
      <c r="H124" s="9">
        <v>242</v>
      </c>
      <c r="I124" s="9">
        <f>249188/5</f>
        <v>49837.6</v>
      </c>
      <c r="J124" s="49">
        <f t="shared" si="0"/>
        <v>0.0238093327126507</v>
      </c>
    </row>
    <row r="125" spans="1:10">
      <c r="A125" s="7" t="s">
        <v>80</v>
      </c>
      <c r="B125" s="7" t="s">
        <v>36</v>
      </c>
      <c r="C125" s="9">
        <f t="shared" ref="C125:I125" si="14">C123+C124</f>
        <v>641.3</v>
      </c>
      <c r="D125" s="9">
        <f t="shared" si="14"/>
        <v>2458</v>
      </c>
      <c r="E125" s="9">
        <f t="shared" si="14"/>
        <v>1805.6</v>
      </c>
      <c r="F125" s="9">
        <f t="shared" si="14"/>
        <v>0.2</v>
      </c>
      <c r="G125" s="9">
        <f t="shared" si="14"/>
        <v>2427</v>
      </c>
      <c r="H125" s="9">
        <f t="shared" si="14"/>
        <v>718</v>
      </c>
      <c r="I125" s="9">
        <f t="shared" si="14"/>
        <v>97362.2</v>
      </c>
      <c r="J125" s="49">
        <f t="shared" si="0"/>
        <v>0.0249275386135482</v>
      </c>
    </row>
    <row r="126" ht="34" spans="1:10">
      <c r="A126" s="7" t="s">
        <v>81</v>
      </c>
      <c r="B126" s="7" t="s">
        <v>33</v>
      </c>
      <c r="C126" s="9">
        <v>361</v>
      </c>
      <c r="D126" s="9">
        <v>1231.8</v>
      </c>
      <c r="E126" s="9">
        <v>902.4</v>
      </c>
      <c r="F126" s="9">
        <v>0.6</v>
      </c>
      <c r="G126" s="9">
        <f>(5292+908)/5</f>
        <v>1240</v>
      </c>
      <c r="H126" s="9">
        <f>465+43</f>
        <v>508</v>
      </c>
      <c r="I126" s="9">
        <f>(202524+29488)/5</f>
        <v>46402.4</v>
      </c>
      <c r="J126" s="49">
        <f t="shared" si="0"/>
        <v>0.0267227557195317</v>
      </c>
    </row>
    <row r="127" spans="1:10">
      <c r="A127" s="7" t="s">
        <v>81</v>
      </c>
      <c r="B127" s="7" t="s">
        <v>35</v>
      </c>
      <c r="C127" s="9">
        <v>330.4</v>
      </c>
      <c r="D127" s="9">
        <v>1159.8</v>
      </c>
      <c r="E127" s="9">
        <v>849.4</v>
      </c>
      <c r="F127" s="9">
        <v>0</v>
      </c>
      <c r="G127" s="9">
        <f>5686/5</f>
        <v>1137.2</v>
      </c>
      <c r="H127" s="9">
        <v>262</v>
      </c>
      <c r="I127" s="9">
        <f>275996/5</f>
        <v>55199.2</v>
      </c>
      <c r="J127" s="49">
        <f t="shared" si="0"/>
        <v>0.0206017478514181</v>
      </c>
    </row>
    <row r="128" spans="1:10">
      <c r="A128" s="7" t="s">
        <v>81</v>
      </c>
      <c r="B128" s="7" t="s">
        <v>36</v>
      </c>
      <c r="C128" s="9">
        <f t="shared" ref="C128:I128" si="15">C126+C127</f>
        <v>691.4</v>
      </c>
      <c r="D128" s="9">
        <f t="shared" si="15"/>
        <v>2391.6</v>
      </c>
      <c r="E128" s="9">
        <f t="shared" si="15"/>
        <v>1751.8</v>
      </c>
      <c r="F128" s="9">
        <f t="shared" si="15"/>
        <v>0.6</v>
      </c>
      <c r="G128" s="9">
        <f t="shared" si="15"/>
        <v>2377.2</v>
      </c>
      <c r="H128" s="9">
        <f t="shared" si="15"/>
        <v>770</v>
      </c>
      <c r="I128" s="9">
        <f t="shared" si="15"/>
        <v>101601.6</v>
      </c>
      <c r="J128" s="49">
        <f t="shared" si="0"/>
        <v>0.0233972693343412</v>
      </c>
    </row>
    <row r="129" ht="34" spans="1:10">
      <c r="A129" s="7" t="s">
        <v>82</v>
      </c>
      <c r="B129" s="7" t="s">
        <v>33</v>
      </c>
      <c r="C129" s="9">
        <v>313.2</v>
      </c>
      <c r="D129" s="9">
        <v>1123.2</v>
      </c>
      <c r="E129" s="9">
        <v>807</v>
      </c>
      <c r="F129" s="9">
        <v>0.2</v>
      </c>
      <c r="G129" s="13">
        <f>5855/5</f>
        <v>1171</v>
      </c>
      <c r="H129" s="13">
        <f>475+44</f>
        <v>519</v>
      </c>
      <c r="I129" s="13">
        <f>236367/5</f>
        <v>47273.4</v>
      </c>
      <c r="J129" s="49">
        <f t="shared" si="0"/>
        <v>0.0247708013385963</v>
      </c>
    </row>
    <row r="130" spans="1:10">
      <c r="A130" s="7" t="s">
        <v>82</v>
      </c>
      <c r="B130" s="7" t="s">
        <v>35</v>
      </c>
      <c r="C130" s="9">
        <v>312.8</v>
      </c>
      <c r="D130" s="9">
        <v>1211.2</v>
      </c>
      <c r="E130" s="9">
        <v>900.4</v>
      </c>
      <c r="F130" s="9">
        <v>0</v>
      </c>
      <c r="G130" s="13">
        <f>5746/5</f>
        <v>1149.2</v>
      </c>
      <c r="H130" s="13">
        <v>282</v>
      </c>
      <c r="I130" s="13">
        <f>268503/5</f>
        <v>53700.6</v>
      </c>
      <c r="J130" s="49">
        <f t="shared" si="0"/>
        <v>0.0214001333318436</v>
      </c>
    </row>
    <row r="131" spans="1:10">
      <c r="A131" s="7" t="s">
        <v>82</v>
      </c>
      <c r="B131" s="7" t="s">
        <v>36</v>
      </c>
      <c r="C131" s="9">
        <f t="shared" ref="C131:I131" si="16">C129+C130</f>
        <v>626</v>
      </c>
      <c r="D131" s="9">
        <f t="shared" si="16"/>
        <v>2334.4</v>
      </c>
      <c r="E131" s="9">
        <f t="shared" si="16"/>
        <v>1707.4</v>
      </c>
      <c r="F131" s="9">
        <f t="shared" si="16"/>
        <v>0.2</v>
      </c>
      <c r="G131" s="9">
        <f t="shared" si="16"/>
        <v>2320.2</v>
      </c>
      <c r="H131" s="9">
        <f t="shared" si="16"/>
        <v>801</v>
      </c>
      <c r="I131" s="9">
        <f t="shared" si="16"/>
        <v>100974</v>
      </c>
      <c r="J131" s="49">
        <f t="shared" si="0"/>
        <v>0.0229781924059659</v>
      </c>
    </row>
    <row r="132" ht="34" spans="1:10">
      <c r="A132" s="1" t="s">
        <v>83</v>
      </c>
      <c r="B132" s="7" t="s">
        <v>33</v>
      </c>
      <c r="C132" s="9">
        <v>291.1</v>
      </c>
      <c r="D132" s="9">
        <v>1094.2</v>
      </c>
      <c r="E132" s="9">
        <v>808.8</v>
      </c>
      <c r="F132" s="9">
        <v>0</v>
      </c>
      <c r="G132" s="9">
        <f>5600/5</f>
        <v>1120</v>
      </c>
      <c r="H132" s="9">
        <f>490+41</f>
        <v>531</v>
      </c>
      <c r="I132" s="9">
        <f>234809/5</f>
        <v>46961.8</v>
      </c>
      <c r="J132" s="49">
        <f t="shared" si="0"/>
        <v>0.0238491710283677</v>
      </c>
    </row>
    <row r="133" spans="1:10">
      <c r="A133" s="1" t="s">
        <v>83</v>
      </c>
      <c r="B133" s="7" t="s">
        <v>35</v>
      </c>
      <c r="C133" s="9">
        <v>324.1</v>
      </c>
      <c r="D133" s="9">
        <v>1191</v>
      </c>
      <c r="E133" s="9">
        <v>878.8</v>
      </c>
      <c r="F133" s="9">
        <v>0.2</v>
      </c>
      <c r="G133" s="9">
        <f>5868/5</f>
        <v>1173.6</v>
      </c>
      <c r="H133" s="9">
        <v>295</v>
      </c>
      <c r="I133" s="9">
        <f>272015/5</f>
        <v>54403</v>
      </c>
      <c r="J133" s="49">
        <f t="shared" si="0"/>
        <v>0.021572339760675</v>
      </c>
    </row>
    <row r="134" spans="1:10">
      <c r="A134" s="1" t="s">
        <v>83</v>
      </c>
      <c r="B134" s="7" t="s">
        <v>36</v>
      </c>
      <c r="C134" s="9">
        <f t="shared" ref="C134:I134" si="17">C132+C133</f>
        <v>615.2</v>
      </c>
      <c r="D134" s="9">
        <f t="shared" si="17"/>
        <v>2285.2</v>
      </c>
      <c r="E134" s="9">
        <f t="shared" si="17"/>
        <v>1687.6</v>
      </c>
      <c r="F134" s="9">
        <f t="shared" si="17"/>
        <v>0.2</v>
      </c>
      <c r="G134" s="9">
        <f t="shared" si="17"/>
        <v>2293.6</v>
      </c>
      <c r="H134" s="9">
        <f t="shared" si="17"/>
        <v>826</v>
      </c>
      <c r="I134" s="9">
        <f t="shared" si="17"/>
        <v>101364.8</v>
      </c>
      <c r="J134" s="49">
        <f t="shared" si="0"/>
        <v>0.0226271841901725</v>
      </c>
    </row>
    <row r="135" ht="34" spans="1:10">
      <c r="A135" s="1" t="s">
        <v>84</v>
      </c>
      <c r="B135" s="7" t="s">
        <v>33</v>
      </c>
      <c r="C135" s="9">
        <v>345.4</v>
      </c>
      <c r="D135" s="9">
        <v>1145.6</v>
      </c>
      <c r="E135" s="9">
        <v>852.2</v>
      </c>
      <c r="F135" s="9">
        <v>0.2</v>
      </c>
      <c r="G135" s="9">
        <f>5870/5</f>
        <v>1174</v>
      </c>
      <c r="H135" s="9">
        <f>514+43</f>
        <v>557</v>
      </c>
      <c r="I135" s="9">
        <f>231909/5</f>
        <v>46381.8</v>
      </c>
      <c r="J135" s="49">
        <f t="shared" si="0"/>
        <v>0.0253116524153871</v>
      </c>
    </row>
    <row r="136" spans="1:10">
      <c r="A136" s="1" t="s">
        <v>84</v>
      </c>
      <c r="B136" s="7" t="s">
        <v>35</v>
      </c>
      <c r="C136" s="9">
        <v>367</v>
      </c>
      <c r="D136" s="9">
        <v>1235.8</v>
      </c>
      <c r="E136" s="9">
        <v>891.2</v>
      </c>
      <c r="F136" s="9">
        <v>0</v>
      </c>
      <c r="G136" s="9">
        <f>5871/5</f>
        <v>1174.2</v>
      </c>
      <c r="H136" s="9">
        <v>310</v>
      </c>
      <c r="I136" s="9">
        <f>261633/5</f>
        <v>52326.6</v>
      </c>
      <c r="J136" s="49">
        <f t="shared" si="0"/>
        <v>0.0224398298379792</v>
      </c>
    </row>
    <row r="137" spans="1:10">
      <c r="A137" s="1" t="s">
        <v>84</v>
      </c>
      <c r="B137" s="7" t="s">
        <v>36</v>
      </c>
      <c r="C137" s="9">
        <f t="shared" ref="C137:I137" si="18">C135+C136</f>
        <v>712.4</v>
      </c>
      <c r="D137" s="9">
        <f t="shared" si="18"/>
        <v>2381.4</v>
      </c>
      <c r="E137" s="9">
        <f t="shared" si="18"/>
        <v>1743.4</v>
      </c>
      <c r="F137" s="9">
        <f t="shared" si="18"/>
        <v>0.2</v>
      </c>
      <c r="G137" s="9">
        <f t="shared" si="18"/>
        <v>2348.2</v>
      </c>
      <c r="H137" s="9">
        <f t="shared" si="18"/>
        <v>867</v>
      </c>
      <c r="I137" s="9">
        <f t="shared" si="18"/>
        <v>98708.4</v>
      </c>
      <c r="J137" s="49">
        <f t="shared" si="0"/>
        <v>0.0237892621094051</v>
      </c>
    </row>
    <row r="138" ht="34" spans="1:10">
      <c r="A138" s="1" t="s">
        <v>85</v>
      </c>
      <c r="B138" s="7" t="s">
        <v>33</v>
      </c>
      <c r="C138" s="9">
        <v>318.4</v>
      </c>
      <c r="D138" s="9">
        <v>1138.6</v>
      </c>
      <c r="E138" s="9">
        <v>828</v>
      </c>
      <c r="F138" s="9">
        <v>0.4</v>
      </c>
      <c r="G138" s="9">
        <f>6081/5</f>
        <v>1216.2</v>
      </c>
      <c r="H138" s="2">
        <f>503+45</f>
        <v>548</v>
      </c>
      <c r="I138" s="9">
        <f>214385/5</f>
        <v>42877</v>
      </c>
      <c r="J138" s="49">
        <f t="shared" si="0"/>
        <v>0.0283648576159713</v>
      </c>
    </row>
    <row r="139" spans="1:10">
      <c r="A139" s="1" t="s">
        <v>85</v>
      </c>
      <c r="B139" s="7" t="s">
        <v>35</v>
      </c>
      <c r="C139" s="9">
        <v>316.1</v>
      </c>
      <c r="D139" s="9">
        <v>1164.6</v>
      </c>
      <c r="E139" s="9">
        <v>811.8</v>
      </c>
      <c r="F139" s="9">
        <v>0.2</v>
      </c>
      <c r="G139" s="9">
        <f>5559/5</f>
        <v>1111.8</v>
      </c>
      <c r="H139" s="2">
        <v>291</v>
      </c>
      <c r="I139" s="9">
        <f>223482/5</f>
        <v>44696.4</v>
      </c>
      <c r="J139" s="49">
        <f t="shared" si="0"/>
        <v>0.0248744865358284</v>
      </c>
    </row>
    <row r="140" spans="1:10">
      <c r="A140" s="1" t="s">
        <v>85</v>
      </c>
      <c r="B140" s="7" t="s">
        <v>36</v>
      </c>
      <c r="C140" s="9">
        <f t="shared" ref="C140:I140" si="19">C138+C139</f>
        <v>634.5</v>
      </c>
      <c r="D140" s="9">
        <f t="shared" si="19"/>
        <v>2303.2</v>
      </c>
      <c r="E140" s="9">
        <f t="shared" si="19"/>
        <v>1639.8</v>
      </c>
      <c r="F140" s="9">
        <f t="shared" si="19"/>
        <v>0.6</v>
      </c>
      <c r="G140" s="9">
        <f t="shared" si="19"/>
        <v>2328</v>
      </c>
      <c r="H140" s="9">
        <f t="shared" si="19"/>
        <v>839</v>
      </c>
      <c r="I140" s="9">
        <f t="shared" si="19"/>
        <v>87573.4</v>
      </c>
      <c r="J140" s="49">
        <f t="shared" si="0"/>
        <v>0.0265834145984968</v>
      </c>
    </row>
    <row r="141" ht="34" spans="1:10">
      <c r="A141" s="1" t="s">
        <v>86</v>
      </c>
      <c r="B141" s="7" t="s">
        <v>33</v>
      </c>
      <c r="C141" s="9">
        <v>339.8</v>
      </c>
      <c r="D141" s="9">
        <v>1162</v>
      </c>
      <c r="E141" s="9">
        <v>855.4</v>
      </c>
      <c r="F141" s="9">
        <v>0.4</v>
      </c>
      <c r="G141" s="9">
        <f>(5470+796)/5</f>
        <v>1253.2</v>
      </c>
      <c r="H141" s="2">
        <f>490+46</f>
        <v>536</v>
      </c>
      <c r="I141" s="9">
        <f>(202439+31077)/5</f>
        <v>46703.2</v>
      </c>
      <c r="J141" s="49">
        <f t="shared" si="0"/>
        <v>0.0268332790900838</v>
      </c>
    </row>
    <row r="142" spans="1:10">
      <c r="A142" s="1" t="s">
        <v>86</v>
      </c>
      <c r="B142" s="7" t="s">
        <v>35</v>
      </c>
      <c r="C142" s="9">
        <v>337.4</v>
      </c>
      <c r="D142" s="9">
        <v>1182.4</v>
      </c>
      <c r="E142" s="9">
        <v>801.2</v>
      </c>
      <c r="F142" s="9">
        <v>0.4</v>
      </c>
      <c r="G142" s="9">
        <f>5459/5</f>
        <v>1091.8</v>
      </c>
      <c r="H142" s="2">
        <v>276</v>
      </c>
      <c r="I142" s="9">
        <v>215831</v>
      </c>
      <c r="J142" s="49">
        <f t="shared" si="0"/>
        <v>0.00505858750596532</v>
      </c>
    </row>
    <row r="143" spans="1:10">
      <c r="A143" s="1" t="s">
        <v>86</v>
      </c>
      <c r="B143" s="7" t="s">
        <v>36</v>
      </c>
      <c r="C143" s="9">
        <f t="shared" ref="C143:I143" si="20">C141+C142</f>
        <v>677.2</v>
      </c>
      <c r="D143" s="9">
        <f t="shared" si="20"/>
        <v>2344.4</v>
      </c>
      <c r="E143" s="9">
        <f t="shared" si="20"/>
        <v>1656.6</v>
      </c>
      <c r="F143" s="9">
        <f t="shared" si="20"/>
        <v>0.8</v>
      </c>
      <c r="G143" s="9">
        <f t="shared" si="20"/>
        <v>2345</v>
      </c>
      <c r="H143">
        <f t="shared" si="20"/>
        <v>812</v>
      </c>
      <c r="I143" s="9">
        <f t="shared" si="20"/>
        <v>262534.2</v>
      </c>
      <c r="J143" s="49">
        <f t="shared" si="0"/>
        <v>0.00893216959923697</v>
      </c>
    </row>
    <row r="144" ht="34" spans="1:10">
      <c r="A144" s="1" t="s">
        <v>87</v>
      </c>
      <c r="B144" s="7" t="s">
        <v>33</v>
      </c>
      <c r="C144" s="9">
        <v>344.4</v>
      </c>
      <c r="D144" s="9">
        <v>1182.6</v>
      </c>
      <c r="E144" s="9">
        <v>879</v>
      </c>
      <c r="F144" s="9">
        <v>0.6</v>
      </c>
      <c r="G144" s="9">
        <f>6221/5</f>
        <v>1244.2</v>
      </c>
      <c r="H144" s="9">
        <f>549+54</f>
        <v>603</v>
      </c>
      <c r="I144" s="9">
        <f>260255/5</f>
        <v>52051</v>
      </c>
      <c r="J144" s="49">
        <f t="shared" si="0"/>
        <v>0.023903479279937</v>
      </c>
    </row>
    <row r="145" spans="1:10">
      <c r="A145" s="1" t="s">
        <v>87</v>
      </c>
      <c r="B145" s="7" t="s">
        <v>35</v>
      </c>
      <c r="C145" s="9">
        <v>362.1</v>
      </c>
      <c r="D145" s="9">
        <v>1275.8</v>
      </c>
      <c r="E145" s="9">
        <v>982.6</v>
      </c>
      <c r="F145" s="9">
        <v>0.2</v>
      </c>
      <c r="G145" s="9">
        <f>6729/5</f>
        <v>1345.8</v>
      </c>
      <c r="H145" s="9">
        <v>301</v>
      </c>
      <c r="I145" s="9">
        <f>306258/5</f>
        <v>61251.6</v>
      </c>
      <c r="J145" s="49">
        <f t="shared" si="0"/>
        <v>0.0219716709441059</v>
      </c>
    </row>
    <row r="146" spans="1:10">
      <c r="A146" s="1" t="s">
        <v>87</v>
      </c>
      <c r="B146" s="7" t="s">
        <v>36</v>
      </c>
      <c r="C146" s="9">
        <f t="shared" ref="C146:I146" si="21">C144+C145</f>
        <v>706.5</v>
      </c>
      <c r="D146" s="9">
        <f t="shared" si="21"/>
        <v>2458.4</v>
      </c>
      <c r="E146" s="9">
        <f t="shared" si="21"/>
        <v>1861.6</v>
      </c>
      <c r="F146" s="9">
        <f t="shared" si="21"/>
        <v>0.8</v>
      </c>
      <c r="G146" s="9">
        <f t="shared" si="21"/>
        <v>2590</v>
      </c>
      <c r="H146" s="9">
        <f t="shared" si="21"/>
        <v>904</v>
      </c>
      <c r="I146" s="9">
        <f t="shared" si="21"/>
        <v>113302.6</v>
      </c>
      <c r="J146" s="49">
        <f t="shared" si="0"/>
        <v>0.0228591400373866</v>
      </c>
    </row>
    <row r="147" ht="34" spans="1:10">
      <c r="A147" s="1" t="s">
        <v>88</v>
      </c>
      <c r="B147" s="7" t="s">
        <v>33</v>
      </c>
      <c r="C147" s="44">
        <v>346.8</v>
      </c>
      <c r="D147" s="44">
        <v>1359.8</v>
      </c>
      <c r="E147" s="44">
        <v>1010.2</v>
      </c>
      <c r="F147" s="44">
        <v>0.4</v>
      </c>
      <c r="G147" s="9">
        <f>6803/5</f>
        <v>1360.6</v>
      </c>
      <c r="H147" s="9">
        <f>609+57</f>
        <v>666</v>
      </c>
      <c r="I147" s="9">
        <f>319332/5</f>
        <v>63866.4</v>
      </c>
      <c r="J147" s="49">
        <f t="shared" si="0"/>
        <v>0.0213038467801536</v>
      </c>
    </row>
    <row r="148" spans="1:10">
      <c r="A148" s="1" t="s">
        <v>88</v>
      </c>
      <c r="B148" s="7" t="s">
        <v>35</v>
      </c>
      <c r="C148" s="44">
        <v>372.1</v>
      </c>
      <c r="D148" s="44">
        <v>1376.4</v>
      </c>
      <c r="E148" s="44">
        <v>1072.8</v>
      </c>
      <c r="F148" s="44">
        <v>0</v>
      </c>
      <c r="G148" s="9">
        <f>7237/5</f>
        <v>1447.4</v>
      </c>
      <c r="H148" s="9">
        <v>317</v>
      </c>
      <c r="I148" s="9">
        <f>325129/5</f>
        <v>65025.8</v>
      </c>
      <c r="J148" s="49">
        <f t="shared" si="0"/>
        <v>0.0222588572535824</v>
      </c>
    </row>
    <row r="149" spans="1:10">
      <c r="A149" s="1" t="s">
        <v>88</v>
      </c>
      <c r="B149" s="7" t="s">
        <v>36</v>
      </c>
      <c r="C149" s="9">
        <f t="shared" ref="C149:I149" si="22">C147+C148</f>
        <v>718.9</v>
      </c>
      <c r="D149" s="9">
        <f t="shared" si="22"/>
        <v>2736.2</v>
      </c>
      <c r="E149" s="9">
        <f t="shared" si="22"/>
        <v>2083</v>
      </c>
      <c r="F149" s="9">
        <f t="shared" si="22"/>
        <v>0.4</v>
      </c>
      <c r="G149" s="9">
        <f t="shared" si="22"/>
        <v>2808</v>
      </c>
      <c r="H149" s="9">
        <f t="shared" si="22"/>
        <v>983</v>
      </c>
      <c r="I149" s="9">
        <f t="shared" si="22"/>
        <v>128892.2</v>
      </c>
      <c r="J149" s="49">
        <f t="shared" si="0"/>
        <v>0.0217856472307867</v>
      </c>
    </row>
    <row r="150" ht="34" spans="1:10">
      <c r="A150" s="1" t="s">
        <v>89</v>
      </c>
      <c r="B150" s="7" t="s">
        <v>33</v>
      </c>
      <c r="C150" s="44">
        <v>372.3</v>
      </c>
      <c r="D150" s="44">
        <v>1348.8</v>
      </c>
      <c r="E150" s="44">
        <v>1002.8</v>
      </c>
      <c r="F150" s="44">
        <v>0.8</v>
      </c>
      <c r="G150" s="9">
        <f>(5997+998)/5</f>
        <v>1399</v>
      </c>
      <c r="H150" s="9">
        <f>685+66</f>
        <v>751</v>
      </c>
      <c r="I150" s="9">
        <f>(255680+42453)/5</f>
        <v>59626.6</v>
      </c>
      <c r="J150" s="49">
        <f t="shared" si="0"/>
        <v>0.0234626827623913</v>
      </c>
    </row>
    <row r="151" spans="1:10">
      <c r="A151" s="1" t="s">
        <v>89</v>
      </c>
      <c r="B151" s="7" t="s">
        <v>35</v>
      </c>
      <c r="C151" s="44">
        <v>388.7</v>
      </c>
      <c r="D151" s="44">
        <v>1466.4</v>
      </c>
      <c r="E151" s="44">
        <v>1143</v>
      </c>
      <c r="F151" s="44">
        <v>0</v>
      </c>
      <c r="G151" s="9">
        <f>7338/5</f>
        <v>1467.6</v>
      </c>
      <c r="H151" s="9">
        <v>356</v>
      </c>
      <c r="I151" s="9">
        <f>335369/5</f>
        <v>67073.8</v>
      </c>
      <c r="J151" s="49">
        <f t="shared" si="0"/>
        <v>0.0218803765404674</v>
      </c>
    </row>
    <row r="152" spans="1:10">
      <c r="A152" s="1" t="s">
        <v>89</v>
      </c>
      <c r="B152" s="7" t="s">
        <v>36</v>
      </c>
      <c r="C152" s="9">
        <f t="shared" ref="C152:I152" si="23">C150+C151</f>
        <v>761</v>
      </c>
      <c r="D152" s="9">
        <f t="shared" si="23"/>
        <v>2815.2</v>
      </c>
      <c r="E152" s="9">
        <f t="shared" si="23"/>
        <v>2145.8</v>
      </c>
      <c r="F152" s="9">
        <f t="shared" si="23"/>
        <v>0.8</v>
      </c>
      <c r="G152" s="9">
        <f t="shared" si="23"/>
        <v>2866.6</v>
      </c>
      <c r="H152" s="9">
        <f t="shared" si="23"/>
        <v>1107</v>
      </c>
      <c r="I152" s="9">
        <f t="shared" si="23"/>
        <v>126700.4</v>
      </c>
      <c r="J152" s="49">
        <f t="shared" si="0"/>
        <v>0.0226250272295904</v>
      </c>
    </row>
    <row r="153" ht="34" spans="1:10">
      <c r="A153" s="1" t="s">
        <v>90</v>
      </c>
      <c r="B153" s="7" t="s">
        <v>33</v>
      </c>
      <c r="C153" s="44">
        <v>462.9</v>
      </c>
      <c r="D153" s="44">
        <v>1591.2</v>
      </c>
      <c r="E153" s="44">
        <v>1224.2</v>
      </c>
      <c r="F153" s="44">
        <v>1.8</v>
      </c>
      <c r="G153" s="9">
        <f>(7310+1243)/5</f>
        <v>1710.6</v>
      </c>
      <c r="H153" s="9">
        <f>737+81</f>
        <v>818</v>
      </c>
      <c r="I153" s="9">
        <f>(242050+45905)/5</f>
        <v>57591</v>
      </c>
      <c r="J153" s="49">
        <f t="shared" si="0"/>
        <v>0.0297025576913059</v>
      </c>
    </row>
    <row r="154" spans="1:10">
      <c r="A154" s="1" t="s">
        <v>90</v>
      </c>
      <c r="B154" s="7" t="s">
        <v>35</v>
      </c>
      <c r="C154" s="44">
        <v>353.4</v>
      </c>
      <c r="D154" s="44">
        <v>1293</v>
      </c>
      <c r="E154" s="44">
        <v>973.6</v>
      </c>
      <c r="F154" s="44">
        <v>0</v>
      </c>
      <c r="G154" s="9">
        <f>6750/5</f>
        <v>1350</v>
      </c>
      <c r="H154" s="9">
        <v>377</v>
      </c>
      <c r="I154" s="9">
        <f>291147/5</f>
        <v>58229.4</v>
      </c>
      <c r="J154" s="49">
        <f t="shared" si="0"/>
        <v>0.023184164700306</v>
      </c>
    </row>
    <row r="155" spans="1:10">
      <c r="A155" s="1" t="s">
        <v>90</v>
      </c>
      <c r="B155" s="7" t="s">
        <v>36</v>
      </c>
      <c r="C155" s="9">
        <f t="shared" ref="C155:I155" si="24">C153+C154</f>
        <v>816.3</v>
      </c>
      <c r="D155" s="9">
        <f t="shared" si="24"/>
        <v>2884.2</v>
      </c>
      <c r="E155" s="9">
        <f t="shared" si="24"/>
        <v>2197.8</v>
      </c>
      <c r="F155" s="9">
        <f t="shared" si="24"/>
        <v>1.8</v>
      </c>
      <c r="G155" s="9">
        <f t="shared" si="24"/>
        <v>3060.6</v>
      </c>
      <c r="H155" s="9">
        <f t="shared" si="24"/>
        <v>1195</v>
      </c>
      <c r="I155" s="9">
        <f t="shared" si="24"/>
        <v>115820.4</v>
      </c>
      <c r="J155" s="49">
        <f t="shared" si="0"/>
        <v>0.0264253965622636</v>
      </c>
    </row>
    <row r="156" ht="34" spans="1:10">
      <c r="A156" s="1" t="s">
        <v>91</v>
      </c>
      <c r="B156" s="7" t="s">
        <v>33</v>
      </c>
      <c r="C156" s="44">
        <v>526.9</v>
      </c>
      <c r="D156" s="44">
        <v>1730.8</v>
      </c>
      <c r="E156" s="44">
        <v>1279.4</v>
      </c>
      <c r="F156" s="44">
        <v>0.6</v>
      </c>
      <c r="G156" s="9">
        <f>(7580+991)/5</f>
        <v>1714.2</v>
      </c>
      <c r="H156" s="9">
        <f>780+90</f>
        <v>870</v>
      </c>
      <c r="I156" s="9">
        <f>(250590+42225)/5</f>
        <v>58563</v>
      </c>
      <c r="J156" s="49">
        <f t="shared" si="0"/>
        <v>0.0292710414425491</v>
      </c>
    </row>
    <row r="157" spans="1:10">
      <c r="A157" s="1" t="s">
        <v>91</v>
      </c>
      <c r="B157" s="7" t="s">
        <v>35</v>
      </c>
      <c r="C157" s="44">
        <v>377</v>
      </c>
      <c r="D157" s="44">
        <v>1344</v>
      </c>
      <c r="E157" s="44">
        <v>1033.8</v>
      </c>
      <c r="F157" s="44">
        <v>0.4</v>
      </c>
      <c r="G157" s="9">
        <f>6843/5</f>
        <v>1368.6</v>
      </c>
      <c r="H157" s="9">
        <v>420</v>
      </c>
      <c r="I157" s="9">
        <f>317632/5</f>
        <v>63526.4</v>
      </c>
      <c r="J157" s="49">
        <f t="shared" si="0"/>
        <v>0.0215437991134395</v>
      </c>
    </row>
    <row r="158" spans="1:10">
      <c r="A158" s="1" t="s">
        <v>91</v>
      </c>
      <c r="B158" s="7" t="s">
        <v>36</v>
      </c>
      <c r="C158" s="9">
        <f t="shared" ref="C158:I158" si="25">C156+C157</f>
        <v>903.9</v>
      </c>
      <c r="D158" s="9">
        <f t="shared" si="25"/>
        <v>3074.8</v>
      </c>
      <c r="E158" s="9">
        <f t="shared" si="25"/>
        <v>2313.2</v>
      </c>
      <c r="F158" s="9">
        <f t="shared" si="25"/>
        <v>1</v>
      </c>
      <c r="G158" s="9">
        <f t="shared" si="25"/>
        <v>3082.8</v>
      </c>
      <c r="H158" s="9">
        <f t="shared" si="25"/>
        <v>1290</v>
      </c>
      <c r="I158" s="9">
        <f t="shared" si="25"/>
        <v>122089.4</v>
      </c>
      <c r="J158" s="49">
        <f t="shared" si="0"/>
        <v>0.0252503493341764</v>
      </c>
    </row>
    <row r="159" ht="34" spans="1:10">
      <c r="A159" s="1" t="s">
        <v>92</v>
      </c>
      <c r="B159" s="7" t="s">
        <v>33</v>
      </c>
      <c r="C159">
        <v>443.7</v>
      </c>
      <c r="D159">
        <v>1489.8</v>
      </c>
      <c r="E159">
        <v>1095.2</v>
      </c>
      <c r="F159">
        <v>0.2</v>
      </c>
      <c r="G159" s="9">
        <f>(6477+1038)/5</f>
        <v>1503</v>
      </c>
      <c r="H159" s="9">
        <f>795+89</f>
        <v>884</v>
      </c>
      <c r="I159" s="9">
        <f>(233793+46492)/5</f>
        <v>56057</v>
      </c>
      <c r="J159" s="49">
        <f t="shared" si="0"/>
        <v>0.0268119949337282</v>
      </c>
    </row>
    <row r="160" spans="1:10">
      <c r="A160" s="1" t="s">
        <v>92</v>
      </c>
      <c r="B160" s="7" t="s">
        <v>35</v>
      </c>
      <c r="C160">
        <v>478.9</v>
      </c>
      <c r="D160">
        <v>1612.4</v>
      </c>
      <c r="E160">
        <v>1231.6</v>
      </c>
      <c r="F160">
        <v>0</v>
      </c>
      <c r="G160" s="9">
        <f>8754/5</f>
        <v>1750.8</v>
      </c>
      <c r="H160" s="9">
        <v>528</v>
      </c>
      <c r="I160" s="9">
        <f>361624/5</f>
        <v>72324.8</v>
      </c>
      <c r="J160" s="49">
        <f t="shared" si="0"/>
        <v>0.0242074641063646</v>
      </c>
    </row>
    <row r="161" spans="1:10">
      <c r="A161" s="1" t="s">
        <v>92</v>
      </c>
      <c r="B161" s="7" t="s">
        <v>36</v>
      </c>
      <c r="C161">
        <f>SUM(C159:C160)</f>
        <v>922.6</v>
      </c>
      <c r="D161">
        <f>SUM(D159:D160)</f>
        <v>3102.2</v>
      </c>
      <c r="E161">
        <f>SUM(E159:E160)</f>
        <v>2326.8</v>
      </c>
      <c r="F161">
        <f>SUM(F159:F160)</f>
        <v>0.2</v>
      </c>
      <c r="G161" s="9">
        <f>G159+G160</f>
        <v>3253.8</v>
      </c>
      <c r="H161" s="9">
        <f>H159+H160</f>
        <v>1412</v>
      </c>
      <c r="I161" s="9">
        <f>I159+I160</f>
        <v>128381.8</v>
      </c>
      <c r="J161" s="49">
        <f t="shared" si="0"/>
        <v>0.0253447139703603</v>
      </c>
    </row>
    <row r="162" ht="34" spans="1:10">
      <c r="A162" s="1" t="s">
        <v>93</v>
      </c>
      <c r="B162" s="7" t="s">
        <v>33</v>
      </c>
      <c r="C162">
        <v>409.8</v>
      </c>
      <c r="D162">
        <v>1458</v>
      </c>
      <c r="E162">
        <v>1087.6</v>
      </c>
      <c r="F162">
        <v>0.2</v>
      </c>
      <c r="G162" s="9">
        <f>(6308+963)/5</f>
        <v>1454.2</v>
      </c>
      <c r="H162" s="9">
        <f>801+93</f>
        <v>894</v>
      </c>
      <c r="I162" s="9">
        <f>(229675+44675)/5</f>
        <v>54870</v>
      </c>
      <c r="J162" s="49">
        <f t="shared" si="0"/>
        <v>0.026502642609805</v>
      </c>
    </row>
    <row r="163" spans="1:10">
      <c r="A163" s="1" t="s">
        <v>93</v>
      </c>
      <c r="B163" s="7" t="s">
        <v>35</v>
      </c>
      <c r="C163">
        <v>441.2</v>
      </c>
      <c r="D163">
        <v>1598.4</v>
      </c>
      <c r="E163">
        <v>1191.2</v>
      </c>
      <c r="F163">
        <v>0</v>
      </c>
      <c r="G163" s="9">
        <f>8001/5</f>
        <v>1600.2</v>
      </c>
      <c r="H163" s="9">
        <v>443</v>
      </c>
      <c r="I163" s="9">
        <f>298093/5</f>
        <v>59618.6</v>
      </c>
      <c r="J163" s="49">
        <f t="shared" si="0"/>
        <v>0.0268406168544716</v>
      </c>
    </row>
    <row r="164" spans="1:10">
      <c r="A164" s="1" t="s">
        <v>93</v>
      </c>
      <c r="B164" s="7" t="s">
        <v>36</v>
      </c>
      <c r="C164">
        <f>SUM(C162:C163)</f>
        <v>851</v>
      </c>
      <c r="D164">
        <f>SUM(D162:D163)</f>
        <v>3056.4</v>
      </c>
      <c r="E164">
        <f>SUM(E162:E163)</f>
        <v>2278.8</v>
      </c>
      <c r="F164">
        <f>SUM(F162:F163)</f>
        <v>0.2</v>
      </c>
      <c r="G164" s="9">
        <f>G162+G163</f>
        <v>3054.4</v>
      </c>
      <c r="H164" s="9">
        <f>H162+H163</f>
        <v>1337</v>
      </c>
      <c r="I164" s="9">
        <f>I162+I163</f>
        <v>114488.6</v>
      </c>
      <c r="J164" s="49">
        <f t="shared" si="0"/>
        <v>0.0266786387465652</v>
      </c>
    </row>
    <row r="165" ht="34" spans="1:10">
      <c r="A165" s="1" t="s">
        <v>94</v>
      </c>
      <c r="B165" s="7" t="s">
        <v>33</v>
      </c>
      <c r="C165">
        <v>480</v>
      </c>
      <c r="D165">
        <v>1633.4</v>
      </c>
      <c r="E165">
        <v>1196.4</v>
      </c>
      <c r="F165">
        <v>0.4</v>
      </c>
      <c r="G165" s="9">
        <f>(6802+1301)/5</f>
        <v>1620.6</v>
      </c>
      <c r="H165" s="9">
        <f>808+103</f>
        <v>911</v>
      </c>
      <c r="I165" s="9">
        <f>(222439+46316)/5</f>
        <v>53751</v>
      </c>
      <c r="J165" s="49">
        <f t="shared" si="0"/>
        <v>0.030150136741642</v>
      </c>
    </row>
    <row r="166" customFormat="1" spans="1:10">
      <c r="A166" s="1" t="s">
        <v>94</v>
      </c>
      <c r="B166" s="7" t="s">
        <v>35</v>
      </c>
      <c r="C166">
        <v>429.2</v>
      </c>
      <c r="D166">
        <v>1514.4</v>
      </c>
      <c r="E166">
        <v>1123.8</v>
      </c>
      <c r="F166">
        <v>1.6</v>
      </c>
      <c r="G166" s="9">
        <f>7454/5</f>
        <v>1490.8</v>
      </c>
      <c r="H166" s="9">
        <v>579</v>
      </c>
      <c r="I166" s="9">
        <f>273716/5</f>
        <v>54743.2</v>
      </c>
      <c r="J166" s="49">
        <f t="shared" si="0"/>
        <v>0.0272326060588347</v>
      </c>
    </row>
    <row r="167" customFormat="1" spans="1:10">
      <c r="A167" s="1" t="s">
        <v>94</v>
      </c>
      <c r="B167" s="7" t="s">
        <v>36</v>
      </c>
      <c r="C167">
        <f>SUM(C165:C166)</f>
        <v>909.2</v>
      </c>
      <c r="D167">
        <f>SUM(D165:D166)</f>
        <v>3147.8</v>
      </c>
      <c r="E167">
        <f>SUM(E165:E166)</f>
        <v>2320.2</v>
      </c>
      <c r="F167">
        <f>SUM(F165:F166)</f>
        <v>2</v>
      </c>
      <c r="G167" s="9">
        <f>G165+G166</f>
        <v>3111.4</v>
      </c>
      <c r="H167" s="9">
        <f>H165+H166</f>
        <v>1490</v>
      </c>
      <c r="I167" s="9">
        <f>I165+I166</f>
        <v>108494.2</v>
      </c>
      <c r="J167" s="49">
        <f t="shared" si="0"/>
        <v>0.028678030715006</v>
      </c>
    </row>
    <row r="168" customFormat="1" ht="34" spans="1:10">
      <c r="A168" s="1" t="s">
        <v>95</v>
      </c>
      <c r="B168" s="7" t="s">
        <v>33</v>
      </c>
      <c r="C168">
        <v>442.8</v>
      </c>
      <c r="D168">
        <v>1701</v>
      </c>
      <c r="E168">
        <v>1121.4</v>
      </c>
      <c r="F168">
        <v>0.2</v>
      </c>
      <c r="G168" s="9"/>
      <c r="H168" s="9"/>
      <c r="I168" s="9"/>
      <c r="J168" s="49"/>
    </row>
    <row r="169" customFormat="1" spans="1:10">
      <c r="A169" s="1" t="s">
        <v>95</v>
      </c>
      <c r="B169" s="7" t="s">
        <v>35</v>
      </c>
      <c r="C169">
        <v>382.8</v>
      </c>
      <c r="D169">
        <v>1382.6</v>
      </c>
      <c r="E169">
        <v>965.8</v>
      </c>
      <c r="F169">
        <v>0</v>
      </c>
      <c r="G169" s="9"/>
      <c r="H169" s="9"/>
      <c r="I169" s="9"/>
      <c r="J169" s="49"/>
    </row>
    <row r="170" customFormat="1" spans="1:10">
      <c r="A170" s="1" t="s">
        <v>95</v>
      </c>
      <c r="B170" s="7" t="s">
        <v>36</v>
      </c>
      <c r="C170">
        <f>SUM(C168:C169)</f>
        <v>825.6</v>
      </c>
      <c r="D170">
        <f>SUM(D168:D169)</f>
        <v>3083.6</v>
      </c>
      <c r="E170">
        <f>SUM(E168:E169)</f>
        <v>2087.2</v>
      </c>
      <c r="F170">
        <f>SUM(F168:F169)</f>
        <v>0.2</v>
      </c>
      <c r="G170" s="9"/>
      <c r="H170" s="9"/>
      <c r="I170" s="9"/>
      <c r="J170" s="49"/>
    </row>
    <row r="171" customFormat="1" ht="34" spans="1:10">
      <c r="A171" s="1" t="s">
        <v>96</v>
      </c>
      <c r="B171" s="7" t="s">
        <v>33</v>
      </c>
      <c r="C171">
        <v>430.8</v>
      </c>
      <c r="D171">
        <v>1703.6</v>
      </c>
      <c r="E171">
        <v>1177</v>
      </c>
      <c r="F171">
        <v>0.6</v>
      </c>
      <c r="G171" s="9"/>
      <c r="H171" s="9"/>
      <c r="I171" s="9"/>
      <c r="J171" s="49"/>
    </row>
    <row r="172" customFormat="1" spans="1:10">
      <c r="A172" s="1" t="s">
        <v>96</v>
      </c>
      <c r="B172" s="7" t="s">
        <v>35</v>
      </c>
      <c r="C172">
        <v>326.2</v>
      </c>
      <c r="D172">
        <v>1495.4</v>
      </c>
      <c r="E172">
        <v>1000.6</v>
      </c>
      <c r="F172">
        <v>0</v>
      </c>
      <c r="G172" s="9"/>
      <c r="H172" s="9"/>
      <c r="I172" s="9"/>
      <c r="J172" s="49"/>
    </row>
    <row r="173" customFormat="1" spans="1:10">
      <c r="A173" s="1" t="s">
        <v>96</v>
      </c>
      <c r="B173" s="7" t="s">
        <v>36</v>
      </c>
      <c r="C173">
        <f>SUM(C171:C172)</f>
        <v>757</v>
      </c>
      <c r="D173">
        <f>SUM(D171:D172)</f>
        <v>3199</v>
      </c>
      <c r="E173">
        <f>SUM(E171:E172)</f>
        <v>2177.6</v>
      </c>
      <c r="F173">
        <f>SUM(F171:F172)</f>
        <v>0.6</v>
      </c>
      <c r="G173" s="9"/>
      <c r="H173" s="9"/>
      <c r="I173" s="9"/>
      <c r="J173" s="49"/>
    </row>
  </sheetData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174"/>
  <sheetViews>
    <sheetView topLeftCell="J144" workbookViewId="0">
      <selection activeCell="O156" sqref="O156"/>
    </sheetView>
  </sheetViews>
  <sheetFormatPr defaultColWidth="11" defaultRowHeight="17.6"/>
  <cols>
    <col min="3" max="4" width="11" customWidth="1"/>
    <col min="6" max="8" width="11" customWidth="1"/>
    <col min="10" max="11" width="11" customWidth="1"/>
    <col min="13" max="14" width="11" customWidth="1"/>
    <col min="16" max="17" width="11" customWidth="1"/>
    <col min="19" max="21" width="11" customWidth="1"/>
    <col min="23" max="24" width="11" customWidth="1"/>
    <col min="26" max="27" width="11" customWidth="1"/>
    <col min="29" max="30" width="11" customWidth="1"/>
    <col min="32" max="32" width="11" customWidth="1"/>
    <col min="41" max="68" width="11" customWidth="1"/>
  </cols>
  <sheetData>
    <row r="1" ht="66.75" customHeight="1" spans="1:31">
      <c r="A1" s="1"/>
      <c r="B1" s="7"/>
      <c r="C1" s="2"/>
      <c r="D1" s="2"/>
      <c r="E1" s="2" t="s">
        <v>0</v>
      </c>
      <c r="F1" s="2" t="s">
        <v>6</v>
      </c>
      <c r="I1" s="2" t="s">
        <v>0</v>
      </c>
      <c r="J1" s="2"/>
      <c r="L1" s="2" t="s">
        <v>0</v>
      </c>
      <c r="M1" s="2"/>
      <c r="O1" s="2" t="s">
        <v>0</v>
      </c>
      <c r="P1" s="2"/>
      <c r="R1" s="2" t="s">
        <v>0</v>
      </c>
      <c r="T1" s="2" t="s">
        <v>0</v>
      </c>
      <c r="V1" s="2" t="s">
        <v>0</v>
      </c>
      <c r="W1" s="2"/>
      <c r="Y1" s="2" t="s">
        <v>0</v>
      </c>
      <c r="Z1" s="2"/>
      <c r="AB1" s="2" t="s">
        <v>0</v>
      </c>
      <c r="AC1" s="2"/>
      <c r="AE1" s="2" t="s">
        <v>0</v>
      </c>
    </row>
    <row r="2" spans="1:68">
      <c r="A2" s="3"/>
      <c r="B2" s="4"/>
      <c r="C2" s="4"/>
      <c r="D2" s="4"/>
      <c r="E2" s="4"/>
      <c r="F2" s="4"/>
      <c r="G2" s="4"/>
      <c r="H2" s="4"/>
      <c r="I2" s="19" t="s">
        <v>100</v>
      </c>
      <c r="J2" s="19"/>
      <c r="K2" s="19"/>
      <c r="L2" s="20" t="s">
        <v>101</v>
      </c>
      <c r="M2" s="20"/>
      <c r="N2" s="20"/>
      <c r="O2" s="23" t="s">
        <v>102</v>
      </c>
      <c r="P2" s="23"/>
      <c r="Q2" s="23"/>
      <c r="R2" s="25" t="s">
        <v>103</v>
      </c>
      <c r="S2" s="25"/>
      <c r="T2" s="26" t="s">
        <v>104</v>
      </c>
      <c r="U2" s="26"/>
      <c r="V2" s="29" t="s">
        <v>105</v>
      </c>
      <c r="W2" s="29"/>
      <c r="X2" s="29"/>
      <c r="Y2" s="33" t="s">
        <v>106</v>
      </c>
      <c r="Z2" s="33"/>
      <c r="AA2" s="33"/>
      <c r="AB2" s="34" t="s">
        <v>140</v>
      </c>
      <c r="AC2" s="34"/>
      <c r="AD2" s="34"/>
      <c r="AE2" s="38" t="s">
        <v>141</v>
      </c>
      <c r="AF2" s="38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</row>
    <row r="3" ht="31" spans="1:68">
      <c r="A3" s="3" t="s">
        <v>12</v>
      </c>
      <c r="B3" s="4" t="s">
        <v>13</v>
      </c>
      <c r="C3" s="16" t="s">
        <v>107</v>
      </c>
      <c r="D3" s="16" t="s">
        <v>14</v>
      </c>
      <c r="E3" s="16" t="s">
        <v>133</v>
      </c>
      <c r="F3" s="16" t="s">
        <v>142</v>
      </c>
      <c r="G3" s="16" t="s">
        <v>143</v>
      </c>
      <c r="H3" s="16" t="s">
        <v>144</v>
      </c>
      <c r="I3" s="21" t="s">
        <v>112</v>
      </c>
      <c r="J3" s="21" t="s">
        <v>113</v>
      </c>
      <c r="K3" s="21" t="s">
        <v>145</v>
      </c>
      <c r="L3" s="22" t="s">
        <v>115</v>
      </c>
      <c r="M3" s="22" t="s">
        <v>116</v>
      </c>
      <c r="N3" s="22" t="s">
        <v>117</v>
      </c>
      <c r="O3" s="24" t="s">
        <v>146</v>
      </c>
      <c r="P3" s="24" t="s">
        <v>147</v>
      </c>
      <c r="Q3" s="24" t="s">
        <v>120</v>
      </c>
      <c r="R3" s="27" t="s">
        <v>148</v>
      </c>
      <c r="S3" s="27" t="s">
        <v>122</v>
      </c>
      <c r="T3" s="28" t="s">
        <v>149</v>
      </c>
      <c r="U3" s="30" t="s">
        <v>124</v>
      </c>
      <c r="V3" s="31" t="s">
        <v>125</v>
      </c>
      <c r="W3" s="31" t="s">
        <v>150</v>
      </c>
      <c r="X3" s="32" t="s">
        <v>127</v>
      </c>
      <c r="Y3" s="35" t="s">
        <v>128</v>
      </c>
      <c r="Z3" s="35" t="s">
        <v>129</v>
      </c>
      <c r="AA3" s="36" t="s">
        <v>130</v>
      </c>
      <c r="AB3" s="37" t="s">
        <v>151</v>
      </c>
      <c r="AC3" s="37" t="s">
        <v>152</v>
      </c>
      <c r="AD3" s="39" t="s">
        <v>153</v>
      </c>
      <c r="AE3" s="40" t="s">
        <v>154</v>
      </c>
      <c r="AF3" s="41" t="s">
        <v>155</v>
      </c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  <c r="BP3" s="43"/>
    </row>
    <row r="4" ht="16" hidden="1" customHeight="1" spans="1:32">
      <c r="A4" s="1" t="s">
        <v>32</v>
      </c>
      <c r="B4" s="7" t="s">
        <v>33</v>
      </c>
      <c r="C4" s="17"/>
      <c r="D4" s="17">
        <v>256.1</v>
      </c>
      <c r="E4" s="17">
        <v>1061</v>
      </c>
      <c r="F4" s="17">
        <v>882.6</v>
      </c>
      <c r="G4" s="18">
        <f t="shared" ref="G4:G159" si="0">F4/E4</f>
        <v>0.831856738925542</v>
      </c>
      <c r="H4" s="18">
        <f t="shared" ref="H4:H159" si="1">(I4+L4+O4+R4+T4+V4+Y4+AB4+AE4)/F4</f>
        <v>1.52934511670066</v>
      </c>
      <c r="I4" s="17">
        <v>32.6</v>
      </c>
      <c r="J4" s="17">
        <v>0.4</v>
      </c>
      <c r="K4" s="18">
        <f t="shared" ref="K4:K159" si="2">I4/(E4+J4)</f>
        <v>0.0307141511211607</v>
      </c>
      <c r="L4" s="17">
        <v>3.6</v>
      </c>
      <c r="M4" s="17">
        <v>0</v>
      </c>
      <c r="N4" s="18">
        <f t="shared" ref="N4:N159" si="3">L4/(E4+M4)</f>
        <v>0.00339302544769086</v>
      </c>
      <c r="O4" s="17">
        <v>282.8</v>
      </c>
      <c r="P4" s="17">
        <v>282.8</v>
      </c>
      <c r="Q4" s="18">
        <f t="shared" ref="Q4:Q159" si="4">O4/(E4+P4)</f>
        <v>0.210447983330853</v>
      </c>
      <c r="R4" s="17">
        <v>721.2</v>
      </c>
      <c r="S4" s="18">
        <f t="shared" ref="S4:S159" si="5">R4/E4</f>
        <v>0.679736098020735</v>
      </c>
      <c r="T4" s="17">
        <v>105.6</v>
      </c>
      <c r="U4" s="18">
        <f t="shared" ref="U4:U159" si="6">T4/R4</f>
        <v>0.146422628951747</v>
      </c>
      <c r="V4" s="17">
        <v>9.6</v>
      </c>
      <c r="W4" s="17">
        <v>0</v>
      </c>
      <c r="X4" s="18">
        <f t="shared" ref="X4:X159" si="7">V4/(E4+W4)</f>
        <v>0.00904806786050895</v>
      </c>
      <c r="Y4" s="17">
        <v>101.2</v>
      </c>
      <c r="Z4" s="17">
        <v>1.4</v>
      </c>
      <c r="AA4" s="18">
        <f t="shared" ref="AA4:AA159" si="8">Y4/(E4+Z4)</f>
        <v>0.0952560240963855</v>
      </c>
      <c r="AB4" s="17">
        <v>49</v>
      </c>
      <c r="AC4" s="17">
        <v>0</v>
      </c>
      <c r="AD4" s="18">
        <f t="shared" ref="AD4:AD159" si="9">AB4/(E4+AC4)</f>
        <v>0.0461828463713478</v>
      </c>
      <c r="AE4" s="17">
        <v>44.2</v>
      </c>
      <c r="AF4" s="18">
        <f t="shared" ref="AF4:AF159" si="10">AE4/R4</f>
        <v>0.0612867443150305</v>
      </c>
    </row>
    <row r="5" ht="16" hidden="1" customHeight="1" spans="1:32">
      <c r="A5" s="1" t="s">
        <v>32</v>
      </c>
      <c r="B5" s="7" t="s">
        <v>35</v>
      </c>
      <c r="C5" s="17"/>
      <c r="D5" s="17">
        <v>240.6</v>
      </c>
      <c r="E5" s="17">
        <v>834.4</v>
      </c>
      <c r="F5" s="17">
        <v>721.6</v>
      </c>
      <c r="G5" s="18">
        <f t="shared" si="0"/>
        <v>0.864813039309684</v>
      </c>
      <c r="H5" s="18">
        <f t="shared" si="1"/>
        <v>1.69927937915743</v>
      </c>
      <c r="I5" s="17">
        <v>48.2</v>
      </c>
      <c r="J5" s="17">
        <v>0.4</v>
      </c>
      <c r="K5" s="18">
        <f t="shared" si="2"/>
        <v>0.0577383804504073</v>
      </c>
      <c r="L5" s="17">
        <v>14.2</v>
      </c>
      <c r="M5" s="17">
        <v>0</v>
      </c>
      <c r="N5" s="18">
        <f t="shared" si="3"/>
        <v>0.0170182166826462</v>
      </c>
      <c r="O5" s="17">
        <v>220.4</v>
      </c>
      <c r="P5" s="17">
        <v>220.4</v>
      </c>
      <c r="Q5" s="18">
        <f t="shared" si="4"/>
        <v>0.208949563898369</v>
      </c>
      <c r="R5" s="17">
        <v>533.2</v>
      </c>
      <c r="S5" s="18">
        <f t="shared" si="5"/>
        <v>0.63902205177373</v>
      </c>
      <c r="T5" s="17">
        <v>159.2</v>
      </c>
      <c r="U5" s="18">
        <f t="shared" si="6"/>
        <v>0.298574643660915</v>
      </c>
      <c r="V5" s="17">
        <v>16.2</v>
      </c>
      <c r="W5" s="17">
        <v>0</v>
      </c>
      <c r="X5" s="18">
        <f t="shared" si="7"/>
        <v>0.0194151486097795</v>
      </c>
      <c r="Y5" s="17">
        <v>132.4</v>
      </c>
      <c r="Z5" s="17">
        <v>1.6</v>
      </c>
      <c r="AA5" s="18">
        <f t="shared" si="8"/>
        <v>0.158373205741627</v>
      </c>
      <c r="AB5" s="17">
        <v>66</v>
      </c>
      <c r="AC5" s="17">
        <v>0</v>
      </c>
      <c r="AD5" s="18">
        <f t="shared" si="9"/>
        <v>0.0790987535953979</v>
      </c>
      <c r="AE5" s="17">
        <v>36.4</v>
      </c>
      <c r="AF5" s="18">
        <f t="shared" si="10"/>
        <v>0.0682670667666917</v>
      </c>
    </row>
    <row r="6" ht="16" hidden="1" customHeight="1" spans="1:32">
      <c r="A6" s="1" t="s">
        <v>32</v>
      </c>
      <c r="B6" s="7" t="s">
        <v>36</v>
      </c>
      <c r="C6" s="9"/>
      <c r="D6" s="9">
        <f>D4+D5</f>
        <v>496.7</v>
      </c>
      <c r="E6" s="9">
        <f>E4+E5</f>
        <v>1895.4</v>
      </c>
      <c r="F6" s="9">
        <f>F4+F5</f>
        <v>1604.2</v>
      </c>
      <c r="G6" s="18">
        <f t="shared" si="0"/>
        <v>0.84636488340192</v>
      </c>
      <c r="H6" s="18">
        <f t="shared" si="1"/>
        <v>1.60578481486099</v>
      </c>
      <c r="I6" s="9">
        <f>I4+I5</f>
        <v>80.8</v>
      </c>
      <c r="J6" s="9">
        <f>J4+J5</f>
        <v>0.8</v>
      </c>
      <c r="K6" s="18">
        <f t="shared" si="2"/>
        <v>0.0426115388672081</v>
      </c>
      <c r="L6" s="9">
        <f>L4+L5</f>
        <v>17.8</v>
      </c>
      <c r="M6" s="9"/>
      <c r="N6" s="18">
        <f t="shared" si="3"/>
        <v>0.00939115753930569</v>
      </c>
      <c r="O6" s="9">
        <f>O4+O5</f>
        <v>503.2</v>
      </c>
      <c r="P6" s="9">
        <f>P4+P5</f>
        <v>503.2</v>
      </c>
      <c r="Q6" s="18">
        <f t="shared" si="4"/>
        <v>0.209789043608772</v>
      </c>
      <c r="R6" s="9">
        <f>R4+R5</f>
        <v>1254.4</v>
      </c>
      <c r="S6" s="18">
        <f t="shared" si="5"/>
        <v>0.661812809960958</v>
      </c>
      <c r="T6" s="9">
        <f>T4+T5</f>
        <v>264.8</v>
      </c>
      <c r="U6" s="18">
        <f t="shared" si="6"/>
        <v>0.21109693877551</v>
      </c>
      <c r="V6" s="9">
        <f>V4+V5</f>
        <v>25.8</v>
      </c>
      <c r="W6" s="9"/>
      <c r="X6" s="18">
        <f t="shared" si="7"/>
        <v>0.0136119025007914</v>
      </c>
      <c r="Y6" s="9">
        <f>Y4+Y5</f>
        <v>233.6</v>
      </c>
      <c r="Z6" s="9">
        <f>Z4+Z5</f>
        <v>3</v>
      </c>
      <c r="AA6" s="18">
        <f t="shared" si="8"/>
        <v>0.123050990307627</v>
      </c>
      <c r="AB6" s="9">
        <f>AB4+AB5</f>
        <v>115</v>
      </c>
      <c r="AC6" s="9"/>
      <c r="AD6" s="18">
        <f t="shared" si="9"/>
        <v>0.060673208821357</v>
      </c>
      <c r="AE6" s="9">
        <f>AE4+AE5</f>
        <v>80.6</v>
      </c>
      <c r="AF6" s="18">
        <f t="shared" si="10"/>
        <v>0.0642538265306122</v>
      </c>
    </row>
    <row r="7" ht="16" hidden="1" customHeight="1" spans="1:32">
      <c r="A7" s="1" t="s">
        <v>37</v>
      </c>
      <c r="B7" s="7" t="s">
        <v>33</v>
      </c>
      <c r="C7" s="9"/>
      <c r="D7" s="9">
        <v>264</v>
      </c>
      <c r="E7" s="9">
        <v>1097</v>
      </c>
      <c r="F7" s="9">
        <v>929.4</v>
      </c>
      <c r="G7" s="18">
        <f t="shared" si="0"/>
        <v>0.84721969006381</v>
      </c>
      <c r="H7" s="18">
        <f t="shared" si="1"/>
        <v>1.54551323434474</v>
      </c>
      <c r="I7" s="9">
        <v>32.8</v>
      </c>
      <c r="J7" s="9">
        <v>0</v>
      </c>
      <c r="K7" s="18">
        <f t="shared" si="2"/>
        <v>0.0298997265268915</v>
      </c>
      <c r="L7" s="9">
        <v>3.8</v>
      </c>
      <c r="M7" s="9">
        <v>0</v>
      </c>
      <c r="N7" s="18">
        <f t="shared" si="3"/>
        <v>0.00346399270738377</v>
      </c>
      <c r="O7" s="9">
        <v>312.6</v>
      </c>
      <c r="P7" s="9">
        <v>312.6</v>
      </c>
      <c r="Q7" s="18">
        <f t="shared" si="4"/>
        <v>0.221765039727582</v>
      </c>
      <c r="R7" s="9">
        <v>779.8</v>
      </c>
      <c r="S7" s="18">
        <f t="shared" si="5"/>
        <v>0.710847766636281</v>
      </c>
      <c r="T7" s="9">
        <v>106.2</v>
      </c>
      <c r="U7" s="18">
        <f t="shared" si="6"/>
        <v>0.136188766350346</v>
      </c>
      <c r="V7" s="9">
        <v>11</v>
      </c>
      <c r="W7" s="9">
        <v>0</v>
      </c>
      <c r="X7" s="18">
        <f t="shared" si="7"/>
        <v>0.0100273473108478</v>
      </c>
      <c r="Y7" s="9">
        <v>84.8</v>
      </c>
      <c r="Z7" s="9">
        <v>2.2</v>
      </c>
      <c r="AA7" s="18">
        <f t="shared" si="8"/>
        <v>0.0771470160116448</v>
      </c>
      <c r="AB7" s="9">
        <v>59.4</v>
      </c>
      <c r="AC7" s="9">
        <v>0</v>
      </c>
      <c r="AD7" s="18">
        <f t="shared" si="9"/>
        <v>0.0541476754785779</v>
      </c>
      <c r="AE7" s="9">
        <v>46</v>
      </c>
      <c r="AF7" s="18">
        <f t="shared" si="10"/>
        <v>0.0589894844832008</v>
      </c>
    </row>
    <row r="8" ht="16" hidden="1" customHeight="1" spans="1:32">
      <c r="A8" s="1" t="s">
        <v>37</v>
      </c>
      <c r="B8" s="7" t="s">
        <v>35</v>
      </c>
      <c r="C8" s="9"/>
      <c r="D8" s="9">
        <v>226.6</v>
      </c>
      <c r="E8" s="9">
        <v>794.8</v>
      </c>
      <c r="F8" s="9">
        <v>698.6</v>
      </c>
      <c r="G8" s="18">
        <f t="shared" si="0"/>
        <v>0.878963261197786</v>
      </c>
      <c r="H8" s="18">
        <f t="shared" si="1"/>
        <v>1.74892642427713</v>
      </c>
      <c r="I8" s="9">
        <v>54.2</v>
      </c>
      <c r="J8" s="9">
        <v>0.4</v>
      </c>
      <c r="K8" s="18">
        <f t="shared" si="2"/>
        <v>0.068158953722334</v>
      </c>
      <c r="L8" s="9">
        <v>11.2</v>
      </c>
      <c r="M8" s="9">
        <v>0</v>
      </c>
      <c r="N8" s="18">
        <f t="shared" si="3"/>
        <v>0.0140915953699044</v>
      </c>
      <c r="O8" s="9">
        <v>231.4</v>
      </c>
      <c r="P8" s="9">
        <v>231.4</v>
      </c>
      <c r="Q8" s="18">
        <f t="shared" si="4"/>
        <v>0.225492106801793</v>
      </c>
      <c r="R8" s="9">
        <v>513</v>
      </c>
      <c r="S8" s="18">
        <f t="shared" si="5"/>
        <v>0.645445395067942</v>
      </c>
      <c r="T8" s="9">
        <v>156</v>
      </c>
      <c r="U8" s="18">
        <f t="shared" si="6"/>
        <v>0.304093567251462</v>
      </c>
      <c r="V8" s="9">
        <v>17.4</v>
      </c>
      <c r="W8" s="9">
        <v>0</v>
      </c>
      <c r="X8" s="18">
        <f t="shared" si="7"/>
        <v>0.0218922999496729</v>
      </c>
      <c r="Y8" s="9">
        <v>125.2</v>
      </c>
      <c r="Z8" s="9">
        <v>0.6</v>
      </c>
      <c r="AA8" s="18">
        <f t="shared" si="8"/>
        <v>0.157405079205431</v>
      </c>
      <c r="AB8" s="9">
        <v>77.4</v>
      </c>
      <c r="AC8" s="9">
        <v>0</v>
      </c>
      <c r="AD8" s="18">
        <f t="shared" si="9"/>
        <v>0.0973829894313035</v>
      </c>
      <c r="AE8" s="9">
        <v>36</v>
      </c>
      <c r="AF8" s="18">
        <f t="shared" si="10"/>
        <v>0.0701754385964912</v>
      </c>
    </row>
    <row r="9" ht="16" hidden="1" customHeight="1" spans="1:32">
      <c r="A9" s="1" t="s">
        <v>37</v>
      </c>
      <c r="B9" s="7" t="s">
        <v>36</v>
      </c>
      <c r="C9" s="9"/>
      <c r="D9" s="9">
        <f>D7+D8</f>
        <v>490.6</v>
      </c>
      <c r="E9" s="9">
        <f>E7+E8</f>
        <v>1891.8</v>
      </c>
      <c r="F9" s="9">
        <f>F7+F8</f>
        <v>1628</v>
      </c>
      <c r="G9" s="18">
        <f t="shared" si="0"/>
        <v>0.860556084152659</v>
      </c>
      <c r="H9" s="18">
        <f t="shared" si="1"/>
        <v>1.63280098280098</v>
      </c>
      <c r="I9" s="9">
        <f>I7+I8</f>
        <v>87</v>
      </c>
      <c r="J9" s="9">
        <f>J7+J8</f>
        <v>0.4</v>
      </c>
      <c r="K9" s="18">
        <f t="shared" si="2"/>
        <v>0.0459782264031286</v>
      </c>
      <c r="L9" s="9">
        <f>L7+L8</f>
        <v>15</v>
      </c>
      <c r="M9" s="9"/>
      <c r="N9" s="18">
        <f t="shared" si="3"/>
        <v>0.00792895654931811</v>
      </c>
      <c r="O9" s="9">
        <f>O7+O8</f>
        <v>544</v>
      </c>
      <c r="P9" s="9">
        <f>P7+P8</f>
        <v>544</v>
      </c>
      <c r="Q9" s="18">
        <f t="shared" si="4"/>
        <v>0.223335249199442</v>
      </c>
      <c r="R9" s="9">
        <f>R7+R8</f>
        <v>1292.8</v>
      </c>
      <c r="S9" s="18">
        <f t="shared" si="5"/>
        <v>0.683370335130563</v>
      </c>
      <c r="T9" s="9">
        <f>T7+T8</f>
        <v>262.2</v>
      </c>
      <c r="U9" s="18">
        <f t="shared" si="6"/>
        <v>0.202815594059406</v>
      </c>
      <c r="V9" s="9">
        <f>V7+V8</f>
        <v>28.4</v>
      </c>
      <c r="W9" s="9"/>
      <c r="X9" s="18">
        <f t="shared" si="7"/>
        <v>0.0150121577333756</v>
      </c>
      <c r="Y9" s="9">
        <f>Y7+Y8</f>
        <v>210</v>
      </c>
      <c r="Z9" s="9">
        <f>Z7+Z8</f>
        <v>2.8</v>
      </c>
      <c r="AA9" s="18">
        <f t="shared" si="8"/>
        <v>0.110841338541117</v>
      </c>
      <c r="AB9" s="9">
        <f>AB7+AB8</f>
        <v>136.8</v>
      </c>
      <c r="AC9" s="9"/>
      <c r="AD9" s="18">
        <f t="shared" si="9"/>
        <v>0.0723120837297812</v>
      </c>
      <c r="AE9" s="9">
        <f>AE7+AE8</f>
        <v>82</v>
      </c>
      <c r="AF9" s="18">
        <f t="shared" si="10"/>
        <v>0.0634282178217822</v>
      </c>
    </row>
    <row r="10" ht="16" hidden="1" customHeight="1" spans="1:32">
      <c r="A10" s="1" t="s">
        <v>38</v>
      </c>
      <c r="B10" s="7" t="s">
        <v>33</v>
      </c>
      <c r="C10" s="9"/>
      <c r="D10" s="9">
        <v>300.9</v>
      </c>
      <c r="E10" s="9">
        <v>1124</v>
      </c>
      <c r="F10" s="9">
        <v>970.4</v>
      </c>
      <c r="G10" s="18">
        <f t="shared" si="0"/>
        <v>0.863345195729537</v>
      </c>
      <c r="H10" s="18">
        <f t="shared" si="1"/>
        <v>1.5684253915911</v>
      </c>
      <c r="I10" s="9">
        <v>41.8</v>
      </c>
      <c r="J10" s="9">
        <v>0.4</v>
      </c>
      <c r="K10" s="18">
        <f t="shared" si="2"/>
        <v>0.0371753824261828</v>
      </c>
      <c r="L10" s="9">
        <v>6.6</v>
      </c>
      <c r="M10" s="9">
        <v>0</v>
      </c>
      <c r="N10" s="18">
        <f t="shared" si="3"/>
        <v>0.00587188612099644</v>
      </c>
      <c r="O10" s="9">
        <v>346.6</v>
      </c>
      <c r="P10" s="9">
        <v>346.6</v>
      </c>
      <c r="Q10" s="18">
        <f t="shared" si="4"/>
        <v>0.235686114511084</v>
      </c>
      <c r="R10" s="9">
        <v>827.4</v>
      </c>
      <c r="S10" s="18">
        <f t="shared" si="5"/>
        <v>0.736120996441281</v>
      </c>
      <c r="T10" s="9">
        <v>112.4</v>
      </c>
      <c r="U10" s="18">
        <f t="shared" si="6"/>
        <v>0.135847232293933</v>
      </c>
      <c r="V10" s="9">
        <v>11.6</v>
      </c>
      <c r="W10" s="9">
        <v>0</v>
      </c>
      <c r="X10" s="18">
        <f t="shared" si="7"/>
        <v>0.0103202846975089</v>
      </c>
      <c r="Y10" s="9">
        <v>75.4</v>
      </c>
      <c r="Z10" s="9">
        <v>1.4</v>
      </c>
      <c r="AA10" s="18">
        <f t="shared" si="8"/>
        <v>0.0669984005686867</v>
      </c>
      <c r="AB10" s="9">
        <v>53</v>
      </c>
      <c r="AC10" s="9">
        <v>0</v>
      </c>
      <c r="AD10" s="18">
        <f t="shared" si="9"/>
        <v>0.047153024911032</v>
      </c>
      <c r="AE10" s="9">
        <v>47.2</v>
      </c>
      <c r="AF10" s="18">
        <f t="shared" si="10"/>
        <v>0.0570461687212956</v>
      </c>
    </row>
    <row r="11" ht="16" hidden="1" customHeight="1" spans="1:32">
      <c r="A11" s="1" t="s">
        <v>38</v>
      </c>
      <c r="B11" s="7" t="s">
        <v>35</v>
      </c>
      <c r="C11" s="9"/>
      <c r="D11" s="9">
        <v>267</v>
      </c>
      <c r="E11" s="9">
        <v>836.6</v>
      </c>
      <c r="F11" s="9">
        <v>741.4</v>
      </c>
      <c r="G11" s="18">
        <f t="shared" si="0"/>
        <v>0.886206072196988</v>
      </c>
      <c r="H11" s="18">
        <f t="shared" si="1"/>
        <v>1.79147558672781</v>
      </c>
      <c r="I11" s="9">
        <v>55.4</v>
      </c>
      <c r="J11" s="9">
        <v>0.4</v>
      </c>
      <c r="K11" s="18">
        <f t="shared" si="2"/>
        <v>0.0661887694145759</v>
      </c>
      <c r="L11" s="9">
        <v>13.8</v>
      </c>
      <c r="M11" s="9">
        <v>0</v>
      </c>
      <c r="N11" s="18">
        <f t="shared" si="3"/>
        <v>0.0164953382739661</v>
      </c>
      <c r="O11" s="9">
        <v>260.6</v>
      </c>
      <c r="P11" s="9">
        <v>260.6</v>
      </c>
      <c r="Q11" s="18">
        <f t="shared" si="4"/>
        <v>0.23751367116296</v>
      </c>
      <c r="R11" s="9">
        <v>571.2</v>
      </c>
      <c r="S11" s="18">
        <f t="shared" si="5"/>
        <v>0.682763566818073</v>
      </c>
      <c r="T11" s="9">
        <v>173.2</v>
      </c>
      <c r="U11" s="18">
        <f t="shared" si="6"/>
        <v>0.303221288515406</v>
      </c>
      <c r="V11" s="9">
        <v>20.8</v>
      </c>
      <c r="W11" s="9">
        <v>0</v>
      </c>
      <c r="X11" s="18">
        <f t="shared" si="7"/>
        <v>0.0248625388477169</v>
      </c>
      <c r="Y11" s="9">
        <v>114</v>
      </c>
      <c r="Z11" s="9">
        <v>2.6</v>
      </c>
      <c r="AA11" s="18">
        <f t="shared" si="8"/>
        <v>0.135843660629171</v>
      </c>
      <c r="AB11" s="9">
        <v>79.8</v>
      </c>
      <c r="AC11" s="9">
        <v>0</v>
      </c>
      <c r="AD11" s="18">
        <f t="shared" si="9"/>
        <v>0.0953860865407602</v>
      </c>
      <c r="AE11" s="9">
        <v>39.4</v>
      </c>
      <c r="AF11" s="18">
        <f t="shared" si="10"/>
        <v>0.0689775910364146</v>
      </c>
    </row>
    <row r="12" ht="16" hidden="1" customHeight="1" spans="1:32">
      <c r="A12" s="1" t="s">
        <v>38</v>
      </c>
      <c r="B12" s="7" t="s">
        <v>36</v>
      </c>
      <c r="C12" s="9"/>
      <c r="D12" s="9">
        <f>D10+D11</f>
        <v>567.9</v>
      </c>
      <c r="E12" s="9">
        <f>E10+E11</f>
        <v>1960.6</v>
      </c>
      <c r="F12" s="9">
        <f>F10+F11</f>
        <v>1711.8</v>
      </c>
      <c r="G12" s="18">
        <f t="shared" si="0"/>
        <v>0.873100071406712</v>
      </c>
      <c r="H12" s="18">
        <f t="shared" si="1"/>
        <v>1.66503096156093</v>
      </c>
      <c r="I12" s="9">
        <f>I10+I11</f>
        <v>97.2</v>
      </c>
      <c r="J12" s="9">
        <f>J10+J11</f>
        <v>0.8</v>
      </c>
      <c r="K12" s="18">
        <f t="shared" si="2"/>
        <v>0.0495564392780667</v>
      </c>
      <c r="L12" s="9">
        <f>L10+L11</f>
        <v>20.4</v>
      </c>
      <c r="M12" s="9"/>
      <c r="N12" s="18">
        <f t="shared" si="3"/>
        <v>0.0104049780679384</v>
      </c>
      <c r="O12" s="9">
        <f>O10+O11</f>
        <v>607.2</v>
      </c>
      <c r="P12" s="9">
        <f>P10+P11</f>
        <v>607.2</v>
      </c>
      <c r="Q12" s="18">
        <f t="shared" si="4"/>
        <v>0.236467014564997</v>
      </c>
      <c r="R12" s="9">
        <f>R10+R11</f>
        <v>1398.6</v>
      </c>
      <c r="S12" s="18">
        <f t="shared" si="5"/>
        <v>0.713353055187188</v>
      </c>
      <c r="T12" s="9">
        <f>T10+T11</f>
        <v>285.6</v>
      </c>
      <c r="U12" s="18">
        <f t="shared" si="6"/>
        <v>0.204204204204204</v>
      </c>
      <c r="V12" s="9">
        <f>V10+V11</f>
        <v>32.4</v>
      </c>
      <c r="W12" s="9"/>
      <c r="X12" s="18">
        <f t="shared" si="7"/>
        <v>0.0165255534020198</v>
      </c>
      <c r="Y12" s="9">
        <f>Y10+Y11</f>
        <v>189.4</v>
      </c>
      <c r="Z12" s="9">
        <f>Z10+Z11</f>
        <v>4</v>
      </c>
      <c r="AA12" s="18">
        <f t="shared" si="8"/>
        <v>0.0964063931589128</v>
      </c>
      <c r="AB12" s="9">
        <f>AB10+AB11</f>
        <v>132.8</v>
      </c>
      <c r="AC12" s="9"/>
      <c r="AD12" s="18">
        <f t="shared" si="9"/>
        <v>0.0677343670305009</v>
      </c>
      <c r="AE12" s="9">
        <f>AE10+AE11</f>
        <v>86.6</v>
      </c>
      <c r="AF12" s="18">
        <f t="shared" si="10"/>
        <v>0.0619190619190619</v>
      </c>
    </row>
    <row r="13" ht="16" hidden="1" customHeight="1" spans="1:32">
      <c r="A13" s="1" t="s">
        <v>39</v>
      </c>
      <c r="B13" s="7" t="s">
        <v>33</v>
      </c>
      <c r="C13" s="9"/>
      <c r="D13" s="9">
        <v>291.3</v>
      </c>
      <c r="E13" s="9">
        <v>1191.6</v>
      </c>
      <c r="F13" s="9">
        <v>1029.8</v>
      </c>
      <c r="G13" s="18">
        <f t="shared" si="0"/>
        <v>0.86421617992615</v>
      </c>
      <c r="H13" s="18">
        <f t="shared" si="1"/>
        <v>1.56049718391921</v>
      </c>
      <c r="I13" s="9">
        <v>40.8</v>
      </c>
      <c r="J13" s="9">
        <v>0.2</v>
      </c>
      <c r="K13" s="18">
        <f t="shared" si="2"/>
        <v>0.034233931867763</v>
      </c>
      <c r="L13" s="9">
        <v>4.4</v>
      </c>
      <c r="M13" s="9">
        <v>0</v>
      </c>
      <c r="N13" s="18">
        <f t="shared" si="3"/>
        <v>0.00369251426653239</v>
      </c>
      <c r="O13" s="9">
        <v>348.6</v>
      </c>
      <c r="P13" s="9">
        <v>348.6</v>
      </c>
      <c r="Q13" s="18">
        <f t="shared" si="4"/>
        <v>0.226334242306194</v>
      </c>
      <c r="R13" s="9">
        <v>877.4</v>
      </c>
      <c r="S13" s="18">
        <f t="shared" si="5"/>
        <v>0.736320913058073</v>
      </c>
      <c r="T13" s="9">
        <v>121.8</v>
      </c>
      <c r="U13" s="18">
        <f t="shared" si="6"/>
        <v>0.138819238659676</v>
      </c>
      <c r="V13" s="9">
        <v>14.4</v>
      </c>
      <c r="W13" s="9">
        <v>0</v>
      </c>
      <c r="X13" s="18">
        <f t="shared" si="7"/>
        <v>0.0120845921450151</v>
      </c>
      <c r="Y13" s="9">
        <v>88</v>
      </c>
      <c r="Z13" s="9">
        <v>1.6</v>
      </c>
      <c r="AA13" s="18">
        <f t="shared" si="8"/>
        <v>0.073751257123701</v>
      </c>
      <c r="AB13" s="9">
        <v>60.8</v>
      </c>
      <c r="AC13" s="9">
        <v>0</v>
      </c>
      <c r="AD13" s="18">
        <f t="shared" si="9"/>
        <v>0.0510238335011749</v>
      </c>
      <c r="AE13" s="9">
        <v>50.8</v>
      </c>
      <c r="AF13" s="18">
        <f t="shared" si="10"/>
        <v>0.0578983359927057</v>
      </c>
    </row>
    <row r="14" ht="16" hidden="1" customHeight="1" spans="1:32">
      <c r="A14" s="1" t="s">
        <v>39</v>
      </c>
      <c r="B14" s="7" t="s">
        <v>35</v>
      </c>
      <c r="C14" s="9"/>
      <c r="D14" s="9">
        <v>248.2</v>
      </c>
      <c r="E14" s="9">
        <v>842.6</v>
      </c>
      <c r="F14" s="9">
        <v>739.8</v>
      </c>
      <c r="G14" s="18">
        <f t="shared" si="0"/>
        <v>0.87799667695229</v>
      </c>
      <c r="H14" s="18">
        <f t="shared" si="1"/>
        <v>1.77804812111381</v>
      </c>
      <c r="I14" s="9">
        <v>54.4</v>
      </c>
      <c r="J14" s="9">
        <v>0</v>
      </c>
      <c r="K14" s="18">
        <f t="shared" si="2"/>
        <v>0.0645620697840019</v>
      </c>
      <c r="L14" s="9">
        <v>11.8</v>
      </c>
      <c r="M14" s="9">
        <v>0</v>
      </c>
      <c r="N14" s="18">
        <f t="shared" si="3"/>
        <v>0.0140042724899122</v>
      </c>
      <c r="O14" s="9">
        <v>253</v>
      </c>
      <c r="P14" s="9">
        <v>253</v>
      </c>
      <c r="Q14" s="18">
        <f t="shared" si="4"/>
        <v>0.230923694779116</v>
      </c>
      <c r="R14" s="9">
        <v>563.4</v>
      </c>
      <c r="S14" s="18">
        <f t="shared" si="5"/>
        <v>0.668644671255637</v>
      </c>
      <c r="T14" s="9">
        <v>177.2</v>
      </c>
      <c r="U14" s="18">
        <f t="shared" si="6"/>
        <v>0.314518991835286</v>
      </c>
      <c r="V14" s="9">
        <v>14</v>
      </c>
      <c r="W14" s="9">
        <v>0</v>
      </c>
      <c r="X14" s="18">
        <f t="shared" si="7"/>
        <v>0.0166152385473534</v>
      </c>
      <c r="Y14" s="9">
        <v>108.8</v>
      </c>
      <c r="Z14" s="9">
        <v>1.2</v>
      </c>
      <c r="AA14" s="18">
        <f t="shared" si="8"/>
        <v>0.128940507229201</v>
      </c>
      <c r="AB14" s="9">
        <v>94</v>
      </c>
      <c r="AC14" s="9">
        <v>0</v>
      </c>
      <c r="AD14" s="18">
        <f t="shared" si="9"/>
        <v>0.111559458817944</v>
      </c>
      <c r="AE14" s="9">
        <v>38.8</v>
      </c>
      <c r="AF14" s="18">
        <f t="shared" si="10"/>
        <v>0.0688675896343628</v>
      </c>
    </row>
    <row r="15" ht="16" hidden="1" customHeight="1" spans="1:32">
      <c r="A15" s="1" t="s">
        <v>39</v>
      </c>
      <c r="B15" s="7" t="s">
        <v>36</v>
      </c>
      <c r="C15" s="9"/>
      <c r="D15" s="9">
        <f>D13+D14</f>
        <v>539.5</v>
      </c>
      <c r="E15" s="9">
        <f>E13+E14</f>
        <v>2034.2</v>
      </c>
      <c r="F15" s="9">
        <f>F13+F14</f>
        <v>1769.6</v>
      </c>
      <c r="G15" s="18">
        <f t="shared" si="0"/>
        <v>0.869924294562973</v>
      </c>
      <c r="H15" s="18">
        <f t="shared" si="1"/>
        <v>1.65144665461121</v>
      </c>
      <c r="I15" s="9">
        <f>I13+I14</f>
        <v>95.2</v>
      </c>
      <c r="J15" s="9">
        <f>J13+J14</f>
        <v>0.2</v>
      </c>
      <c r="K15" s="18">
        <f t="shared" si="2"/>
        <v>0.0467951238694455</v>
      </c>
      <c r="L15" s="9">
        <f>L13+L14</f>
        <v>16.2</v>
      </c>
      <c r="M15" s="9"/>
      <c r="N15" s="18">
        <f t="shared" si="3"/>
        <v>0.00796381870022613</v>
      </c>
      <c r="O15" s="9">
        <f>O13+O14</f>
        <v>601.6</v>
      </c>
      <c r="P15" s="9">
        <f>P13+P14</f>
        <v>601.6</v>
      </c>
      <c r="Q15" s="18">
        <f t="shared" si="4"/>
        <v>0.228241899992412</v>
      </c>
      <c r="R15" s="9">
        <f>R13+R14</f>
        <v>1440.8</v>
      </c>
      <c r="S15" s="18">
        <f t="shared" si="5"/>
        <v>0.708288270573198</v>
      </c>
      <c r="T15" s="9">
        <f>T13+T14</f>
        <v>299</v>
      </c>
      <c r="U15" s="18">
        <f t="shared" si="6"/>
        <v>0.207523598001111</v>
      </c>
      <c r="V15" s="9">
        <f>V13+V14</f>
        <v>28.4</v>
      </c>
      <c r="W15" s="9"/>
      <c r="X15" s="18">
        <f t="shared" si="7"/>
        <v>0.0139612624127421</v>
      </c>
      <c r="Y15" s="9">
        <f>Y13+Y14</f>
        <v>196.8</v>
      </c>
      <c r="Z15" s="9">
        <f>Z13+Z14</f>
        <v>2.8</v>
      </c>
      <c r="AA15" s="18">
        <f t="shared" si="8"/>
        <v>0.0966126656848307</v>
      </c>
      <c r="AB15" s="9">
        <f>AB13+AB14</f>
        <v>154.8</v>
      </c>
      <c r="AC15" s="9"/>
      <c r="AD15" s="18">
        <f t="shared" si="9"/>
        <v>0.0760987120243831</v>
      </c>
      <c r="AE15" s="9">
        <f>AE13+AE14</f>
        <v>89.6</v>
      </c>
      <c r="AF15" s="18">
        <f t="shared" si="10"/>
        <v>0.062187673514714</v>
      </c>
    </row>
    <row r="16" ht="16" hidden="1" customHeight="1" spans="1:32">
      <c r="A16" s="1" t="s">
        <v>40</v>
      </c>
      <c r="B16" s="7" t="s">
        <v>33</v>
      </c>
      <c r="C16" s="9"/>
      <c r="D16" s="9">
        <v>293.4</v>
      </c>
      <c r="E16" s="9">
        <v>1334.8</v>
      </c>
      <c r="F16" s="9">
        <v>1123.4</v>
      </c>
      <c r="G16" s="18">
        <f t="shared" si="0"/>
        <v>0.841624213365298</v>
      </c>
      <c r="H16" s="18">
        <f t="shared" si="1"/>
        <v>1.51272921488339</v>
      </c>
      <c r="I16" s="9">
        <v>41</v>
      </c>
      <c r="J16" s="9">
        <v>0.2</v>
      </c>
      <c r="K16" s="18">
        <f t="shared" si="2"/>
        <v>0.0307116104868914</v>
      </c>
      <c r="L16" s="9">
        <v>5.2</v>
      </c>
      <c r="M16" s="9">
        <v>0</v>
      </c>
      <c r="N16" s="18">
        <f t="shared" si="3"/>
        <v>0.0038957147138148</v>
      </c>
      <c r="O16" s="9">
        <v>355.8</v>
      </c>
      <c r="P16" s="9">
        <v>355.8</v>
      </c>
      <c r="Q16" s="18">
        <f t="shared" si="4"/>
        <v>0.210457825624039</v>
      </c>
      <c r="R16" s="9">
        <v>964.4</v>
      </c>
      <c r="S16" s="18">
        <f t="shared" si="5"/>
        <v>0.722505244231346</v>
      </c>
      <c r="T16" s="9">
        <v>127.4</v>
      </c>
      <c r="U16" s="18">
        <f t="shared" si="6"/>
        <v>0.132102861883036</v>
      </c>
      <c r="V16" s="9">
        <v>12.6</v>
      </c>
      <c r="W16" s="9">
        <v>0</v>
      </c>
      <c r="X16" s="18">
        <f t="shared" si="7"/>
        <v>0.00943961642193587</v>
      </c>
      <c r="Y16" s="9">
        <v>78.4</v>
      </c>
      <c r="Z16" s="9">
        <v>1.8</v>
      </c>
      <c r="AA16" s="18">
        <f t="shared" si="8"/>
        <v>0.0586562920843932</v>
      </c>
      <c r="AB16" s="9">
        <v>67.8</v>
      </c>
      <c r="AC16" s="9">
        <v>0</v>
      </c>
      <c r="AD16" s="18">
        <f t="shared" si="9"/>
        <v>0.050794126460893</v>
      </c>
      <c r="AE16" s="9">
        <v>46.8</v>
      </c>
      <c r="AF16" s="18">
        <f t="shared" si="10"/>
        <v>0.0485275819162173</v>
      </c>
    </row>
    <row r="17" ht="16" hidden="1" customHeight="1" spans="1:32">
      <c r="A17" s="1" t="s">
        <v>40</v>
      </c>
      <c r="B17" s="7" t="s">
        <v>35</v>
      </c>
      <c r="C17" s="9"/>
      <c r="D17" s="9">
        <v>230.1</v>
      </c>
      <c r="E17" s="9">
        <v>911.4</v>
      </c>
      <c r="F17" s="9">
        <v>736</v>
      </c>
      <c r="G17" s="18">
        <f t="shared" si="0"/>
        <v>0.807548825982006</v>
      </c>
      <c r="H17" s="18">
        <f t="shared" si="1"/>
        <v>1.70135869565217</v>
      </c>
      <c r="I17" s="9">
        <v>52.4</v>
      </c>
      <c r="J17" s="9">
        <v>0.2</v>
      </c>
      <c r="K17" s="18">
        <f t="shared" si="2"/>
        <v>0.057481351469943</v>
      </c>
      <c r="L17" s="9">
        <v>10.6</v>
      </c>
      <c r="M17" s="9">
        <v>0</v>
      </c>
      <c r="N17" s="18">
        <f t="shared" si="3"/>
        <v>0.0116304586350669</v>
      </c>
      <c r="O17" s="9">
        <v>227.6</v>
      </c>
      <c r="P17" s="9">
        <v>227.6</v>
      </c>
      <c r="Q17" s="18">
        <f t="shared" si="4"/>
        <v>0.19982440737489</v>
      </c>
      <c r="R17" s="9">
        <v>545.8</v>
      </c>
      <c r="S17" s="18">
        <f t="shared" si="5"/>
        <v>0.598858898398069</v>
      </c>
      <c r="T17" s="9">
        <v>165</v>
      </c>
      <c r="U17" s="18">
        <f t="shared" si="6"/>
        <v>0.30230853792598</v>
      </c>
      <c r="V17" s="9">
        <v>24</v>
      </c>
      <c r="W17" s="9">
        <v>0</v>
      </c>
      <c r="X17" s="18">
        <f t="shared" si="7"/>
        <v>0.0263331138907176</v>
      </c>
      <c r="Y17" s="9">
        <v>117.8</v>
      </c>
      <c r="Z17" s="9">
        <v>2.4</v>
      </c>
      <c r="AA17" s="18">
        <f t="shared" si="8"/>
        <v>0.128912234624644</v>
      </c>
      <c r="AB17" s="9">
        <v>77</v>
      </c>
      <c r="AC17" s="9">
        <v>0</v>
      </c>
      <c r="AD17" s="18">
        <f t="shared" si="9"/>
        <v>0.0844854070660522</v>
      </c>
      <c r="AE17" s="9">
        <v>32</v>
      </c>
      <c r="AF17" s="18">
        <f t="shared" si="10"/>
        <v>0.0586295346280689</v>
      </c>
    </row>
    <row r="18" ht="16" hidden="1" customHeight="1" spans="1:32">
      <c r="A18" s="1" t="s">
        <v>40</v>
      </c>
      <c r="B18" s="7" t="s">
        <v>36</v>
      </c>
      <c r="C18" s="9"/>
      <c r="D18" s="9">
        <f>D16+D17</f>
        <v>523.5</v>
      </c>
      <c r="E18" s="9">
        <f>E16+E17</f>
        <v>2246.2</v>
      </c>
      <c r="F18" s="9">
        <f>F16+F17</f>
        <v>1859.4</v>
      </c>
      <c r="G18" s="18">
        <f t="shared" si="0"/>
        <v>0.827798058943994</v>
      </c>
      <c r="H18" s="18">
        <f t="shared" si="1"/>
        <v>1.58739378294073</v>
      </c>
      <c r="I18" s="9">
        <f>I16+I17</f>
        <v>93.4</v>
      </c>
      <c r="J18" s="9">
        <f>J16+J17</f>
        <v>0.4</v>
      </c>
      <c r="K18" s="18">
        <f t="shared" si="2"/>
        <v>0.0415739339446274</v>
      </c>
      <c r="L18" s="9">
        <f>L16+L17</f>
        <v>15.8</v>
      </c>
      <c r="M18" s="9"/>
      <c r="N18" s="18">
        <f t="shared" si="3"/>
        <v>0.0070341020389992</v>
      </c>
      <c r="O18" s="9">
        <f>O16+O17</f>
        <v>583.4</v>
      </c>
      <c r="P18" s="9">
        <f>P16+P17</f>
        <v>583.4</v>
      </c>
      <c r="Q18" s="18">
        <f t="shared" si="4"/>
        <v>0.206177551597399</v>
      </c>
      <c r="R18" s="9">
        <f>R16+R17</f>
        <v>1510.2</v>
      </c>
      <c r="S18" s="18">
        <f t="shared" si="5"/>
        <v>0.67233549995548</v>
      </c>
      <c r="T18" s="9">
        <f>T16+T17</f>
        <v>292.4</v>
      </c>
      <c r="U18" s="18">
        <f t="shared" si="6"/>
        <v>0.193616739504701</v>
      </c>
      <c r="V18" s="9">
        <f>V16+V17</f>
        <v>36.6</v>
      </c>
      <c r="W18" s="9"/>
      <c r="X18" s="18">
        <f t="shared" si="7"/>
        <v>0.0162941857359095</v>
      </c>
      <c r="Y18" s="9">
        <f>Y16+Y17</f>
        <v>196.2</v>
      </c>
      <c r="Z18" s="9">
        <f>Z16+Z17</f>
        <v>4.2</v>
      </c>
      <c r="AA18" s="18">
        <f t="shared" si="8"/>
        <v>0.0871845005332385</v>
      </c>
      <c r="AB18" s="9">
        <f>AB16+AB17</f>
        <v>144.8</v>
      </c>
      <c r="AC18" s="9"/>
      <c r="AD18" s="18">
        <f t="shared" si="9"/>
        <v>0.0644644288131066</v>
      </c>
      <c r="AE18" s="9">
        <f>AE16+AE17</f>
        <v>78.8</v>
      </c>
      <c r="AF18" s="18">
        <f t="shared" si="10"/>
        <v>0.0521785194014038</v>
      </c>
    </row>
    <row r="19" ht="16" hidden="1" customHeight="1" spans="1:32">
      <c r="A19" s="1" t="s">
        <v>41</v>
      </c>
      <c r="B19" s="7" t="s">
        <v>33</v>
      </c>
      <c r="C19" s="9"/>
      <c r="D19" s="9">
        <v>291.3</v>
      </c>
      <c r="E19" s="9">
        <v>1143.8</v>
      </c>
      <c r="F19" s="9">
        <v>971.2</v>
      </c>
      <c r="G19" s="18">
        <f t="shared" si="0"/>
        <v>0.849099492918342</v>
      </c>
      <c r="H19" s="18">
        <f t="shared" si="1"/>
        <v>1.59287479406919</v>
      </c>
      <c r="I19" s="9">
        <v>31.2</v>
      </c>
      <c r="J19" s="9">
        <v>0</v>
      </c>
      <c r="K19" s="18">
        <f t="shared" si="2"/>
        <v>0.0272774960657458</v>
      </c>
      <c r="L19" s="9">
        <v>6.4</v>
      </c>
      <c r="M19" s="9">
        <v>0</v>
      </c>
      <c r="N19" s="18">
        <f t="shared" si="3"/>
        <v>0.00559538380835811</v>
      </c>
      <c r="O19" s="9">
        <v>351</v>
      </c>
      <c r="P19" s="9">
        <v>351</v>
      </c>
      <c r="Q19" s="18">
        <f t="shared" si="4"/>
        <v>0.234814021942735</v>
      </c>
      <c r="R19" s="9">
        <v>830</v>
      </c>
      <c r="S19" s="18">
        <f t="shared" si="5"/>
        <v>0.725651337646442</v>
      </c>
      <c r="T19" s="9">
        <v>123.6</v>
      </c>
      <c r="U19" s="18">
        <f t="shared" si="6"/>
        <v>0.148915662650602</v>
      </c>
      <c r="V19" s="9">
        <v>11.2</v>
      </c>
      <c r="W19" s="9">
        <v>0</v>
      </c>
      <c r="X19" s="18">
        <f t="shared" si="7"/>
        <v>0.00979192166462668</v>
      </c>
      <c r="Y19" s="9">
        <v>84.8</v>
      </c>
      <c r="Z19" s="9">
        <v>1.4</v>
      </c>
      <c r="AA19" s="18">
        <f t="shared" si="8"/>
        <v>0.0740482011875655</v>
      </c>
      <c r="AB19" s="9">
        <v>60</v>
      </c>
      <c r="AC19" s="9">
        <v>0</v>
      </c>
      <c r="AD19" s="18">
        <f t="shared" si="9"/>
        <v>0.0524567232033572</v>
      </c>
      <c r="AE19" s="9">
        <v>48.8</v>
      </c>
      <c r="AF19" s="18">
        <f t="shared" si="10"/>
        <v>0.0587951807228916</v>
      </c>
    </row>
    <row r="20" ht="16" hidden="1" customHeight="1" spans="1:32">
      <c r="A20" s="1" t="s">
        <v>41</v>
      </c>
      <c r="B20" s="7" t="s">
        <v>35</v>
      </c>
      <c r="C20" s="9"/>
      <c r="D20" s="9">
        <v>240.4</v>
      </c>
      <c r="E20" s="9">
        <v>837.4</v>
      </c>
      <c r="F20" s="9">
        <v>713</v>
      </c>
      <c r="G20" s="18">
        <f t="shared" si="0"/>
        <v>0.851444948650585</v>
      </c>
      <c r="H20" s="18">
        <f t="shared" si="1"/>
        <v>1.75259467040673</v>
      </c>
      <c r="I20" s="9">
        <v>53.2</v>
      </c>
      <c r="J20" s="9">
        <v>0.6</v>
      </c>
      <c r="K20" s="18">
        <f t="shared" si="2"/>
        <v>0.0634844868735084</v>
      </c>
      <c r="L20" s="9">
        <v>11.6</v>
      </c>
      <c r="M20" s="9">
        <v>0</v>
      </c>
      <c r="N20" s="18">
        <f t="shared" si="3"/>
        <v>0.0138524002866014</v>
      </c>
      <c r="O20" s="9">
        <v>254.8</v>
      </c>
      <c r="P20" s="9">
        <v>254.8</v>
      </c>
      <c r="Q20" s="18">
        <f t="shared" si="4"/>
        <v>0.233290606116096</v>
      </c>
      <c r="R20" s="9">
        <v>539</v>
      </c>
      <c r="S20" s="18">
        <f t="shared" si="5"/>
        <v>0.643658944351564</v>
      </c>
      <c r="T20" s="9">
        <v>154.6</v>
      </c>
      <c r="U20" s="18">
        <f t="shared" si="6"/>
        <v>0.28682745825603</v>
      </c>
      <c r="V20" s="9">
        <v>20.2</v>
      </c>
      <c r="W20" s="9">
        <v>0</v>
      </c>
      <c r="X20" s="18">
        <f t="shared" si="7"/>
        <v>0.0241222832577024</v>
      </c>
      <c r="Y20" s="9">
        <v>106.2</v>
      </c>
      <c r="Z20" s="9">
        <v>1.2</v>
      </c>
      <c r="AA20" s="18">
        <f t="shared" si="8"/>
        <v>0.126639637491057</v>
      </c>
      <c r="AB20" s="9">
        <v>74</v>
      </c>
      <c r="AC20" s="9">
        <v>0</v>
      </c>
      <c r="AD20" s="18">
        <f t="shared" si="9"/>
        <v>0.0883687604490088</v>
      </c>
      <c r="AE20" s="9">
        <v>36</v>
      </c>
      <c r="AF20" s="18">
        <f t="shared" si="10"/>
        <v>0.0667903525046382</v>
      </c>
    </row>
    <row r="21" ht="16" hidden="1" customHeight="1" spans="1:32">
      <c r="A21" s="1" t="s">
        <v>41</v>
      </c>
      <c r="B21" s="7" t="s">
        <v>36</v>
      </c>
      <c r="C21" s="9"/>
      <c r="D21" s="9">
        <f>D19+D20</f>
        <v>531.7</v>
      </c>
      <c r="E21" s="9">
        <f>E19+E20</f>
        <v>1981.2</v>
      </c>
      <c r="F21" s="9">
        <f>F19+F20</f>
        <v>1684.2</v>
      </c>
      <c r="G21" s="18">
        <f t="shared" si="0"/>
        <v>0.850090854027862</v>
      </c>
      <c r="H21" s="18">
        <f t="shared" si="1"/>
        <v>1.66049162807268</v>
      </c>
      <c r="I21" s="9">
        <f>I19+I20</f>
        <v>84.4</v>
      </c>
      <c r="J21" s="9">
        <f>J19+J20</f>
        <v>0.6</v>
      </c>
      <c r="K21" s="18">
        <f t="shared" si="2"/>
        <v>0.0425875466747401</v>
      </c>
      <c r="L21" s="9">
        <f>L19+L20</f>
        <v>18</v>
      </c>
      <c r="M21" s="9"/>
      <c r="N21" s="18">
        <f t="shared" si="3"/>
        <v>0.00908540278619019</v>
      </c>
      <c r="O21" s="9">
        <f>O19+O20</f>
        <v>605.8</v>
      </c>
      <c r="P21" s="9">
        <f>P19+P20</f>
        <v>605.8</v>
      </c>
      <c r="Q21" s="18">
        <f t="shared" si="4"/>
        <v>0.234170854271357</v>
      </c>
      <c r="R21" s="9">
        <f>R19+R20</f>
        <v>1369</v>
      </c>
      <c r="S21" s="18">
        <f t="shared" si="5"/>
        <v>0.690995356349687</v>
      </c>
      <c r="T21" s="9">
        <f>T19+T20</f>
        <v>278.2</v>
      </c>
      <c r="U21" s="18">
        <f t="shared" si="6"/>
        <v>0.203214024835646</v>
      </c>
      <c r="V21" s="9">
        <f>V19+V20</f>
        <v>31.4</v>
      </c>
      <c r="W21" s="9"/>
      <c r="X21" s="18">
        <f t="shared" si="7"/>
        <v>0.0158489804159096</v>
      </c>
      <c r="Y21" s="9">
        <f>Y19+Y20</f>
        <v>191</v>
      </c>
      <c r="Z21" s="9">
        <f>Z19+Z20</f>
        <v>2.6</v>
      </c>
      <c r="AA21" s="18">
        <f t="shared" si="8"/>
        <v>0.0962798669220688</v>
      </c>
      <c r="AB21" s="9">
        <f>AB19+AB20</f>
        <v>134</v>
      </c>
      <c r="AC21" s="9"/>
      <c r="AD21" s="18">
        <f t="shared" si="9"/>
        <v>0.0676357762971936</v>
      </c>
      <c r="AE21" s="9">
        <f>AE19+AE20</f>
        <v>84.8</v>
      </c>
      <c r="AF21" s="18">
        <f t="shared" si="10"/>
        <v>0.0619430241051863</v>
      </c>
    </row>
    <row r="22" ht="16" hidden="1" customHeight="1" spans="1:32">
      <c r="A22" s="1" t="s">
        <v>42</v>
      </c>
      <c r="B22" s="7" t="s">
        <v>33</v>
      </c>
      <c r="C22" s="9"/>
      <c r="D22" s="9">
        <v>268.2</v>
      </c>
      <c r="E22" s="9">
        <v>1138.6</v>
      </c>
      <c r="F22" s="9">
        <v>923.4</v>
      </c>
      <c r="G22" s="18">
        <f t="shared" si="0"/>
        <v>0.810995959950817</v>
      </c>
      <c r="H22" s="18">
        <f t="shared" si="1"/>
        <v>1.57894736842105</v>
      </c>
      <c r="I22" s="9">
        <v>33.2</v>
      </c>
      <c r="J22" s="9">
        <v>0.2</v>
      </c>
      <c r="K22" s="18">
        <f t="shared" si="2"/>
        <v>0.0291534949069196</v>
      </c>
      <c r="L22" s="9">
        <v>5.8</v>
      </c>
      <c r="M22" s="9">
        <v>0</v>
      </c>
      <c r="N22" s="18">
        <f t="shared" si="3"/>
        <v>0.00509397505708765</v>
      </c>
      <c r="O22" s="9">
        <v>334.2</v>
      </c>
      <c r="P22" s="9">
        <v>334.2</v>
      </c>
      <c r="Q22" s="18">
        <f t="shared" si="4"/>
        <v>0.226914720260728</v>
      </c>
      <c r="R22" s="9">
        <v>784.6</v>
      </c>
      <c r="S22" s="18">
        <f t="shared" si="5"/>
        <v>0.68909186720534</v>
      </c>
      <c r="T22" s="9">
        <v>112.6</v>
      </c>
      <c r="U22" s="18">
        <f t="shared" si="6"/>
        <v>0.143512617894469</v>
      </c>
      <c r="V22" s="9">
        <v>8.6</v>
      </c>
      <c r="W22" s="9">
        <v>0</v>
      </c>
      <c r="X22" s="18">
        <f t="shared" si="7"/>
        <v>0.00755313542947479</v>
      </c>
      <c r="Y22" s="9">
        <v>87.6</v>
      </c>
      <c r="Z22" s="9">
        <v>1.8</v>
      </c>
      <c r="AA22" s="18">
        <f t="shared" si="8"/>
        <v>0.0768151525780428</v>
      </c>
      <c r="AB22" s="9">
        <v>50.2</v>
      </c>
      <c r="AC22" s="9">
        <v>0</v>
      </c>
      <c r="AD22" s="18">
        <f t="shared" si="9"/>
        <v>0.0440892323906552</v>
      </c>
      <c r="AE22" s="9">
        <v>41.2</v>
      </c>
      <c r="AF22" s="18">
        <f t="shared" si="10"/>
        <v>0.0525108335457558</v>
      </c>
    </row>
    <row r="23" ht="16" hidden="1" customHeight="1" spans="1:32">
      <c r="A23" s="1" t="s">
        <v>42</v>
      </c>
      <c r="B23" s="7" t="s">
        <v>35</v>
      </c>
      <c r="C23" s="9"/>
      <c r="D23" s="9">
        <v>221.4</v>
      </c>
      <c r="E23" s="9">
        <v>907.6</v>
      </c>
      <c r="F23" s="9">
        <v>693.2</v>
      </c>
      <c r="G23" s="18">
        <f t="shared" si="0"/>
        <v>0.76377258704275</v>
      </c>
      <c r="H23" s="18">
        <f t="shared" si="1"/>
        <v>1.71523369878823</v>
      </c>
      <c r="I23" s="9">
        <v>50.6</v>
      </c>
      <c r="J23" s="9">
        <v>0.2</v>
      </c>
      <c r="K23" s="18">
        <f t="shared" si="2"/>
        <v>0.0557391495924212</v>
      </c>
      <c r="L23" s="9">
        <v>15.4</v>
      </c>
      <c r="M23" s="9">
        <v>0</v>
      </c>
      <c r="N23" s="18">
        <f t="shared" si="3"/>
        <v>0.0169678272366681</v>
      </c>
      <c r="O23" s="9">
        <v>230.8</v>
      </c>
      <c r="P23" s="9">
        <v>230.8</v>
      </c>
      <c r="Q23" s="18">
        <f t="shared" si="4"/>
        <v>0.202740688685875</v>
      </c>
      <c r="R23" s="9">
        <v>521.4</v>
      </c>
      <c r="S23" s="18">
        <f t="shared" si="5"/>
        <v>0.574482150727193</v>
      </c>
      <c r="T23" s="9">
        <v>142</v>
      </c>
      <c r="U23" s="18">
        <f t="shared" si="6"/>
        <v>0.272343690065209</v>
      </c>
      <c r="V23" s="9">
        <v>15</v>
      </c>
      <c r="W23" s="9">
        <v>0</v>
      </c>
      <c r="X23" s="18">
        <f t="shared" si="7"/>
        <v>0.0165271044513001</v>
      </c>
      <c r="Y23" s="9">
        <v>109.2</v>
      </c>
      <c r="Z23" s="9">
        <v>1.2</v>
      </c>
      <c r="AA23" s="18">
        <f t="shared" si="8"/>
        <v>0.120158450704225</v>
      </c>
      <c r="AB23" s="9">
        <v>69</v>
      </c>
      <c r="AC23" s="9">
        <v>0</v>
      </c>
      <c r="AD23" s="18">
        <f t="shared" si="9"/>
        <v>0.0760246804759806</v>
      </c>
      <c r="AE23" s="9">
        <v>35.6</v>
      </c>
      <c r="AF23" s="18">
        <f t="shared" si="10"/>
        <v>0.0682777138473341</v>
      </c>
    </row>
    <row r="24" ht="16" hidden="1" customHeight="1" spans="1:32">
      <c r="A24" s="1" t="s">
        <v>42</v>
      </c>
      <c r="B24" s="7" t="s">
        <v>36</v>
      </c>
      <c r="C24" s="9"/>
      <c r="D24" s="9">
        <f>D22+D23</f>
        <v>489.6</v>
      </c>
      <c r="E24" s="9">
        <f>E22+E23</f>
        <v>2046.2</v>
      </c>
      <c r="F24" s="9">
        <f>F22+F23</f>
        <v>1616.6</v>
      </c>
      <c r="G24" s="18">
        <f t="shared" si="0"/>
        <v>0.790049848499658</v>
      </c>
      <c r="H24" s="18">
        <f t="shared" si="1"/>
        <v>1.63738710874675</v>
      </c>
      <c r="I24" s="9">
        <f>I22+I23</f>
        <v>83.8</v>
      </c>
      <c r="J24" s="9">
        <f>J22+J23</f>
        <v>0.4</v>
      </c>
      <c r="K24" s="18">
        <f t="shared" si="2"/>
        <v>0.0409459591517639</v>
      </c>
      <c r="L24" s="9">
        <f>L22+L23</f>
        <v>21.2</v>
      </c>
      <c r="M24" s="9"/>
      <c r="N24" s="18">
        <f t="shared" si="3"/>
        <v>0.0103606685563484</v>
      </c>
      <c r="O24" s="9">
        <f>O22+O23</f>
        <v>565</v>
      </c>
      <c r="P24" s="9">
        <f>P22+P23</f>
        <v>565</v>
      </c>
      <c r="Q24" s="18">
        <f t="shared" si="4"/>
        <v>0.216375612745098</v>
      </c>
      <c r="R24" s="9">
        <f>R22+R23</f>
        <v>1306</v>
      </c>
      <c r="S24" s="18">
        <f t="shared" si="5"/>
        <v>0.638256279933535</v>
      </c>
      <c r="T24" s="9">
        <f>T22+T23</f>
        <v>254.6</v>
      </c>
      <c r="U24" s="18">
        <f t="shared" si="6"/>
        <v>0.194946401225115</v>
      </c>
      <c r="V24" s="9">
        <f>V22+V23</f>
        <v>23.6</v>
      </c>
      <c r="W24" s="9"/>
      <c r="X24" s="18">
        <f t="shared" si="7"/>
        <v>0.0115335744306519</v>
      </c>
      <c r="Y24" s="9">
        <f>Y22+Y23</f>
        <v>196.8</v>
      </c>
      <c r="Z24" s="9">
        <f>Z22+Z23</f>
        <v>3</v>
      </c>
      <c r="AA24" s="18">
        <f t="shared" si="8"/>
        <v>0.0960374780402108</v>
      </c>
      <c r="AB24" s="9">
        <f>AB22+AB23</f>
        <v>119.2</v>
      </c>
      <c r="AC24" s="9"/>
      <c r="AD24" s="18">
        <f t="shared" si="9"/>
        <v>0.0582543250904115</v>
      </c>
      <c r="AE24" s="9">
        <f>AE22+AE23</f>
        <v>76.8</v>
      </c>
      <c r="AF24" s="18">
        <f t="shared" si="10"/>
        <v>0.0588055130168453</v>
      </c>
    </row>
    <row r="25" ht="16" hidden="1" customHeight="1" spans="1:32">
      <c r="A25" s="1" t="s">
        <v>43</v>
      </c>
      <c r="B25" s="7" t="s">
        <v>33</v>
      </c>
      <c r="C25" s="9"/>
      <c r="D25" s="9">
        <v>277.6</v>
      </c>
      <c r="E25" s="9">
        <v>1056.6</v>
      </c>
      <c r="F25" s="9">
        <v>887.8</v>
      </c>
      <c r="G25" s="18">
        <f t="shared" si="0"/>
        <v>0.840242286579595</v>
      </c>
      <c r="H25" s="18">
        <f t="shared" si="1"/>
        <v>1.58143726064429</v>
      </c>
      <c r="I25" s="9">
        <v>37.6</v>
      </c>
      <c r="J25" s="9">
        <v>0</v>
      </c>
      <c r="K25" s="18">
        <f t="shared" si="2"/>
        <v>0.0355858413780049</v>
      </c>
      <c r="L25" s="9">
        <v>2.6</v>
      </c>
      <c r="M25" s="9">
        <v>0</v>
      </c>
      <c r="N25" s="18">
        <f t="shared" si="3"/>
        <v>0.00246072307401098</v>
      </c>
      <c r="O25" s="9">
        <v>335.8</v>
      </c>
      <c r="P25" s="9">
        <v>335.8</v>
      </c>
      <c r="Q25" s="18">
        <f t="shared" si="4"/>
        <v>0.241166331513933</v>
      </c>
      <c r="R25" s="9">
        <v>753.2</v>
      </c>
      <c r="S25" s="18">
        <f t="shared" si="5"/>
        <v>0.71285254590195</v>
      </c>
      <c r="T25" s="9">
        <v>108.2</v>
      </c>
      <c r="U25" s="18">
        <f t="shared" si="6"/>
        <v>0.143653744025491</v>
      </c>
      <c r="V25" s="9">
        <v>6.8</v>
      </c>
      <c r="W25" s="9">
        <v>0</v>
      </c>
      <c r="X25" s="18">
        <f t="shared" si="7"/>
        <v>0.00643573727049025</v>
      </c>
      <c r="Y25" s="9">
        <v>69.6</v>
      </c>
      <c r="Z25" s="9">
        <v>0.8</v>
      </c>
      <c r="AA25" s="18">
        <f t="shared" si="8"/>
        <v>0.0658218271231322</v>
      </c>
      <c r="AB25" s="9">
        <v>47.8</v>
      </c>
      <c r="AC25" s="9">
        <v>0</v>
      </c>
      <c r="AD25" s="18">
        <f t="shared" si="9"/>
        <v>0.0452394472837403</v>
      </c>
      <c r="AE25" s="9">
        <v>42.4</v>
      </c>
      <c r="AF25" s="18">
        <f t="shared" si="10"/>
        <v>0.0562931492299522</v>
      </c>
    </row>
    <row r="26" ht="16" hidden="1" customHeight="1" spans="1:32">
      <c r="A26" s="1" t="s">
        <v>43</v>
      </c>
      <c r="B26" s="7" t="s">
        <v>35</v>
      </c>
      <c r="C26" s="9"/>
      <c r="D26" s="9">
        <v>231.2</v>
      </c>
      <c r="E26" s="9">
        <v>903</v>
      </c>
      <c r="F26" s="9">
        <v>669.6</v>
      </c>
      <c r="G26" s="18">
        <f t="shared" si="0"/>
        <v>0.741528239202658</v>
      </c>
      <c r="H26" s="18">
        <f t="shared" si="1"/>
        <v>1.71326164874552</v>
      </c>
      <c r="I26" s="9">
        <v>45.8</v>
      </c>
      <c r="J26" s="9">
        <v>0</v>
      </c>
      <c r="K26" s="18">
        <f t="shared" si="2"/>
        <v>0.0507198228128461</v>
      </c>
      <c r="L26" s="9">
        <v>21.2</v>
      </c>
      <c r="M26" s="9">
        <v>0</v>
      </c>
      <c r="N26" s="18">
        <f t="shared" si="3"/>
        <v>0.0234772978959025</v>
      </c>
      <c r="O26" s="9">
        <v>222.8</v>
      </c>
      <c r="P26" s="9">
        <v>222.8</v>
      </c>
      <c r="Q26" s="18">
        <f t="shared" si="4"/>
        <v>0.19790371291526</v>
      </c>
      <c r="R26" s="9">
        <v>493.6</v>
      </c>
      <c r="S26" s="18">
        <f t="shared" si="5"/>
        <v>0.546622369878184</v>
      </c>
      <c r="T26" s="9">
        <v>148.4</v>
      </c>
      <c r="U26" s="18">
        <f t="shared" si="6"/>
        <v>0.30064829821718</v>
      </c>
      <c r="V26" s="9">
        <v>11.2</v>
      </c>
      <c r="W26" s="9">
        <v>0</v>
      </c>
      <c r="X26" s="18">
        <f t="shared" si="7"/>
        <v>0.0124031007751938</v>
      </c>
      <c r="Y26" s="9">
        <v>109.4</v>
      </c>
      <c r="Z26" s="9">
        <v>1.2</v>
      </c>
      <c r="AA26" s="18">
        <f t="shared" si="8"/>
        <v>0.120990931209909</v>
      </c>
      <c r="AB26" s="9">
        <v>64.8</v>
      </c>
      <c r="AC26" s="9">
        <v>0</v>
      </c>
      <c r="AD26" s="18">
        <f t="shared" si="9"/>
        <v>0.0717607973421927</v>
      </c>
      <c r="AE26" s="9">
        <v>30</v>
      </c>
      <c r="AF26" s="18">
        <f t="shared" si="10"/>
        <v>0.0607779578606159</v>
      </c>
    </row>
    <row r="27" ht="16" hidden="1" customHeight="1" spans="1:32">
      <c r="A27" s="1" t="s">
        <v>43</v>
      </c>
      <c r="B27" s="7" t="s">
        <v>36</v>
      </c>
      <c r="C27" s="9"/>
      <c r="D27" s="9">
        <f>D25+D26</f>
        <v>508.8</v>
      </c>
      <c r="E27" s="9">
        <f>E25+E26</f>
        <v>1959.6</v>
      </c>
      <c r="F27" s="9">
        <f>F25+F26</f>
        <v>1557.4</v>
      </c>
      <c r="G27" s="18">
        <f t="shared" si="0"/>
        <v>0.794754031434987</v>
      </c>
      <c r="H27" s="18">
        <f t="shared" si="1"/>
        <v>1.63811480672916</v>
      </c>
      <c r="I27" s="9">
        <f>I25+I26</f>
        <v>83.4</v>
      </c>
      <c r="J27" s="9">
        <f>J25+J26</f>
        <v>0</v>
      </c>
      <c r="K27" s="18">
        <f t="shared" si="2"/>
        <v>0.0425597060624617</v>
      </c>
      <c r="L27" s="9">
        <f>L25+L26</f>
        <v>23.8</v>
      </c>
      <c r="M27" s="9"/>
      <c r="N27" s="18">
        <f t="shared" si="3"/>
        <v>0.0121453357828128</v>
      </c>
      <c r="O27" s="9">
        <f>O25+O26</f>
        <v>558.6</v>
      </c>
      <c r="P27" s="9">
        <f>P25+P26</f>
        <v>558.6</v>
      </c>
      <c r="Q27" s="18">
        <f t="shared" si="4"/>
        <v>0.221825113176078</v>
      </c>
      <c r="R27" s="9">
        <f>R25+R26</f>
        <v>1246.8</v>
      </c>
      <c r="S27" s="18">
        <f t="shared" si="5"/>
        <v>0.636252296387018</v>
      </c>
      <c r="T27" s="9">
        <f>T25+T26</f>
        <v>256.6</v>
      </c>
      <c r="U27" s="18">
        <f t="shared" si="6"/>
        <v>0.205806865575874</v>
      </c>
      <c r="V27" s="9">
        <f>V25+V26</f>
        <v>18</v>
      </c>
      <c r="W27" s="9"/>
      <c r="X27" s="18">
        <f t="shared" si="7"/>
        <v>0.00918554807103491</v>
      </c>
      <c r="Y27" s="9">
        <f>Y25+Y26</f>
        <v>179</v>
      </c>
      <c r="Z27" s="9">
        <f>Z25+Z26</f>
        <v>2</v>
      </c>
      <c r="AA27" s="18">
        <f t="shared" si="8"/>
        <v>0.0912520391517129</v>
      </c>
      <c r="AB27" s="9">
        <f>AB25+AB26</f>
        <v>112.6</v>
      </c>
      <c r="AC27" s="9"/>
      <c r="AD27" s="18">
        <f t="shared" si="9"/>
        <v>0.057460706266585</v>
      </c>
      <c r="AE27" s="9">
        <f>AE25+AE26</f>
        <v>72.4</v>
      </c>
      <c r="AF27" s="18">
        <f t="shared" si="10"/>
        <v>0.0580686557587424</v>
      </c>
    </row>
    <row r="28" ht="16" hidden="1" customHeight="1" spans="1:32">
      <c r="A28" s="1" t="s">
        <v>44</v>
      </c>
      <c r="B28" s="7" t="s">
        <v>33</v>
      </c>
      <c r="C28" s="9"/>
      <c r="D28" s="9">
        <v>316.7</v>
      </c>
      <c r="E28" s="9">
        <v>1217.8</v>
      </c>
      <c r="F28" s="9">
        <v>1022.6</v>
      </c>
      <c r="G28" s="18">
        <f t="shared" si="0"/>
        <v>0.839710954179668</v>
      </c>
      <c r="H28" s="18">
        <f t="shared" si="1"/>
        <v>1.62624682182672</v>
      </c>
      <c r="I28" s="9">
        <v>43.8</v>
      </c>
      <c r="J28" s="9">
        <v>0.4</v>
      </c>
      <c r="K28" s="18">
        <f t="shared" si="2"/>
        <v>0.035954687243474</v>
      </c>
      <c r="L28" s="9">
        <v>7.4</v>
      </c>
      <c r="M28" s="9">
        <v>0</v>
      </c>
      <c r="N28" s="18">
        <f t="shared" si="3"/>
        <v>0.00607653145015602</v>
      </c>
      <c r="O28" s="9">
        <v>399.2</v>
      </c>
      <c r="P28" s="9">
        <v>399.2</v>
      </c>
      <c r="Q28" s="18">
        <f t="shared" si="4"/>
        <v>0.246876932591218</v>
      </c>
      <c r="R28" s="9">
        <v>862</v>
      </c>
      <c r="S28" s="18">
        <f t="shared" si="5"/>
        <v>0.707833798653309</v>
      </c>
      <c r="T28" s="9">
        <v>137.2</v>
      </c>
      <c r="U28" s="18">
        <f t="shared" si="6"/>
        <v>0.159164733178654</v>
      </c>
      <c r="V28" s="9">
        <v>12.2</v>
      </c>
      <c r="W28" s="9">
        <v>0</v>
      </c>
      <c r="X28" s="18">
        <f t="shared" si="7"/>
        <v>0.0100180653637707</v>
      </c>
      <c r="Y28" s="9">
        <v>91.2</v>
      </c>
      <c r="Z28" s="9">
        <v>2</v>
      </c>
      <c r="AA28" s="18">
        <f t="shared" si="8"/>
        <v>0.0747663551401869</v>
      </c>
      <c r="AB28" s="9">
        <v>67.2</v>
      </c>
      <c r="AC28" s="9">
        <v>0</v>
      </c>
      <c r="AD28" s="18">
        <f t="shared" si="9"/>
        <v>0.055181474790606</v>
      </c>
      <c r="AE28" s="9">
        <v>42.8</v>
      </c>
      <c r="AF28" s="18">
        <f t="shared" si="10"/>
        <v>0.0496519721577726</v>
      </c>
    </row>
    <row r="29" ht="16" hidden="1" customHeight="1" spans="1:32">
      <c r="A29" s="1" t="s">
        <v>44</v>
      </c>
      <c r="B29" s="7" t="s">
        <v>35</v>
      </c>
      <c r="C29" s="9"/>
      <c r="D29" s="9">
        <v>225.9</v>
      </c>
      <c r="E29" s="9">
        <v>753.6</v>
      </c>
      <c r="F29" s="9">
        <v>657.4</v>
      </c>
      <c r="G29" s="18">
        <f t="shared" si="0"/>
        <v>0.872346072186836</v>
      </c>
      <c r="H29" s="18">
        <f t="shared" si="1"/>
        <v>1.75479160328567</v>
      </c>
      <c r="I29" s="9">
        <v>48.4</v>
      </c>
      <c r="J29" s="9">
        <v>0.6</v>
      </c>
      <c r="K29" s="18">
        <f t="shared" si="2"/>
        <v>0.064173959162026</v>
      </c>
      <c r="L29" s="9">
        <v>17.2</v>
      </c>
      <c r="M29" s="9">
        <v>0</v>
      </c>
      <c r="N29" s="18">
        <f t="shared" si="3"/>
        <v>0.0228237791932059</v>
      </c>
      <c r="O29" s="9">
        <v>223.2</v>
      </c>
      <c r="P29" s="9">
        <v>223.2</v>
      </c>
      <c r="Q29" s="18">
        <f t="shared" si="4"/>
        <v>0.228501228501229</v>
      </c>
      <c r="R29" s="9">
        <v>483.6</v>
      </c>
      <c r="S29" s="18">
        <f t="shared" si="5"/>
        <v>0.64171974522293</v>
      </c>
      <c r="T29" s="9">
        <v>149.8</v>
      </c>
      <c r="U29" s="18">
        <f t="shared" si="6"/>
        <v>0.309760132340778</v>
      </c>
      <c r="V29" s="9">
        <v>20.4</v>
      </c>
      <c r="W29" s="9">
        <v>0</v>
      </c>
      <c r="X29" s="18">
        <f t="shared" si="7"/>
        <v>0.0270700636942675</v>
      </c>
      <c r="Y29" s="9">
        <v>102.2</v>
      </c>
      <c r="Z29" s="9">
        <v>1.6</v>
      </c>
      <c r="AA29" s="18">
        <f t="shared" si="8"/>
        <v>0.135328389830508</v>
      </c>
      <c r="AB29" s="9">
        <v>74.6</v>
      </c>
      <c r="AC29" s="9">
        <v>0</v>
      </c>
      <c r="AD29" s="18">
        <f t="shared" si="9"/>
        <v>0.0989915074309979</v>
      </c>
      <c r="AE29" s="9">
        <v>34.2</v>
      </c>
      <c r="AF29" s="18">
        <f t="shared" si="10"/>
        <v>0.0707196029776675</v>
      </c>
    </row>
    <row r="30" ht="16" hidden="1" customHeight="1" spans="1:32">
      <c r="A30" s="1" t="s">
        <v>44</v>
      </c>
      <c r="B30" s="7" t="s">
        <v>36</v>
      </c>
      <c r="C30" s="9"/>
      <c r="D30" s="9">
        <f>D28+D29</f>
        <v>542.6</v>
      </c>
      <c r="E30" s="9">
        <f>E28+E29</f>
        <v>1971.4</v>
      </c>
      <c r="F30" s="9">
        <f>F28+F29</f>
        <v>1680</v>
      </c>
      <c r="G30" s="18">
        <f t="shared" si="0"/>
        <v>0.852186263569037</v>
      </c>
      <c r="H30" s="18">
        <f t="shared" si="1"/>
        <v>1.67654761904762</v>
      </c>
      <c r="I30" s="9">
        <f>I28+I29</f>
        <v>92.2</v>
      </c>
      <c r="J30" s="9">
        <f>J28+J29</f>
        <v>1</v>
      </c>
      <c r="K30" s="18">
        <f t="shared" si="2"/>
        <v>0.0467450821334415</v>
      </c>
      <c r="L30" s="9">
        <f>L28+L29</f>
        <v>24.6</v>
      </c>
      <c r="M30" s="9"/>
      <c r="N30" s="18">
        <f t="shared" si="3"/>
        <v>0.0124784417165466</v>
      </c>
      <c r="O30" s="9">
        <f>O28+O29</f>
        <v>622.4</v>
      </c>
      <c r="P30" s="9">
        <f>P28+P29</f>
        <v>622.4</v>
      </c>
      <c r="Q30" s="18">
        <f t="shared" si="4"/>
        <v>0.239956820109492</v>
      </c>
      <c r="R30" s="9">
        <f>R28+R29</f>
        <v>1345.6</v>
      </c>
      <c r="S30" s="18">
        <f t="shared" si="5"/>
        <v>0.682560616820534</v>
      </c>
      <c r="T30" s="9">
        <f>T28+T29</f>
        <v>287</v>
      </c>
      <c r="U30" s="18">
        <f t="shared" si="6"/>
        <v>0.213287752675386</v>
      </c>
      <c r="V30" s="9">
        <f>V28+V29</f>
        <v>32.6</v>
      </c>
      <c r="W30" s="9"/>
      <c r="X30" s="18">
        <f t="shared" si="7"/>
        <v>0.0165364715430658</v>
      </c>
      <c r="Y30" s="9">
        <f>Y28+Y29</f>
        <v>193.4</v>
      </c>
      <c r="Z30" s="9">
        <f>Z28+Z29</f>
        <v>3.6</v>
      </c>
      <c r="AA30" s="18">
        <f t="shared" si="8"/>
        <v>0.0979240506329114</v>
      </c>
      <c r="AB30" s="9">
        <f>AB28+AB29</f>
        <v>141.8</v>
      </c>
      <c r="AC30" s="9"/>
      <c r="AD30" s="18">
        <f t="shared" si="9"/>
        <v>0.0719285786750533</v>
      </c>
      <c r="AE30" s="9">
        <f>AE28+AE29</f>
        <v>77</v>
      </c>
      <c r="AF30" s="18">
        <f t="shared" si="10"/>
        <v>0.0572235434007134</v>
      </c>
    </row>
    <row r="31" ht="16" hidden="1" customHeight="1" spans="1:32">
      <c r="A31" s="1" t="s">
        <v>45</v>
      </c>
      <c r="B31" s="7" t="s">
        <v>33</v>
      </c>
      <c r="C31" s="9"/>
      <c r="D31" s="9">
        <v>274</v>
      </c>
      <c r="E31" s="9">
        <v>1140.4</v>
      </c>
      <c r="F31" s="9">
        <v>897.8</v>
      </c>
      <c r="G31" s="18">
        <f t="shared" si="0"/>
        <v>0.787267625394598</v>
      </c>
      <c r="H31" s="18">
        <f t="shared" si="1"/>
        <v>1.60035642682112</v>
      </c>
      <c r="I31" s="9">
        <v>36.8</v>
      </c>
      <c r="J31" s="9">
        <v>0.2</v>
      </c>
      <c r="K31" s="18">
        <f t="shared" si="2"/>
        <v>0.0322637208486761</v>
      </c>
      <c r="L31" s="9">
        <v>5.6</v>
      </c>
      <c r="M31" s="9">
        <v>0</v>
      </c>
      <c r="N31" s="18">
        <f t="shared" si="3"/>
        <v>0.00491055769905296</v>
      </c>
      <c r="O31" s="9">
        <v>343.2</v>
      </c>
      <c r="P31" s="9">
        <v>343.2</v>
      </c>
      <c r="Q31" s="18">
        <f t="shared" si="4"/>
        <v>0.231329199245079</v>
      </c>
      <c r="R31" s="9">
        <v>765.6</v>
      </c>
      <c r="S31" s="18">
        <f t="shared" si="5"/>
        <v>0.671343388284812</v>
      </c>
      <c r="T31" s="9">
        <v>110.4</v>
      </c>
      <c r="U31" s="18">
        <f t="shared" si="6"/>
        <v>0.144200626959248</v>
      </c>
      <c r="V31" s="9">
        <v>8.2</v>
      </c>
      <c r="W31" s="9">
        <v>0</v>
      </c>
      <c r="X31" s="18">
        <f t="shared" si="7"/>
        <v>0.00719045948789898</v>
      </c>
      <c r="Y31" s="9">
        <v>68.8</v>
      </c>
      <c r="Z31" s="9">
        <v>0.6</v>
      </c>
      <c r="AA31" s="18">
        <f t="shared" si="8"/>
        <v>0.0602979842243646</v>
      </c>
      <c r="AB31" s="9">
        <v>59.8</v>
      </c>
      <c r="AC31" s="9">
        <v>0</v>
      </c>
      <c r="AD31" s="18">
        <f t="shared" si="9"/>
        <v>0.0524377411434584</v>
      </c>
      <c r="AE31" s="9">
        <v>38.4</v>
      </c>
      <c r="AF31" s="18">
        <f t="shared" si="10"/>
        <v>0.0501567398119122</v>
      </c>
    </row>
    <row r="32" ht="16" hidden="1" customHeight="1" spans="1:32">
      <c r="A32" s="1" t="s">
        <v>45</v>
      </c>
      <c r="B32" s="7" t="s">
        <v>35</v>
      </c>
      <c r="C32" s="9"/>
      <c r="D32" s="9">
        <v>209.7</v>
      </c>
      <c r="E32" s="9">
        <v>726.2</v>
      </c>
      <c r="F32" s="9">
        <v>618</v>
      </c>
      <c r="G32" s="18">
        <f t="shared" si="0"/>
        <v>0.851005232718259</v>
      </c>
      <c r="H32" s="18">
        <f t="shared" si="1"/>
        <v>1.76472491909385</v>
      </c>
      <c r="I32" s="9">
        <v>47.8</v>
      </c>
      <c r="J32" s="9">
        <v>0.2</v>
      </c>
      <c r="K32" s="18">
        <f t="shared" si="2"/>
        <v>0.0658039647577092</v>
      </c>
      <c r="L32" s="9">
        <v>17.2</v>
      </c>
      <c r="M32" s="9">
        <v>0</v>
      </c>
      <c r="N32" s="18">
        <f t="shared" si="3"/>
        <v>0.0236849352795373</v>
      </c>
      <c r="O32" s="9">
        <v>212.2</v>
      </c>
      <c r="P32" s="9">
        <v>212.2</v>
      </c>
      <c r="Q32" s="18">
        <f t="shared" si="4"/>
        <v>0.22612958226769</v>
      </c>
      <c r="R32" s="9">
        <v>460.8</v>
      </c>
      <c r="S32" s="18">
        <f t="shared" si="5"/>
        <v>0.634535940512256</v>
      </c>
      <c r="T32" s="9">
        <v>145.8</v>
      </c>
      <c r="U32" s="18">
        <f t="shared" si="6"/>
        <v>0.31640625</v>
      </c>
      <c r="V32" s="9">
        <v>14</v>
      </c>
      <c r="W32" s="9">
        <v>0</v>
      </c>
      <c r="X32" s="18">
        <f t="shared" si="7"/>
        <v>0.0192784356926467</v>
      </c>
      <c r="Y32" s="9">
        <v>92.2</v>
      </c>
      <c r="Z32" s="9">
        <v>1.4</v>
      </c>
      <c r="AA32" s="18">
        <f t="shared" si="8"/>
        <v>0.12671797691039</v>
      </c>
      <c r="AB32" s="9">
        <v>68.6</v>
      </c>
      <c r="AC32" s="9">
        <v>0</v>
      </c>
      <c r="AD32" s="18">
        <f t="shared" si="9"/>
        <v>0.0944643348939686</v>
      </c>
      <c r="AE32" s="9">
        <v>32</v>
      </c>
      <c r="AF32" s="18">
        <f t="shared" si="10"/>
        <v>0.0694444444444444</v>
      </c>
    </row>
    <row r="33" ht="16" hidden="1" customHeight="1" spans="1:32">
      <c r="A33" s="1" t="s">
        <v>45</v>
      </c>
      <c r="B33" s="7" t="s">
        <v>36</v>
      </c>
      <c r="C33" s="9"/>
      <c r="D33" s="9">
        <f>D31+D32</f>
        <v>483.7</v>
      </c>
      <c r="E33" s="9">
        <f>E31+E32</f>
        <v>1866.6</v>
      </c>
      <c r="F33" s="9">
        <f>F31+F32</f>
        <v>1515.8</v>
      </c>
      <c r="G33" s="18">
        <f t="shared" si="0"/>
        <v>0.812064716597021</v>
      </c>
      <c r="H33" s="18">
        <f t="shared" si="1"/>
        <v>1.66737036548357</v>
      </c>
      <c r="I33" s="9">
        <f>I31+I32</f>
        <v>84.6</v>
      </c>
      <c r="J33" s="9">
        <f>J31+J32</f>
        <v>0.4</v>
      </c>
      <c r="K33" s="18">
        <f t="shared" si="2"/>
        <v>0.0453133369041243</v>
      </c>
      <c r="L33" s="9">
        <f>L31+L32</f>
        <v>22.8</v>
      </c>
      <c r="M33" s="9"/>
      <c r="N33" s="18">
        <f t="shared" si="3"/>
        <v>0.0122147219543555</v>
      </c>
      <c r="O33" s="9">
        <f>O31+O32</f>
        <v>555.4</v>
      </c>
      <c r="P33" s="9">
        <f>P31+P32</f>
        <v>555.4</v>
      </c>
      <c r="Q33" s="18">
        <f t="shared" si="4"/>
        <v>0.229314616019818</v>
      </c>
      <c r="R33" s="9">
        <f>R31+R32</f>
        <v>1226.4</v>
      </c>
      <c r="S33" s="18">
        <f t="shared" si="5"/>
        <v>0.657023465123754</v>
      </c>
      <c r="T33" s="9">
        <f>T31+T32</f>
        <v>256.2</v>
      </c>
      <c r="U33" s="18">
        <f t="shared" si="6"/>
        <v>0.208904109589041</v>
      </c>
      <c r="V33" s="9">
        <f>V31+V32</f>
        <v>22.2</v>
      </c>
      <c r="W33" s="9"/>
      <c r="X33" s="18">
        <f t="shared" si="7"/>
        <v>0.0118932819029251</v>
      </c>
      <c r="Y33" s="9">
        <f>Y31+Y32</f>
        <v>161</v>
      </c>
      <c r="Z33" s="9">
        <f>Z31+Z32</f>
        <v>2</v>
      </c>
      <c r="AA33" s="18">
        <f t="shared" si="8"/>
        <v>0.0861607620678583</v>
      </c>
      <c r="AB33" s="9">
        <f>AB31+AB32</f>
        <v>128.4</v>
      </c>
      <c r="AC33" s="9"/>
      <c r="AD33" s="18">
        <f t="shared" si="9"/>
        <v>0.0687881710061073</v>
      </c>
      <c r="AE33" s="9">
        <f>AE31+AE32</f>
        <v>70.4</v>
      </c>
      <c r="AF33" s="18">
        <f t="shared" si="10"/>
        <v>0.0574037834311807</v>
      </c>
    </row>
    <row r="34" ht="16" hidden="1" customHeight="1" spans="1:32">
      <c r="A34" s="1" t="s">
        <v>46</v>
      </c>
      <c r="B34" s="7" t="s">
        <v>33</v>
      </c>
      <c r="C34" s="9"/>
      <c r="D34" s="9">
        <v>310.1</v>
      </c>
      <c r="E34" s="9">
        <v>1204.8</v>
      </c>
      <c r="F34" s="9">
        <v>999</v>
      </c>
      <c r="G34" s="18">
        <f t="shared" si="0"/>
        <v>0.829183266932271</v>
      </c>
      <c r="H34" s="18">
        <f t="shared" si="1"/>
        <v>1.62082082082082</v>
      </c>
      <c r="I34" s="9">
        <v>35.8</v>
      </c>
      <c r="J34" s="9">
        <v>0.2</v>
      </c>
      <c r="K34" s="18">
        <f t="shared" si="2"/>
        <v>0.0297095435684647</v>
      </c>
      <c r="L34" s="9">
        <v>7.8</v>
      </c>
      <c r="M34" s="9">
        <v>0</v>
      </c>
      <c r="N34" s="18">
        <f t="shared" si="3"/>
        <v>0.00647410358565737</v>
      </c>
      <c r="O34" s="9">
        <v>402.8</v>
      </c>
      <c r="P34" s="9">
        <v>402.8</v>
      </c>
      <c r="Q34" s="18">
        <f t="shared" si="4"/>
        <v>0.250559840756407</v>
      </c>
      <c r="R34" s="9">
        <v>858.6</v>
      </c>
      <c r="S34" s="18">
        <f t="shared" si="5"/>
        <v>0.712649402390438</v>
      </c>
      <c r="T34" s="9">
        <v>121.8</v>
      </c>
      <c r="U34" s="18">
        <f t="shared" si="6"/>
        <v>0.141858839972048</v>
      </c>
      <c r="V34" s="9">
        <v>10.4</v>
      </c>
      <c r="W34" s="9">
        <v>0</v>
      </c>
      <c r="X34" s="18">
        <f t="shared" si="7"/>
        <v>0.00863213811420983</v>
      </c>
      <c r="Y34" s="9">
        <v>60.8</v>
      </c>
      <c r="Z34" s="9">
        <v>1.2</v>
      </c>
      <c r="AA34" s="18">
        <f t="shared" si="8"/>
        <v>0.0504145936981758</v>
      </c>
      <c r="AB34" s="9">
        <v>73.2</v>
      </c>
      <c r="AC34" s="9">
        <v>0</v>
      </c>
      <c r="AD34" s="18">
        <f t="shared" si="9"/>
        <v>0.0607569721115538</v>
      </c>
      <c r="AE34" s="9">
        <v>48</v>
      </c>
      <c r="AF34" s="18">
        <f t="shared" si="10"/>
        <v>0.0559049615653389</v>
      </c>
    </row>
    <row r="35" ht="16" hidden="1" customHeight="1" spans="1:32">
      <c r="A35" s="1" t="s">
        <v>46</v>
      </c>
      <c r="B35" s="7" t="s">
        <v>35</v>
      </c>
      <c r="C35" s="9"/>
      <c r="D35" s="9">
        <v>216.3</v>
      </c>
      <c r="E35" s="9">
        <v>754.8</v>
      </c>
      <c r="F35" s="9">
        <v>647.8</v>
      </c>
      <c r="G35" s="18">
        <f t="shared" si="0"/>
        <v>0.858240593534711</v>
      </c>
      <c r="H35" s="18">
        <f t="shared" si="1"/>
        <v>1.74745291756715</v>
      </c>
      <c r="I35" s="9">
        <v>45.4</v>
      </c>
      <c r="J35" s="9">
        <v>0.4</v>
      </c>
      <c r="K35" s="18">
        <f t="shared" si="2"/>
        <v>0.0601165254237288</v>
      </c>
      <c r="L35" s="9">
        <v>21.4</v>
      </c>
      <c r="M35" s="9">
        <v>0</v>
      </c>
      <c r="N35" s="18">
        <f t="shared" si="3"/>
        <v>0.0283518812930578</v>
      </c>
      <c r="O35" s="9">
        <v>213.6</v>
      </c>
      <c r="P35" s="9">
        <v>213.6</v>
      </c>
      <c r="Q35" s="18">
        <f t="shared" si="4"/>
        <v>0.220570012391574</v>
      </c>
      <c r="R35" s="9">
        <v>479.6</v>
      </c>
      <c r="S35" s="18">
        <f t="shared" si="5"/>
        <v>0.635400105988341</v>
      </c>
      <c r="T35" s="9">
        <v>143.2</v>
      </c>
      <c r="U35" s="18">
        <f t="shared" si="6"/>
        <v>0.298582151793161</v>
      </c>
      <c r="V35" s="9">
        <v>14.8</v>
      </c>
      <c r="W35" s="9">
        <v>0</v>
      </c>
      <c r="X35" s="18">
        <f t="shared" si="7"/>
        <v>0.0196078431372549</v>
      </c>
      <c r="Y35" s="9">
        <v>102.6</v>
      </c>
      <c r="Z35" s="9">
        <v>1.2</v>
      </c>
      <c r="AA35" s="18">
        <f t="shared" si="8"/>
        <v>0.135714285714286</v>
      </c>
      <c r="AB35" s="9">
        <v>82</v>
      </c>
      <c r="AC35" s="9">
        <v>0</v>
      </c>
      <c r="AD35" s="18">
        <f t="shared" si="9"/>
        <v>0.10863804981452</v>
      </c>
      <c r="AE35" s="9">
        <v>29.4</v>
      </c>
      <c r="AF35" s="18">
        <f t="shared" si="10"/>
        <v>0.061301084236864</v>
      </c>
    </row>
    <row r="36" ht="16" hidden="1" customHeight="1" spans="1:32">
      <c r="A36" s="1" t="s">
        <v>46</v>
      </c>
      <c r="B36" s="7" t="s">
        <v>36</v>
      </c>
      <c r="C36" s="9"/>
      <c r="D36" s="9">
        <f>D34+D35</f>
        <v>526.4</v>
      </c>
      <c r="E36" s="9">
        <f>E34+E35</f>
        <v>1959.6</v>
      </c>
      <c r="F36" s="9">
        <f>F34+F35</f>
        <v>1646.8</v>
      </c>
      <c r="G36" s="18">
        <f t="shared" si="0"/>
        <v>0.84037558685446</v>
      </c>
      <c r="H36" s="18">
        <f t="shared" si="1"/>
        <v>1.67063395676463</v>
      </c>
      <c r="I36" s="9">
        <f>I34+I35</f>
        <v>81.2</v>
      </c>
      <c r="J36" s="9">
        <f>J34+J35</f>
        <v>0.6</v>
      </c>
      <c r="K36" s="18">
        <f t="shared" si="2"/>
        <v>0.0414243444546475</v>
      </c>
      <c r="L36" s="9">
        <f>L34+L35</f>
        <v>29.2</v>
      </c>
      <c r="M36" s="9"/>
      <c r="N36" s="18">
        <f t="shared" si="3"/>
        <v>0.0149010002041233</v>
      </c>
      <c r="O36" s="9">
        <f>O34+O35</f>
        <v>616.4</v>
      </c>
      <c r="P36" s="9">
        <f>P34+P35</f>
        <v>616.4</v>
      </c>
      <c r="Q36" s="18">
        <f t="shared" si="4"/>
        <v>0.239285714285714</v>
      </c>
      <c r="R36" s="9">
        <f>R34+R35</f>
        <v>1338.2</v>
      </c>
      <c r="S36" s="18">
        <f t="shared" si="5"/>
        <v>0.682894468258828</v>
      </c>
      <c r="T36" s="9">
        <f>T34+T35</f>
        <v>265</v>
      </c>
      <c r="U36" s="18">
        <f t="shared" si="6"/>
        <v>0.198027200717382</v>
      </c>
      <c r="V36" s="9">
        <f>V34+V35</f>
        <v>25.2</v>
      </c>
      <c r="W36" s="9"/>
      <c r="X36" s="18">
        <f t="shared" si="7"/>
        <v>0.0128597672994489</v>
      </c>
      <c r="Y36" s="9">
        <f>Y34+Y35</f>
        <v>163.4</v>
      </c>
      <c r="Z36" s="9">
        <f>Z34+Z35</f>
        <v>2.4</v>
      </c>
      <c r="AA36" s="18">
        <f t="shared" si="8"/>
        <v>0.0832823649337411</v>
      </c>
      <c r="AB36" s="9">
        <f>AB34+AB35</f>
        <v>155.2</v>
      </c>
      <c r="AC36" s="9"/>
      <c r="AD36" s="18">
        <f t="shared" si="9"/>
        <v>0.0791998367013676</v>
      </c>
      <c r="AE36" s="9">
        <f>AE34+AE35</f>
        <v>77.4</v>
      </c>
      <c r="AF36" s="18">
        <f t="shared" si="10"/>
        <v>0.0578388880585862</v>
      </c>
    </row>
    <row r="37" ht="16" hidden="1" customHeight="1" spans="1:32">
      <c r="A37" s="1" t="s">
        <v>47</v>
      </c>
      <c r="B37" s="7" t="s">
        <v>33</v>
      </c>
      <c r="C37" s="9"/>
      <c r="D37" s="9">
        <v>324.8</v>
      </c>
      <c r="E37" s="9">
        <v>1155.2</v>
      </c>
      <c r="F37" s="9">
        <v>965.2</v>
      </c>
      <c r="G37" s="18">
        <f t="shared" si="0"/>
        <v>0.835526315789474</v>
      </c>
      <c r="H37" s="18">
        <f t="shared" si="1"/>
        <v>1.6479486116867</v>
      </c>
      <c r="I37" s="9">
        <v>35</v>
      </c>
      <c r="J37" s="9">
        <v>1</v>
      </c>
      <c r="K37" s="18">
        <f t="shared" si="2"/>
        <v>0.0302715793115378</v>
      </c>
      <c r="L37" s="9">
        <v>6.2</v>
      </c>
      <c r="M37" s="9">
        <v>0</v>
      </c>
      <c r="N37" s="18">
        <f t="shared" si="3"/>
        <v>0.00536703601108033</v>
      </c>
      <c r="O37" s="9">
        <v>398.6</v>
      </c>
      <c r="P37" s="9">
        <v>398.6</v>
      </c>
      <c r="Q37" s="18">
        <f t="shared" si="4"/>
        <v>0.256532372248681</v>
      </c>
      <c r="R37" s="9">
        <v>823.6</v>
      </c>
      <c r="S37" s="18">
        <f t="shared" si="5"/>
        <v>0.712950138504155</v>
      </c>
      <c r="T37" s="9">
        <v>125.2</v>
      </c>
      <c r="U37" s="18">
        <f t="shared" si="6"/>
        <v>0.152015541525012</v>
      </c>
      <c r="V37" s="9">
        <v>9.6</v>
      </c>
      <c r="W37" s="9">
        <v>0</v>
      </c>
      <c r="X37" s="18">
        <f t="shared" si="7"/>
        <v>0.00831024930747922</v>
      </c>
      <c r="Y37" s="9">
        <v>75.6</v>
      </c>
      <c r="Z37" s="9">
        <v>1.4</v>
      </c>
      <c r="AA37" s="18">
        <f t="shared" si="8"/>
        <v>0.0653639979249524</v>
      </c>
      <c r="AB37" s="9">
        <v>72.6</v>
      </c>
      <c r="AC37" s="9">
        <v>0</v>
      </c>
      <c r="AD37" s="18">
        <f t="shared" si="9"/>
        <v>0.0628462603878116</v>
      </c>
      <c r="AE37" s="9">
        <v>44.2</v>
      </c>
      <c r="AF37" s="18">
        <f t="shared" si="10"/>
        <v>0.0536668285575522</v>
      </c>
    </row>
    <row r="38" ht="16" hidden="1" customHeight="1" spans="1:32">
      <c r="A38" s="1" t="s">
        <v>47</v>
      </c>
      <c r="B38" s="7" t="s">
        <v>35</v>
      </c>
      <c r="C38" s="9"/>
      <c r="D38" s="9">
        <v>241.3</v>
      </c>
      <c r="E38" s="9">
        <v>816</v>
      </c>
      <c r="F38" s="9">
        <v>700.2</v>
      </c>
      <c r="G38" s="18">
        <f t="shared" si="0"/>
        <v>0.858088235294118</v>
      </c>
      <c r="H38" s="18">
        <f t="shared" si="1"/>
        <v>1.73379034561554</v>
      </c>
      <c r="I38" s="9">
        <v>43.6</v>
      </c>
      <c r="J38" s="9">
        <v>0.2</v>
      </c>
      <c r="K38" s="18">
        <f t="shared" si="2"/>
        <v>0.0534182798333742</v>
      </c>
      <c r="L38" s="9">
        <v>22.6</v>
      </c>
      <c r="M38" s="9">
        <v>0</v>
      </c>
      <c r="N38" s="18">
        <f t="shared" si="3"/>
        <v>0.0276960784313726</v>
      </c>
      <c r="O38" s="9">
        <v>242.6</v>
      </c>
      <c r="P38" s="9">
        <v>242.6</v>
      </c>
      <c r="Q38" s="18">
        <f t="shared" si="4"/>
        <v>0.229170602682789</v>
      </c>
      <c r="R38" s="9">
        <v>528.6</v>
      </c>
      <c r="S38" s="18">
        <f t="shared" si="5"/>
        <v>0.647794117647059</v>
      </c>
      <c r="T38" s="9">
        <v>151.6</v>
      </c>
      <c r="U38" s="18">
        <f t="shared" si="6"/>
        <v>0.28679530836171</v>
      </c>
      <c r="V38" s="9">
        <v>16</v>
      </c>
      <c r="W38" s="9">
        <v>0</v>
      </c>
      <c r="X38" s="18">
        <f t="shared" si="7"/>
        <v>0.0196078431372549</v>
      </c>
      <c r="Y38" s="9">
        <v>96.6</v>
      </c>
      <c r="Z38" s="9">
        <v>1</v>
      </c>
      <c r="AA38" s="18">
        <f t="shared" si="8"/>
        <v>0.118237454100367</v>
      </c>
      <c r="AB38" s="9">
        <v>82.2</v>
      </c>
      <c r="AC38" s="9">
        <v>0</v>
      </c>
      <c r="AD38" s="18">
        <f t="shared" si="9"/>
        <v>0.100735294117647</v>
      </c>
      <c r="AE38" s="9">
        <v>30.2</v>
      </c>
      <c r="AF38" s="18">
        <f t="shared" si="10"/>
        <v>0.0571320469163829</v>
      </c>
    </row>
    <row r="39" ht="16" hidden="1" customHeight="1" spans="1:32">
      <c r="A39" s="1" t="s">
        <v>47</v>
      </c>
      <c r="B39" s="7" t="s">
        <v>36</v>
      </c>
      <c r="C39" s="9"/>
      <c r="D39" s="9">
        <f>D37+D38</f>
        <v>566.1</v>
      </c>
      <c r="E39" s="9">
        <f>E37+E38</f>
        <v>1971.2</v>
      </c>
      <c r="F39" s="9">
        <f>F37+F38</f>
        <v>1665.4</v>
      </c>
      <c r="G39" s="18">
        <f t="shared" si="0"/>
        <v>0.844866071428572</v>
      </c>
      <c r="H39" s="18">
        <f t="shared" si="1"/>
        <v>1.68403987030143</v>
      </c>
      <c r="I39" s="9">
        <f>I37+I38</f>
        <v>78.6</v>
      </c>
      <c r="J39" s="9">
        <f>J37+J38</f>
        <v>1.2</v>
      </c>
      <c r="K39" s="18">
        <f t="shared" si="2"/>
        <v>0.0398499290204827</v>
      </c>
      <c r="L39" s="9">
        <f>L37+L38</f>
        <v>28.8</v>
      </c>
      <c r="M39" s="9"/>
      <c r="N39" s="18">
        <f t="shared" si="3"/>
        <v>0.0146103896103896</v>
      </c>
      <c r="O39" s="9">
        <f>O37+O38</f>
        <v>641.2</v>
      </c>
      <c r="P39" s="9">
        <f>P37+P38</f>
        <v>641.2</v>
      </c>
      <c r="Q39" s="18">
        <f t="shared" si="4"/>
        <v>0.245444801714898</v>
      </c>
      <c r="R39" s="9">
        <f>R37+R38</f>
        <v>1352.2</v>
      </c>
      <c r="S39" s="18">
        <f t="shared" si="5"/>
        <v>0.685978084415584</v>
      </c>
      <c r="T39" s="9">
        <f>T37+T38</f>
        <v>276.8</v>
      </c>
      <c r="U39" s="18">
        <f t="shared" si="6"/>
        <v>0.204703446235764</v>
      </c>
      <c r="V39" s="9">
        <f>V37+V38</f>
        <v>25.6</v>
      </c>
      <c r="W39" s="9"/>
      <c r="X39" s="18">
        <f t="shared" si="7"/>
        <v>0.012987012987013</v>
      </c>
      <c r="Y39" s="9">
        <f>Y37+Y38</f>
        <v>172.2</v>
      </c>
      <c r="Z39" s="9">
        <f>Z37+Z38</f>
        <v>2.4</v>
      </c>
      <c r="AA39" s="18">
        <f t="shared" si="8"/>
        <v>0.0872517227401702</v>
      </c>
      <c r="AB39" s="9">
        <f>AB37+AB38</f>
        <v>154.8</v>
      </c>
      <c r="AC39" s="9"/>
      <c r="AD39" s="18">
        <f t="shared" si="9"/>
        <v>0.0785308441558442</v>
      </c>
      <c r="AE39" s="9">
        <f>AE37+AE38</f>
        <v>74.4</v>
      </c>
      <c r="AF39" s="18">
        <f t="shared" si="10"/>
        <v>0.0550214465315782</v>
      </c>
    </row>
    <row r="40" ht="16" hidden="1" customHeight="1" spans="1:32">
      <c r="A40" s="1" t="s">
        <v>48</v>
      </c>
      <c r="B40" s="7" t="s">
        <v>33</v>
      </c>
      <c r="C40" s="9"/>
      <c r="D40" s="9">
        <v>266.3</v>
      </c>
      <c r="E40" s="9">
        <v>1100.2</v>
      </c>
      <c r="F40" s="9">
        <v>922.2</v>
      </c>
      <c r="G40" s="18">
        <f t="shared" si="0"/>
        <v>0.838211234321033</v>
      </c>
      <c r="H40" s="18">
        <f t="shared" si="1"/>
        <v>1.61158100195185</v>
      </c>
      <c r="I40" s="9">
        <v>23.8</v>
      </c>
      <c r="J40" s="9">
        <v>0.2</v>
      </c>
      <c r="K40" s="18">
        <f t="shared" si="2"/>
        <v>0.0216284987277354</v>
      </c>
      <c r="L40" s="9">
        <v>5.8</v>
      </c>
      <c r="M40" s="9">
        <v>0</v>
      </c>
      <c r="N40" s="18">
        <f t="shared" si="3"/>
        <v>0.00527176876931467</v>
      </c>
      <c r="O40" s="9">
        <v>365.4</v>
      </c>
      <c r="P40" s="9">
        <v>365.4</v>
      </c>
      <c r="Q40" s="18">
        <f t="shared" si="4"/>
        <v>0.24931768558952</v>
      </c>
      <c r="R40" s="9">
        <v>775</v>
      </c>
      <c r="S40" s="18">
        <f t="shared" si="5"/>
        <v>0.704417378658426</v>
      </c>
      <c r="T40" s="9">
        <v>112.8</v>
      </c>
      <c r="U40" s="18">
        <f t="shared" si="6"/>
        <v>0.145548387096774</v>
      </c>
      <c r="V40" s="9">
        <v>13</v>
      </c>
      <c r="W40" s="9">
        <v>0</v>
      </c>
      <c r="X40" s="18">
        <f t="shared" si="7"/>
        <v>0.0118160334484639</v>
      </c>
      <c r="Y40" s="9">
        <v>87.2</v>
      </c>
      <c r="Z40" s="9">
        <v>0.8</v>
      </c>
      <c r="AA40" s="18">
        <f t="shared" si="8"/>
        <v>0.0792007266121708</v>
      </c>
      <c r="AB40" s="9">
        <v>63.2</v>
      </c>
      <c r="AC40" s="9">
        <v>0</v>
      </c>
      <c r="AD40" s="18">
        <f t="shared" si="9"/>
        <v>0.0574441010725323</v>
      </c>
      <c r="AE40" s="9">
        <v>40</v>
      </c>
      <c r="AF40" s="18">
        <f t="shared" si="10"/>
        <v>0.0516129032258065</v>
      </c>
    </row>
    <row r="41" ht="16" hidden="1" customHeight="1" spans="1:32">
      <c r="A41" s="1" t="s">
        <v>48</v>
      </c>
      <c r="B41" s="7" t="s">
        <v>35</v>
      </c>
      <c r="C41" s="9"/>
      <c r="D41" s="9">
        <v>228.9</v>
      </c>
      <c r="E41" s="9">
        <v>838.6</v>
      </c>
      <c r="F41" s="9">
        <v>718</v>
      </c>
      <c r="G41" s="18">
        <f t="shared" si="0"/>
        <v>0.85618888623897</v>
      </c>
      <c r="H41" s="18">
        <f t="shared" si="1"/>
        <v>1.73899721448468</v>
      </c>
      <c r="I41" s="9">
        <v>47</v>
      </c>
      <c r="J41" s="9">
        <v>0</v>
      </c>
      <c r="K41" s="18">
        <f t="shared" si="2"/>
        <v>0.0560457906033866</v>
      </c>
      <c r="L41" s="9">
        <v>21.4</v>
      </c>
      <c r="M41" s="9">
        <v>0</v>
      </c>
      <c r="N41" s="18">
        <f t="shared" si="3"/>
        <v>0.0255187216789888</v>
      </c>
      <c r="O41" s="9">
        <v>241</v>
      </c>
      <c r="P41" s="9">
        <v>241</v>
      </c>
      <c r="Q41" s="18">
        <f t="shared" si="4"/>
        <v>0.223230826231938</v>
      </c>
      <c r="R41" s="9">
        <v>540.6</v>
      </c>
      <c r="S41" s="18">
        <f t="shared" si="5"/>
        <v>0.644645838301932</v>
      </c>
      <c r="T41" s="9">
        <v>151.2</v>
      </c>
      <c r="U41" s="18">
        <f t="shared" si="6"/>
        <v>0.27968923418424</v>
      </c>
      <c r="V41" s="9">
        <v>19</v>
      </c>
      <c r="W41" s="9">
        <v>0</v>
      </c>
      <c r="X41" s="18">
        <f t="shared" si="7"/>
        <v>0.0226568089673265</v>
      </c>
      <c r="Y41" s="9">
        <v>101.8</v>
      </c>
      <c r="Z41" s="9">
        <v>1.8</v>
      </c>
      <c r="AA41" s="18">
        <f t="shared" si="8"/>
        <v>0.121132793907663</v>
      </c>
      <c r="AB41" s="9">
        <v>92.2</v>
      </c>
      <c r="AC41" s="9">
        <v>0</v>
      </c>
      <c r="AD41" s="18">
        <f t="shared" si="9"/>
        <v>0.109945146673026</v>
      </c>
      <c r="AE41" s="9">
        <v>34.4</v>
      </c>
      <c r="AF41" s="18">
        <f t="shared" si="10"/>
        <v>0.0636330003699593</v>
      </c>
    </row>
    <row r="42" ht="16" hidden="1" customHeight="1" spans="1:32">
      <c r="A42" s="1" t="s">
        <v>48</v>
      </c>
      <c r="B42" s="7" t="s">
        <v>36</v>
      </c>
      <c r="C42" s="9"/>
      <c r="D42" s="9">
        <f>D40+D41</f>
        <v>495.2</v>
      </c>
      <c r="E42" s="9">
        <f>E40+E41</f>
        <v>1938.8</v>
      </c>
      <c r="F42" s="9">
        <f>F40+F41</f>
        <v>1640.2</v>
      </c>
      <c r="G42" s="18">
        <f t="shared" si="0"/>
        <v>0.845987208582628</v>
      </c>
      <c r="H42" s="18">
        <f t="shared" si="1"/>
        <v>1.66735763931228</v>
      </c>
      <c r="I42" s="9">
        <f>I40+I41</f>
        <v>70.8</v>
      </c>
      <c r="J42" s="9">
        <f>J40+J41</f>
        <v>0.2</v>
      </c>
      <c r="K42" s="18">
        <f t="shared" si="2"/>
        <v>0.0365136668385766</v>
      </c>
      <c r="L42" s="9">
        <f>L40+L41</f>
        <v>27.2</v>
      </c>
      <c r="M42" s="9"/>
      <c r="N42" s="18">
        <f t="shared" si="3"/>
        <v>0.0140292964720446</v>
      </c>
      <c r="O42" s="9">
        <f>O40+O41</f>
        <v>606.4</v>
      </c>
      <c r="P42" s="9">
        <f>P40+P41</f>
        <v>606.4</v>
      </c>
      <c r="Q42" s="18">
        <f t="shared" si="4"/>
        <v>0.238252396668238</v>
      </c>
      <c r="R42" s="9">
        <f>R40+R41</f>
        <v>1315.6</v>
      </c>
      <c r="S42" s="18">
        <f t="shared" si="5"/>
        <v>0.678564060243449</v>
      </c>
      <c r="T42" s="9">
        <f>T40+T41</f>
        <v>264</v>
      </c>
      <c r="U42" s="18">
        <f t="shared" si="6"/>
        <v>0.20066889632107</v>
      </c>
      <c r="V42" s="9">
        <f>V40+V41</f>
        <v>32</v>
      </c>
      <c r="W42" s="9"/>
      <c r="X42" s="18">
        <f t="shared" si="7"/>
        <v>0.0165050546729936</v>
      </c>
      <c r="Y42" s="9">
        <f>Y40+Y41</f>
        <v>189</v>
      </c>
      <c r="Z42" s="9">
        <f>Z40+Z41</f>
        <v>2.6</v>
      </c>
      <c r="AA42" s="18">
        <f t="shared" si="8"/>
        <v>0.0973524260842691</v>
      </c>
      <c r="AB42" s="9">
        <f>AB40+AB41</f>
        <v>155.4</v>
      </c>
      <c r="AC42" s="9"/>
      <c r="AD42" s="18">
        <f t="shared" si="9"/>
        <v>0.0801526717557252</v>
      </c>
      <c r="AE42" s="9">
        <f>AE40+AE41</f>
        <v>74.4</v>
      </c>
      <c r="AF42" s="18">
        <f t="shared" si="10"/>
        <v>0.0565521435086653</v>
      </c>
    </row>
    <row r="43" ht="16" hidden="1" customHeight="1" spans="1:32">
      <c r="A43" s="1" t="s">
        <v>49</v>
      </c>
      <c r="B43" s="7" t="s">
        <v>33</v>
      </c>
      <c r="C43" s="9"/>
      <c r="D43" s="9">
        <v>246.7</v>
      </c>
      <c r="E43" s="9">
        <v>926.6</v>
      </c>
      <c r="F43" s="9">
        <v>774</v>
      </c>
      <c r="G43" s="18">
        <f t="shared" si="0"/>
        <v>0.835311892941938</v>
      </c>
      <c r="H43" s="18">
        <f t="shared" si="1"/>
        <v>1.61498708010336</v>
      </c>
      <c r="I43" s="9">
        <v>22.8</v>
      </c>
      <c r="J43" s="9">
        <v>0.2</v>
      </c>
      <c r="K43" s="18">
        <f t="shared" si="2"/>
        <v>0.0246007768666379</v>
      </c>
      <c r="L43" s="9">
        <v>5</v>
      </c>
      <c r="M43" s="9">
        <v>0</v>
      </c>
      <c r="N43" s="18">
        <f t="shared" si="3"/>
        <v>0.00539607165983164</v>
      </c>
      <c r="O43" s="9">
        <v>308.4</v>
      </c>
      <c r="P43" s="9">
        <v>308.4</v>
      </c>
      <c r="Q43" s="18">
        <f t="shared" si="4"/>
        <v>0.249716599190283</v>
      </c>
      <c r="R43" s="9">
        <v>649.2</v>
      </c>
      <c r="S43" s="18">
        <f t="shared" si="5"/>
        <v>0.700625944312541</v>
      </c>
      <c r="T43" s="9">
        <v>97.4</v>
      </c>
      <c r="U43" s="18">
        <f t="shared" si="6"/>
        <v>0.150030807147258</v>
      </c>
      <c r="V43" s="9">
        <v>9.8</v>
      </c>
      <c r="W43" s="9">
        <v>0</v>
      </c>
      <c r="X43" s="18">
        <f t="shared" si="7"/>
        <v>0.01057630045327</v>
      </c>
      <c r="Y43" s="9">
        <v>69.6</v>
      </c>
      <c r="Z43" s="9">
        <v>1</v>
      </c>
      <c r="AA43" s="18">
        <f t="shared" si="8"/>
        <v>0.07503234152652</v>
      </c>
      <c r="AB43" s="9">
        <v>56.6</v>
      </c>
      <c r="AC43" s="9">
        <v>0</v>
      </c>
      <c r="AD43" s="18">
        <f t="shared" si="9"/>
        <v>0.0610835311892942</v>
      </c>
      <c r="AE43" s="9">
        <v>31.2</v>
      </c>
      <c r="AF43" s="18">
        <f t="shared" si="10"/>
        <v>0.0480591497227357</v>
      </c>
    </row>
    <row r="44" ht="16" hidden="1" customHeight="1" spans="1:32">
      <c r="A44" s="1" t="s">
        <v>49</v>
      </c>
      <c r="B44" s="7" t="s">
        <v>35</v>
      </c>
      <c r="C44" s="9"/>
      <c r="D44" s="9">
        <v>261.8</v>
      </c>
      <c r="E44" s="9">
        <v>849</v>
      </c>
      <c r="F44" s="9">
        <v>738.4</v>
      </c>
      <c r="G44" s="18">
        <f t="shared" si="0"/>
        <v>0.869729093050648</v>
      </c>
      <c r="H44" s="18">
        <f t="shared" si="1"/>
        <v>1.74918743228602</v>
      </c>
      <c r="I44" s="9">
        <v>46.2</v>
      </c>
      <c r="J44" s="9">
        <v>0.4</v>
      </c>
      <c r="K44" s="18">
        <f t="shared" si="2"/>
        <v>0.0543913350600424</v>
      </c>
      <c r="L44" s="9">
        <v>26.8</v>
      </c>
      <c r="M44" s="9">
        <v>0</v>
      </c>
      <c r="N44" s="18">
        <f t="shared" si="3"/>
        <v>0.0315665488810365</v>
      </c>
      <c r="O44" s="9">
        <v>255.2</v>
      </c>
      <c r="P44" s="9">
        <v>255.2</v>
      </c>
      <c r="Q44" s="18">
        <f t="shared" si="4"/>
        <v>0.231117551168267</v>
      </c>
      <c r="R44" s="9">
        <v>557.4</v>
      </c>
      <c r="S44" s="18">
        <f t="shared" si="5"/>
        <v>0.656537102473498</v>
      </c>
      <c r="T44" s="9">
        <v>164.4</v>
      </c>
      <c r="U44" s="18">
        <f t="shared" si="6"/>
        <v>0.294940796555436</v>
      </c>
      <c r="V44" s="9">
        <v>16.2</v>
      </c>
      <c r="W44" s="9">
        <v>0</v>
      </c>
      <c r="X44" s="18">
        <f t="shared" si="7"/>
        <v>0.0190812720848057</v>
      </c>
      <c r="Y44" s="9">
        <v>101.2</v>
      </c>
      <c r="Z44" s="9">
        <v>1.2</v>
      </c>
      <c r="AA44" s="18">
        <f t="shared" si="8"/>
        <v>0.119030816278523</v>
      </c>
      <c r="AB44" s="9">
        <v>90</v>
      </c>
      <c r="AC44" s="9">
        <v>0</v>
      </c>
      <c r="AD44" s="18">
        <f t="shared" si="9"/>
        <v>0.106007067137809</v>
      </c>
      <c r="AE44" s="9">
        <v>34.2</v>
      </c>
      <c r="AF44" s="18">
        <f t="shared" si="10"/>
        <v>0.0613562970936491</v>
      </c>
    </row>
    <row r="45" ht="16" hidden="1" customHeight="1" spans="1:32">
      <c r="A45" s="1" t="s">
        <v>49</v>
      </c>
      <c r="B45" s="7" t="s">
        <v>36</v>
      </c>
      <c r="C45" s="9"/>
      <c r="D45" s="9">
        <f>D43+D44</f>
        <v>508.5</v>
      </c>
      <c r="E45" s="9">
        <f>E43+E44</f>
        <v>1775.6</v>
      </c>
      <c r="F45" s="9">
        <f>F43+F44</f>
        <v>1512.4</v>
      </c>
      <c r="G45" s="18">
        <f t="shared" si="0"/>
        <v>0.85176841630998</v>
      </c>
      <c r="H45" s="18">
        <f t="shared" si="1"/>
        <v>1.68050780216874</v>
      </c>
      <c r="I45" s="9">
        <f>I43+I44</f>
        <v>69</v>
      </c>
      <c r="J45" s="9">
        <f>J43+J44</f>
        <v>0.6</v>
      </c>
      <c r="K45" s="18">
        <f t="shared" si="2"/>
        <v>0.038846976691814</v>
      </c>
      <c r="L45" s="9">
        <f>L43+L44</f>
        <v>31.8</v>
      </c>
      <c r="M45" s="9"/>
      <c r="N45" s="18">
        <f t="shared" si="3"/>
        <v>0.017909439062852</v>
      </c>
      <c r="O45" s="9">
        <f>O43+O44</f>
        <v>563.6</v>
      </c>
      <c r="P45" s="9">
        <f>P43+P44</f>
        <v>563.6</v>
      </c>
      <c r="Q45" s="18">
        <f t="shared" si="4"/>
        <v>0.24093707250342</v>
      </c>
      <c r="R45" s="9">
        <f>R43+R44</f>
        <v>1206.6</v>
      </c>
      <c r="S45" s="18">
        <f t="shared" si="5"/>
        <v>0.679544942554629</v>
      </c>
      <c r="T45" s="9">
        <f>T43+T44</f>
        <v>261.8</v>
      </c>
      <c r="U45" s="18">
        <f t="shared" si="6"/>
        <v>0.216973313442732</v>
      </c>
      <c r="V45" s="9">
        <f>V43+V44</f>
        <v>26</v>
      </c>
      <c r="W45" s="9"/>
      <c r="X45" s="18">
        <f t="shared" si="7"/>
        <v>0.0146429375985582</v>
      </c>
      <c r="Y45" s="9">
        <f>Y43+Y44</f>
        <v>170.8</v>
      </c>
      <c r="Z45" s="9">
        <f>Z43+Z44</f>
        <v>2.2</v>
      </c>
      <c r="AA45" s="18">
        <f t="shared" si="8"/>
        <v>0.0960737990775115</v>
      </c>
      <c r="AB45" s="9">
        <f>AB43+AB44</f>
        <v>146.6</v>
      </c>
      <c r="AC45" s="9"/>
      <c r="AD45" s="18">
        <f t="shared" si="9"/>
        <v>0.082563640459563</v>
      </c>
      <c r="AE45" s="9">
        <f>AE43+AE44</f>
        <v>65.4</v>
      </c>
      <c r="AF45" s="18">
        <f t="shared" si="10"/>
        <v>0.0542018896071606</v>
      </c>
    </row>
    <row r="46" ht="16" hidden="1" customHeight="1" spans="1:32">
      <c r="A46" s="1" t="s">
        <v>50</v>
      </c>
      <c r="B46" s="7" t="s">
        <v>33</v>
      </c>
      <c r="C46" s="9"/>
      <c r="D46" s="9">
        <v>282.1</v>
      </c>
      <c r="E46" s="9">
        <v>1031.6</v>
      </c>
      <c r="F46" s="9">
        <v>863.8</v>
      </c>
      <c r="G46" s="18">
        <f t="shared" si="0"/>
        <v>0.837340054284606</v>
      </c>
      <c r="H46" s="18">
        <f t="shared" si="1"/>
        <v>1.61750405186386</v>
      </c>
      <c r="I46" s="9">
        <v>21.4</v>
      </c>
      <c r="J46" s="9">
        <v>0.6</v>
      </c>
      <c r="K46" s="18">
        <f t="shared" si="2"/>
        <v>0.0207324161984112</v>
      </c>
      <c r="L46" s="9">
        <v>6.2</v>
      </c>
      <c r="M46" s="9">
        <v>0</v>
      </c>
      <c r="N46" s="18">
        <f t="shared" si="3"/>
        <v>0.00601008142690966</v>
      </c>
      <c r="O46" s="9">
        <v>348.8</v>
      </c>
      <c r="P46" s="9">
        <v>348.8</v>
      </c>
      <c r="Q46" s="18">
        <f t="shared" si="4"/>
        <v>0.252680382497827</v>
      </c>
      <c r="R46" s="9">
        <v>735.8</v>
      </c>
      <c r="S46" s="18">
        <f t="shared" si="5"/>
        <v>0.713260953858085</v>
      </c>
      <c r="T46" s="9">
        <v>106.2</v>
      </c>
      <c r="U46" s="18">
        <f t="shared" si="6"/>
        <v>0.144332699103017</v>
      </c>
      <c r="V46" s="9">
        <v>14.4</v>
      </c>
      <c r="W46" s="9">
        <v>0</v>
      </c>
      <c r="X46" s="18">
        <f t="shared" si="7"/>
        <v>0.0139588987979837</v>
      </c>
      <c r="Y46" s="9">
        <v>67.4</v>
      </c>
      <c r="Z46" s="9">
        <v>1</v>
      </c>
      <c r="AA46" s="18">
        <f t="shared" si="8"/>
        <v>0.0652721286073988</v>
      </c>
      <c r="AB46" s="9">
        <v>65.6</v>
      </c>
      <c r="AC46" s="9">
        <v>0</v>
      </c>
      <c r="AD46" s="18">
        <f t="shared" si="9"/>
        <v>0.0635905389685925</v>
      </c>
      <c r="AE46" s="9">
        <v>31.4</v>
      </c>
      <c r="AF46" s="18">
        <f t="shared" si="10"/>
        <v>0.0426746398477847</v>
      </c>
    </row>
    <row r="47" ht="16" hidden="1" customHeight="1" spans="1:32">
      <c r="A47" s="1" t="s">
        <v>50</v>
      </c>
      <c r="B47" s="7" t="s">
        <v>35</v>
      </c>
      <c r="C47" s="9"/>
      <c r="D47" s="9">
        <v>266.3</v>
      </c>
      <c r="E47" s="9">
        <v>873</v>
      </c>
      <c r="F47" s="9">
        <v>766</v>
      </c>
      <c r="G47" s="18">
        <f t="shared" si="0"/>
        <v>0.877434135166094</v>
      </c>
      <c r="H47" s="18">
        <f t="shared" si="1"/>
        <v>1.73655352480418</v>
      </c>
      <c r="I47" s="9">
        <v>45</v>
      </c>
      <c r="J47" s="9">
        <v>0.2</v>
      </c>
      <c r="K47" s="18">
        <f t="shared" si="2"/>
        <v>0.0515345854328905</v>
      </c>
      <c r="L47" s="9">
        <v>26.2</v>
      </c>
      <c r="M47" s="9">
        <v>0</v>
      </c>
      <c r="N47" s="18">
        <f t="shared" si="3"/>
        <v>0.0300114547537228</v>
      </c>
      <c r="O47" s="9">
        <v>259.8</v>
      </c>
      <c r="P47" s="9">
        <v>259.8</v>
      </c>
      <c r="Q47" s="18">
        <f t="shared" si="4"/>
        <v>0.229343220338983</v>
      </c>
      <c r="R47" s="9">
        <v>567.8</v>
      </c>
      <c r="S47" s="18">
        <f t="shared" si="5"/>
        <v>0.650400916380298</v>
      </c>
      <c r="T47" s="9">
        <v>169</v>
      </c>
      <c r="U47" s="18">
        <f t="shared" si="6"/>
        <v>0.297640014089468</v>
      </c>
      <c r="V47" s="9">
        <v>20.4</v>
      </c>
      <c r="W47" s="9">
        <v>0</v>
      </c>
      <c r="X47" s="18">
        <f t="shared" si="7"/>
        <v>0.0233676975945017</v>
      </c>
      <c r="Y47" s="9">
        <v>118</v>
      </c>
      <c r="Z47" s="9">
        <v>2.4</v>
      </c>
      <c r="AA47" s="18">
        <f t="shared" si="8"/>
        <v>0.134795522047064</v>
      </c>
      <c r="AB47" s="9">
        <v>98.6</v>
      </c>
      <c r="AC47" s="9">
        <v>0</v>
      </c>
      <c r="AD47" s="18">
        <f t="shared" si="9"/>
        <v>0.112943871706758</v>
      </c>
      <c r="AE47" s="9">
        <v>25.4</v>
      </c>
      <c r="AF47" s="18">
        <f t="shared" si="10"/>
        <v>0.0447340612891863</v>
      </c>
    </row>
    <row r="48" ht="16" hidden="1" customHeight="1" spans="1:32">
      <c r="A48" s="1" t="s">
        <v>50</v>
      </c>
      <c r="B48" s="7" t="s">
        <v>36</v>
      </c>
      <c r="C48" s="9"/>
      <c r="D48" s="9">
        <f>D46+D47</f>
        <v>548.4</v>
      </c>
      <c r="E48" s="9">
        <f>E46+E47</f>
        <v>1904.6</v>
      </c>
      <c r="F48" s="9">
        <f>F46+F47</f>
        <v>1629.8</v>
      </c>
      <c r="G48" s="18">
        <f t="shared" si="0"/>
        <v>0.855717736007561</v>
      </c>
      <c r="H48" s="18">
        <f t="shared" si="1"/>
        <v>1.67345686587311</v>
      </c>
      <c r="I48" s="9">
        <f>I46+I47</f>
        <v>66.4</v>
      </c>
      <c r="J48" s="9">
        <f>J46+J47</f>
        <v>0.8</v>
      </c>
      <c r="K48" s="18">
        <f t="shared" si="2"/>
        <v>0.0348483258108534</v>
      </c>
      <c r="L48" s="9">
        <f>L46+L47</f>
        <v>32.4</v>
      </c>
      <c r="M48" s="9"/>
      <c r="N48" s="18">
        <f t="shared" si="3"/>
        <v>0.0170114459729077</v>
      </c>
      <c r="O48" s="9">
        <f>O46+O47</f>
        <v>608.6</v>
      </c>
      <c r="P48" s="9">
        <f>P46+P47</f>
        <v>608.6</v>
      </c>
      <c r="Q48" s="18">
        <f t="shared" si="4"/>
        <v>0.242161387872036</v>
      </c>
      <c r="R48" s="9">
        <f>R46+R47</f>
        <v>1303.6</v>
      </c>
      <c r="S48" s="18">
        <f t="shared" si="5"/>
        <v>0.684448178095138</v>
      </c>
      <c r="T48" s="9">
        <f>T46+T47</f>
        <v>275.2</v>
      </c>
      <c r="U48" s="18">
        <f t="shared" si="6"/>
        <v>0.211107701749003</v>
      </c>
      <c r="V48" s="9">
        <f>V46+V47</f>
        <v>34.8</v>
      </c>
      <c r="W48" s="9"/>
      <c r="X48" s="18">
        <f t="shared" si="7"/>
        <v>0.018271553082012</v>
      </c>
      <c r="Y48" s="9">
        <f>Y46+Y47</f>
        <v>185.4</v>
      </c>
      <c r="Z48" s="9">
        <f>Z46+Z47</f>
        <v>3.4</v>
      </c>
      <c r="AA48" s="18">
        <f t="shared" si="8"/>
        <v>0.0971698113207547</v>
      </c>
      <c r="AB48" s="9">
        <f>AB46+AB47</f>
        <v>164.2</v>
      </c>
      <c r="AC48" s="9"/>
      <c r="AD48" s="18">
        <f t="shared" si="9"/>
        <v>0.0862123280478841</v>
      </c>
      <c r="AE48" s="9">
        <f>AE46+AE47</f>
        <v>56.8</v>
      </c>
      <c r="AF48" s="18">
        <f t="shared" si="10"/>
        <v>0.043571647744707</v>
      </c>
    </row>
    <row r="49" ht="16" hidden="1" customHeight="1" spans="1:32">
      <c r="A49" s="1" t="s">
        <v>51</v>
      </c>
      <c r="B49" s="7" t="s">
        <v>33</v>
      </c>
      <c r="C49" s="9"/>
      <c r="D49" s="9">
        <v>272.3</v>
      </c>
      <c r="E49" s="9">
        <v>1019.8</v>
      </c>
      <c r="F49" s="9">
        <v>839.6</v>
      </c>
      <c r="G49" s="18">
        <f t="shared" si="0"/>
        <v>0.823298686016866</v>
      </c>
      <c r="H49" s="18">
        <f t="shared" si="1"/>
        <v>1.60719390185803</v>
      </c>
      <c r="I49" s="9">
        <v>34</v>
      </c>
      <c r="J49" s="9">
        <v>0.2</v>
      </c>
      <c r="K49" s="18">
        <f t="shared" si="2"/>
        <v>0.0333333333333333</v>
      </c>
      <c r="L49" s="9">
        <v>7.2</v>
      </c>
      <c r="M49" s="9">
        <v>0</v>
      </c>
      <c r="N49" s="18">
        <f t="shared" si="3"/>
        <v>0.0070602078838988</v>
      </c>
      <c r="O49" s="9">
        <v>317.8</v>
      </c>
      <c r="P49" s="9">
        <v>317.8</v>
      </c>
      <c r="Q49" s="18">
        <f t="shared" si="4"/>
        <v>0.23758971291866</v>
      </c>
      <c r="R49" s="9">
        <v>707.8</v>
      </c>
      <c r="S49" s="18">
        <f t="shared" si="5"/>
        <v>0.694057658364385</v>
      </c>
      <c r="T49" s="9">
        <v>107.8</v>
      </c>
      <c r="U49" s="18">
        <f t="shared" si="6"/>
        <v>0.152302910426674</v>
      </c>
      <c r="V49" s="9">
        <v>11.2</v>
      </c>
      <c r="W49" s="9">
        <v>0</v>
      </c>
      <c r="X49" s="18">
        <f t="shared" si="7"/>
        <v>0.0109825455971759</v>
      </c>
      <c r="Y49" s="9">
        <v>64</v>
      </c>
      <c r="Z49" s="9">
        <v>3.4</v>
      </c>
      <c r="AA49" s="18">
        <f t="shared" si="8"/>
        <v>0.0625488663017983</v>
      </c>
      <c r="AB49" s="9">
        <v>64.4</v>
      </c>
      <c r="AC49" s="9">
        <v>0</v>
      </c>
      <c r="AD49" s="18">
        <f t="shared" si="9"/>
        <v>0.0631496371837615</v>
      </c>
      <c r="AE49" s="9">
        <v>35.2</v>
      </c>
      <c r="AF49" s="18">
        <f t="shared" si="10"/>
        <v>0.0497315625883018</v>
      </c>
    </row>
    <row r="50" ht="16" hidden="1" customHeight="1" spans="1:32">
      <c r="A50" s="1" t="s">
        <v>51</v>
      </c>
      <c r="B50" s="7" t="s">
        <v>35</v>
      </c>
      <c r="C50" s="9"/>
      <c r="D50" s="9">
        <v>983.2</v>
      </c>
      <c r="E50" s="9">
        <v>2726.2</v>
      </c>
      <c r="F50" s="9">
        <v>2279</v>
      </c>
      <c r="G50" s="18">
        <f t="shared" si="0"/>
        <v>0.83596214511041</v>
      </c>
      <c r="H50" s="18">
        <f t="shared" si="1"/>
        <v>1.92250987275121</v>
      </c>
      <c r="I50" s="9">
        <v>65.4</v>
      </c>
      <c r="J50" s="9">
        <v>0.2</v>
      </c>
      <c r="K50" s="18">
        <f t="shared" si="2"/>
        <v>0.023987676056338</v>
      </c>
      <c r="L50" s="9">
        <v>44</v>
      </c>
      <c r="M50" s="9">
        <v>0</v>
      </c>
      <c r="N50" s="18">
        <f t="shared" si="3"/>
        <v>0.0161396816080992</v>
      </c>
      <c r="O50" s="9">
        <v>1155</v>
      </c>
      <c r="P50" s="9">
        <v>1155</v>
      </c>
      <c r="Q50" s="18">
        <f t="shared" si="4"/>
        <v>0.297588374729465</v>
      </c>
      <c r="R50" s="9">
        <v>1989</v>
      </c>
      <c r="S50" s="18">
        <f t="shared" si="5"/>
        <v>0.729586970875211</v>
      </c>
      <c r="T50" s="9">
        <v>541.8</v>
      </c>
      <c r="U50" s="18">
        <f t="shared" si="6"/>
        <v>0.272398190045249</v>
      </c>
      <c r="V50" s="9">
        <v>44.4</v>
      </c>
      <c r="W50" s="9">
        <v>0</v>
      </c>
      <c r="X50" s="18">
        <f t="shared" si="7"/>
        <v>0.0162864059863546</v>
      </c>
      <c r="Y50" s="9">
        <v>176.4</v>
      </c>
      <c r="Z50" s="9">
        <v>4.8</v>
      </c>
      <c r="AA50" s="18">
        <f t="shared" si="8"/>
        <v>0.0645917246429879</v>
      </c>
      <c r="AB50" s="9">
        <v>284.6</v>
      </c>
      <c r="AC50" s="9">
        <v>0</v>
      </c>
      <c r="AD50" s="18">
        <f t="shared" si="9"/>
        <v>0.104394395128751</v>
      </c>
      <c r="AE50" s="9">
        <v>80.8</v>
      </c>
      <c r="AF50" s="18">
        <f t="shared" si="10"/>
        <v>0.040623428858723</v>
      </c>
    </row>
    <row r="51" ht="16" hidden="1" customHeight="1" spans="1:38">
      <c r="A51" s="1" t="s">
        <v>51</v>
      </c>
      <c r="B51" s="7" t="s">
        <v>36</v>
      </c>
      <c r="C51" s="9"/>
      <c r="D51" s="9">
        <f>D49+D50</f>
        <v>1255.5</v>
      </c>
      <c r="E51" s="9">
        <f>E49+E50</f>
        <v>3746</v>
      </c>
      <c r="F51" s="9">
        <f>F49+F50</f>
        <v>3118.6</v>
      </c>
      <c r="G51" s="18">
        <f t="shared" si="0"/>
        <v>0.832514682327816</v>
      </c>
      <c r="H51" s="18">
        <f t="shared" si="1"/>
        <v>1.83761944462259</v>
      </c>
      <c r="I51" s="9">
        <f>I49+I50</f>
        <v>99.4</v>
      </c>
      <c r="J51" s="9">
        <f>J49+J50</f>
        <v>0.4</v>
      </c>
      <c r="K51" s="18">
        <f t="shared" si="2"/>
        <v>0.0265321375186846</v>
      </c>
      <c r="L51" s="9">
        <f>L49+L50</f>
        <v>51.2</v>
      </c>
      <c r="M51" s="9"/>
      <c r="N51" s="18">
        <f t="shared" si="3"/>
        <v>0.0136679124399359</v>
      </c>
      <c r="O51" s="9">
        <f>O49+O50</f>
        <v>1472.8</v>
      </c>
      <c r="P51" s="9">
        <f>P49+P50</f>
        <v>1472.8</v>
      </c>
      <c r="Q51" s="18">
        <f t="shared" si="4"/>
        <v>0.28221046983981</v>
      </c>
      <c r="R51" s="9">
        <f>R49+R50</f>
        <v>2696.8</v>
      </c>
      <c r="S51" s="18">
        <f t="shared" si="5"/>
        <v>0.71991457554725</v>
      </c>
      <c r="T51" s="9">
        <f>T49+T50</f>
        <v>649.6</v>
      </c>
      <c r="U51" s="18">
        <f t="shared" si="6"/>
        <v>0.240878077721744</v>
      </c>
      <c r="V51" s="9">
        <f>V49+V50</f>
        <v>55.6</v>
      </c>
      <c r="W51" s="9"/>
      <c r="X51" s="18">
        <f t="shared" si="7"/>
        <v>0.0148424986652429</v>
      </c>
      <c r="Y51" s="9">
        <f>Y49+Y50</f>
        <v>240.4</v>
      </c>
      <c r="Z51" s="9">
        <f>Z49+Z50</f>
        <v>8.2</v>
      </c>
      <c r="AA51" s="18">
        <f t="shared" si="8"/>
        <v>0.0640349475254382</v>
      </c>
      <c r="AB51" s="9">
        <f>AB49+AB50</f>
        <v>349</v>
      </c>
      <c r="AC51" s="9"/>
      <c r="AD51" s="18">
        <f t="shared" si="9"/>
        <v>0.093166043780032</v>
      </c>
      <c r="AE51" s="9">
        <f>AE49+AE50</f>
        <v>116</v>
      </c>
      <c r="AF51" s="18">
        <f t="shared" si="10"/>
        <v>0.0430139424503115</v>
      </c>
      <c r="AL51" s="2" t="s">
        <v>156</v>
      </c>
    </row>
    <row r="52" ht="16" hidden="1" customHeight="1" spans="1:32">
      <c r="A52" s="1" t="s">
        <v>54</v>
      </c>
      <c r="B52" s="7" t="s">
        <v>33</v>
      </c>
      <c r="C52" s="9"/>
      <c r="D52" s="9">
        <v>231.5</v>
      </c>
      <c r="E52" s="9">
        <v>885.4</v>
      </c>
      <c r="F52" s="9">
        <v>730.8</v>
      </c>
      <c r="G52" s="18">
        <f t="shared" si="0"/>
        <v>0.825389654393494</v>
      </c>
      <c r="H52" s="18">
        <f t="shared" si="1"/>
        <v>1.68226600985222</v>
      </c>
      <c r="I52" s="9">
        <v>36</v>
      </c>
      <c r="J52" s="9">
        <v>0</v>
      </c>
      <c r="K52" s="18">
        <f t="shared" si="2"/>
        <v>0.040659588886379</v>
      </c>
      <c r="L52" s="9">
        <v>5</v>
      </c>
      <c r="M52" s="9">
        <v>0</v>
      </c>
      <c r="N52" s="18">
        <f t="shared" si="3"/>
        <v>0.0056471651231082</v>
      </c>
      <c r="O52" s="9">
        <v>315.8</v>
      </c>
      <c r="P52" s="9">
        <v>315.8</v>
      </c>
      <c r="Q52" s="18">
        <f t="shared" si="4"/>
        <v>0.262903762903763</v>
      </c>
      <c r="R52" s="9">
        <v>625.2</v>
      </c>
      <c r="S52" s="18">
        <f t="shared" si="5"/>
        <v>0.706121526993449</v>
      </c>
      <c r="T52" s="9">
        <v>103.4</v>
      </c>
      <c r="U52" s="18">
        <f t="shared" si="6"/>
        <v>0.165387076135637</v>
      </c>
      <c r="V52" s="9">
        <v>8</v>
      </c>
      <c r="W52" s="9">
        <v>0</v>
      </c>
      <c r="X52" s="18">
        <f t="shared" si="7"/>
        <v>0.00903546419697312</v>
      </c>
      <c r="Y52" s="9">
        <v>46.8</v>
      </c>
      <c r="Z52" s="9">
        <v>1</v>
      </c>
      <c r="AA52" s="18">
        <f t="shared" si="8"/>
        <v>0.0527978339350181</v>
      </c>
      <c r="AB52" s="9">
        <v>59.2</v>
      </c>
      <c r="AC52" s="9">
        <v>0</v>
      </c>
      <c r="AD52" s="18">
        <f t="shared" si="9"/>
        <v>0.0668624350576011</v>
      </c>
      <c r="AE52" s="9">
        <v>30</v>
      </c>
      <c r="AF52" s="18">
        <f t="shared" si="10"/>
        <v>0.0479846449136276</v>
      </c>
    </row>
    <row r="53" ht="16" hidden="1" customHeight="1" spans="1:32">
      <c r="A53" s="1" t="s">
        <v>54</v>
      </c>
      <c r="B53" s="7" t="s">
        <v>35</v>
      </c>
      <c r="C53" s="9"/>
      <c r="D53" s="9">
        <v>455</v>
      </c>
      <c r="E53" s="9">
        <v>1613.4</v>
      </c>
      <c r="F53" s="9">
        <v>1200.2</v>
      </c>
      <c r="G53" s="18">
        <f t="shared" si="0"/>
        <v>0.743894880376844</v>
      </c>
      <c r="H53" s="18">
        <f t="shared" si="1"/>
        <v>1.84819196800533</v>
      </c>
      <c r="I53" s="9">
        <v>57</v>
      </c>
      <c r="J53" s="9">
        <v>0</v>
      </c>
      <c r="K53" s="18">
        <f t="shared" si="2"/>
        <v>0.0353291186314615</v>
      </c>
      <c r="L53" s="9">
        <v>37.8</v>
      </c>
      <c r="M53" s="9">
        <v>0</v>
      </c>
      <c r="N53" s="18">
        <f t="shared" si="3"/>
        <v>0.0234287839345482</v>
      </c>
      <c r="O53" s="9">
        <v>516.6</v>
      </c>
      <c r="P53" s="9">
        <v>516.6</v>
      </c>
      <c r="Q53" s="18">
        <f t="shared" si="4"/>
        <v>0.242535211267606</v>
      </c>
      <c r="R53" s="9">
        <v>980.6</v>
      </c>
      <c r="S53" s="18">
        <f t="shared" si="5"/>
        <v>0.607784802280897</v>
      </c>
      <c r="T53" s="9">
        <v>305</v>
      </c>
      <c r="U53" s="18">
        <f t="shared" si="6"/>
        <v>0.311034060779115</v>
      </c>
      <c r="V53" s="9">
        <v>26.4</v>
      </c>
      <c r="W53" s="9">
        <v>0</v>
      </c>
      <c r="X53" s="18">
        <f t="shared" si="7"/>
        <v>0.0163629602082559</v>
      </c>
      <c r="Y53" s="9">
        <v>110</v>
      </c>
      <c r="Z53" s="9">
        <v>2.2</v>
      </c>
      <c r="AA53" s="18">
        <f t="shared" si="8"/>
        <v>0.0680861599405793</v>
      </c>
      <c r="AB53" s="9">
        <v>146.4</v>
      </c>
      <c r="AC53" s="9">
        <v>0</v>
      </c>
      <c r="AD53" s="18">
        <f t="shared" si="9"/>
        <v>0.0907400520639643</v>
      </c>
      <c r="AE53" s="9">
        <v>38.4</v>
      </c>
      <c r="AF53" s="18">
        <f t="shared" si="10"/>
        <v>0.0391596981439935</v>
      </c>
    </row>
    <row r="54" ht="16" hidden="1" customHeight="1" spans="1:32">
      <c r="A54" s="1" t="s">
        <v>54</v>
      </c>
      <c r="B54" s="7" t="s">
        <v>36</v>
      </c>
      <c r="C54" s="9"/>
      <c r="D54" s="9">
        <f>D52+D53</f>
        <v>686.5</v>
      </c>
      <c r="E54" s="9">
        <f>E52+E53</f>
        <v>2498.8</v>
      </c>
      <c r="F54" s="9">
        <f>F52+F53</f>
        <v>1931</v>
      </c>
      <c r="G54" s="18">
        <f t="shared" si="0"/>
        <v>0.772770930046422</v>
      </c>
      <c r="H54" s="18">
        <f t="shared" si="1"/>
        <v>1.78539616778871</v>
      </c>
      <c r="I54" s="9">
        <f>I52+I53</f>
        <v>93</v>
      </c>
      <c r="J54" s="9">
        <f>J52+J53</f>
        <v>0</v>
      </c>
      <c r="K54" s="18">
        <f t="shared" si="2"/>
        <v>0.037217864574996</v>
      </c>
      <c r="L54" s="9">
        <f>L52+L53</f>
        <v>42.8</v>
      </c>
      <c r="M54" s="9"/>
      <c r="N54" s="18">
        <f t="shared" si="3"/>
        <v>0.0171282215463422</v>
      </c>
      <c r="O54" s="9">
        <f>O52+O53</f>
        <v>832.4</v>
      </c>
      <c r="P54" s="9">
        <f>P52+P53</f>
        <v>832.4</v>
      </c>
      <c r="Q54" s="18">
        <f t="shared" si="4"/>
        <v>0.249879923150817</v>
      </c>
      <c r="R54" s="9">
        <f>R52+R53</f>
        <v>1605.8</v>
      </c>
      <c r="S54" s="18">
        <f t="shared" si="5"/>
        <v>0.642628461661598</v>
      </c>
      <c r="T54" s="9">
        <f>T52+T53</f>
        <v>408.4</v>
      </c>
      <c r="U54" s="18">
        <f t="shared" si="6"/>
        <v>0.254328060779674</v>
      </c>
      <c r="V54" s="9">
        <f>V52+V53</f>
        <v>34.4</v>
      </c>
      <c r="W54" s="9"/>
      <c r="X54" s="18">
        <f t="shared" si="7"/>
        <v>0.0137666079718265</v>
      </c>
      <c r="Y54" s="9">
        <f>Y52+Y53</f>
        <v>156.8</v>
      </c>
      <c r="Z54" s="9">
        <f>Z52+Z53</f>
        <v>3.2</v>
      </c>
      <c r="AA54" s="18">
        <f t="shared" si="8"/>
        <v>0.062669864108713</v>
      </c>
      <c r="AB54" s="9">
        <f>AB52+AB53</f>
        <v>205.6</v>
      </c>
      <c r="AC54" s="9"/>
      <c r="AD54" s="18">
        <f t="shared" si="9"/>
        <v>0.0822794941571955</v>
      </c>
      <c r="AE54" s="9">
        <f>AE52+AE53</f>
        <v>68.4</v>
      </c>
      <c r="AF54" s="18">
        <f t="shared" si="10"/>
        <v>0.0425955909826878</v>
      </c>
    </row>
    <row r="55" ht="16" hidden="1" customHeight="1" spans="1:32">
      <c r="A55" s="1" t="s">
        <v>55</v>
      </c>
      <c r="B55" s="7" t="s">
        <v>33</v>
      </c>
      <c r="C55" s="9"/>
      <c r="D55" s="9">
        <v>292.4</v>
      </c>
      <c r="E55" s="9">
        <v>1110.2</v>
      </c>
      <c r="F55" s="9">
        <v>896.8</v>
      </c>
      <c r="G55" s="18">
        <f t="shared" si="0"/>
        <v>0.807782381552873</v>
      </c>
      <c r="H55" s="18">
        <f t="shared" si="1"/>
        <v>1.65789473684211</v>
      </c>
      <c r="I55" s="9">
        <v>36</v>
      </c>
      <c r="J55" s="9">
        <v>0.2</v>
      </c>
      <c r="K55" s="18">
        <f t="shared" si="2"/>
        <v>0.0324207492795389</v>
      </c>
      <c r="L55" s="9">
        <v>3.4</v>
      </c>
      <c r="M55" s="9">
        <v>0</v>
      </c>
      <c r="N55" s="18">
        <f t="shared" si="3"/>
        <v>0.00306251125923257</v>
      </c>
      <c r="O55" s="9">
        <v>395</v>
      </c>
      <c r="P55" s="9">
        <v>395</v>
      </c>
      <c r="Q55" s="18">
        <f t="shared" si="4"/>
        <v>0.262423598192931</v>
      </c>
      <c r="R55" s="9">
        <v>764</v>
      </c>
      <c r="S55" s="18">
        <f t="shared" si="5"/>
        <v>0.688164294721672</v>
      </c>
      <c r="T55" s="9">
        <v>117.6</v>
      </c>
      <c r="U55" s="18">
        <f t="shared" si="6"/>
        <v>0.153926701570681</v>
      </c>
      <c r="V55" s="9">
        <v>13</v>
      </c>
      <c r="W55" s="9">
        <v>0</v>
      </c>
      <c r="X55" s="18">
        <f t="shared" si="7"/>
        <v>0.0117096018735363</v>
      </c>
      <c r="Y55" s="9">
        <v>54.4</v>
      </c>
      <c r="Z55" s="9">
        <v>1.6</v>
      </c>
      <c r="AA55" s="18">
        <f t="shared" si="8"/>
        <v>0.0489296636085627</v>
      </c>
      <c r="AB55" s="9">
        <v>68</v>
      </c>
      <c r="AC55" s="9">
        <v>0</v>
      </c>
      <c r="AD55" s="18">
        <f t="shared" si="9"/>
        <v>0.0612502251846514</v>
      </c>
      <c r="AE55" s="9">
        <v>35.4</v>
      </c>
      <c r="AF55" s="18">
        <f t="shared" si="10"/>
        <v>0.0463350785340314</v>
      </c>
    </row>
    <row r="56" ht="16" hidden="1" customHeight="1" spans="1:32">
      <c r="A56" s="1" t="s">
        <v>55</v>
      </c>
      <c r="B56" s="7" t="s">
        <v>35</v>
      </c>
      <c r="C56" s="9"/>
      <c r="D56" s="9">
        <v>444.1</v>
      </c>
      <c r="E56" s="9">
        <v>1437.2</v>
      </c>
      <c r="F56" s="9">
        <v>1151.6</v>
      </c>
      <c r="G56" s="18">
        <f t="shared" si="0"/>
        <v>0.801280267186195</v>
      </c>
      <c r="H56" s="18">
        <f t="shared" si="1"/>
        <v>1.84369572768322</v>
      </c>
      <c r="I56" s="9">
        <v>49.8</v>
      </c>
      <c r="J56" s="9">
        <v>0.2</v>
      </c>
      <c r="K56" s="18">
        <f t="shared" si="2"/>
        <v>0.0346458884096285</v>
      </c>
      <c r="L56" s="9">
        <v>43.2</v>
      </c>
      <c r="M56" s="9">
        <v>0</v>
      </c>
      <c r="N56" s="18">
        <f t="shared" si="3"/>
        <v>0.0300584469802394</v>
      </c>
      <c r="O56" s="9">
        <v>497.2</v>
      </c>
      <c r="P56" s="9">
        <v>497.2</v>
      </c>
      <c r="Q56" s="18">
        <f t="shared" si="4"/>
        <v>0.257030603804797</v>
      </c>
      <c r="R56" s="9">
        <v>924.2</v>
      </c>
      <c r="S56" s="18">
        <f t="shared" si="5"/>
        <v>0.643055942109658</v>
      </c>
      <c r="T56" s="9">
        <v>287.4</v>
      </c>
      <c r="U56" s="18">
        <f t="shared" si="6"/>
        <v>0.310971651157758</v>
      </c>
      <c r="V56" s="9">
        <v>24.2</v>
      </c>
      <c r="W56" s="9">
        <v>0</v>
      </c>
      <c r="X56" s="18">
        <f t="shared" si="7"/>
        <v>0.0168382966880045</v>
      </c>
      <c r="Y56" s="9">
        <v>121.8</v>
      </c>
      <c r="Z56" s="9">
        <v>2</v>
      </c>
      <c r="AA56" s="18">
        <f t="shared" si="8"/>
        <v>0.0846303501945525</v>
      </c>
      <c r="AB56" s="9">
        <v>136.2</v>
      </c>
      <c r="AC56" s="9">
        <v>0</v>
      </c>
      <c r="AD56" s="18">
        <f t="shared" si="9"/>
        <v>0.0947676036738102</v>
      </c>
      <c r="AE56" s="9">
        <v>39.2</v>
      </c>
      <c r="AF56" s="18">
        <f t="shared" si="10"/>
        <v>0.0424150616749621</v>
      </c>
    </row>
    <row r="57" ht="16" hidden="1" customHeight="1" spans="1:32">
      <c r="A57" s="1" t="s">
        <v>55</v>
      </c>
      <c r="B57" s="7" t="s">
        <v>36</v>
      </c>
      <c r="C57" s="9"/>
      <c r="D57" s="9">
        <f>D55+D56</f>
        <v>736.5</v>
      </c>
      <c r="E57" s="9">
        <f>E55+E56</f>
        <v>2547.4</v>
      </c>
      <c r="F57" s="9">
        <f>F55+F56</f>
        <v>2048.4</v>
      </c>
      <c r="G57" s="18">
        <f t="shared" si="0"/>
        <v>0.804113998586794</v>
      </c>
      <c r="H57" s="18">
        <f t="shared" si="1"/>
        <v>1.76235110330014</v>
      </c>
      <c r="I57" s="9">
        <f>I55+I56</f>
        <v>85.8</v>
      </c>
      <c r="J57" s="9">
        <f>J55+J56</f>
        <v>0.4</v>
      </c>
      <c r="K57" s="18">
        <f t="shared" si="2"/>
        <v>0.0336761127247037</v>
      </c>
      <c r="L57" s="9">
        <f>L55+L56</f>
        <v>46.6</v>
      </c>
      <c r="M57" s="9"/>
      <c r="N57" s="18">
        <f t="shared" si="3"/>
        <v>0.0182931616550208</v>
      </c>
      <c r="O57" s="9">
        <f>O55+O56</f>
        <v>892.2</v>
      </c>
      <c r="P57" s="9">
        <f>P55+P56</f>
        <v>892.2</v>
      </c>
      <c r="Q57" s="18">
        <f t="shared" si="4"/>
        <v>0.259390626817072</v>
      </c>
      <c r="R57" s="9">
        <f>R55+R56</f>
        <v>1688.2</v>
      </c>
      <c r="S57" s="18">
        <f t="shared" si="5"/>
        <v>0.662714925021591</v>
      </c>
      <c r="T57" s="9">
        <f>T55+T56</f>
        <v>405</v>
      </c>
      <c r="U57" s="18">
        <f t="shared" si="6"/>
        <v>0.23990048572444</v>
      </c>
      <c r="V57" s="9">
        <f>V55+V56</f>
        <v>37.2</v>
      </c>
      <c r="W57" s="9"/>
      <c r="X57" s="18">
        <f t="shared" si="7"/>
        <v>0.0146031247546518</v>
      </c>
      <c r="Y57" s="9">
        <f>Y55+Y56</f>
        <v>176.2</v>
      </c>
      <c r="Z57" s="9">
        <f>Z55+Z56</f>
        <v>3.6</v>
      </c>
      <c r="AA57" s="18">
        <f t="shared" si="8"/>
        <v>0.0690709525676205</v>
      </c>
      <c r="AB57" s="9">
        <f>AB55+AB56</f>
        <v>204.2</v>
      </c>
      <c r="AC57" s="9"/>
      <c r="AD57" s="18">
        <f t="shared" si="9"/>
        <v>0.0801601633037607</v>
      </c>
      <c r="AE57" s="9">
        <f>AE55+AE56</f>
        <v>74.6</v>
      </c>
      <c r="AF57" s="18">
        <f t="shared" si="10"/>
        <v>0.0441890771235636</v>
      </c>
    </row>
    <row r="58" ht="16" hidden="1" customHeight="1" spans="1:32">
      <c r="A58" s="1" t="s">
        <v>56</v>
      </c>
      <c r="B58" s="7" t="s">
        <v>33</v>
      </c>
      <c r="C58" s="9"/>
      <c r="D58" s="9">
        <v>349</v>
      </c>
      <c r="E58" s="9">
        <v>1218.6</v>
      </c>
      <c r="F58" s="9">
        <v>973.6</v>
      </c>
      <c r="G58" s="18">
        <f t="shared" si="0"/>
        <v>0.798949614311505</v>
      </c>
      <c r="H58" s="18">
        <f t="shared" si="1"/>
        <v>1.69453574363188</v>
      </c>
      <c r="I58" s="9">
        <v>36.8</v>
      </c>
      <c r="J58" s="9">
        <v>0.4</v>
      </c>
      <c r="K58" s="18">
        <f t="shared" si="2"/>
        <v>0.030188679245283</v>
      </c>
      <c r="L58" s="9">
        <v>8.2</v>
      </c>
      <c r="M58" s="9">
        <v>0</v>
      </c>
      <c r="N58" s="18">
        <f t="shared" si="3"/>
        <v>0.00672903331692106</v>
      </c>
      <c r="O58" s="9">
        <v>433.6</v>
      </c>
      <c r="P58" s="9">
        <v>433.6</v>
      </c>
      <c r="Q58" s="18">
        <f t="shared" si="4"/>
        <v>0.262437961505871</v>
      </c>
      <c r="R58" s="9">
        <v>838.2</v>
      </c>
      <c r="S58" s="18">
        <f t="shared" si="5"/>
        <v>0.687838503200394</v>
      </c>
      <c r="T58" s="9">
        <v>141.4</v>
      </c>
      <c r="U58" s="18">
        <f t="shared" si="6"/>
        <v>0.168694822238129</v>
      </c>
      <c r="V58" s="9">
        <v>12.2</v>
      </c>
      <c r="W58" s="9">
        <v>0</v>
      </c>
      <c r="X58" s="18">
        <f t="shared" si="7"/>
        <v>0.0100114885934679</v>
      </c>
      <c r="Y58" s="9">
        <v>54.6</v>
      </c>
      <c r="Z58" s="9">
        <v>2</v>
      </c>
      <c r="AA58" s="18">
        <f t="shared" si="8"/>
        <v>0.0447320989677208</v>
      </c>
      <c r="AB58" s="9">
        <v>89.4</v>
      </c>
      <c r="AC58" s="9">
        <v>0</v>
      </c>
      <c r="AD58" s="18">
        <f t="shared" si="9"/>
        <v>0.0733628754308223</v>
      </c>
      <c r="AE58" s="9">
        <v>35.4</v>
      </c>
      <c r="AF58" s="18">
        <f t="shared" si="10"/>
        <v>0.0422333571939871</v>
      </c>
    </row>
    <row r="59" ht="16" hidden="1" customHeight="1" spans="1:32">
      <c r="A59" s="1" t="s">
        <v>56</v>
      </c>
      <c r="B59" s="7" t="s">
        <v>35</v>
      </c>
      <c r="C59" s="9"/>
      <c r="D59" s="9">
        <v>379.9</v>
      </c>
      <c r="E59" s="9">
        <v>1187.6</v>
      </c>
      <c r="F59" s="9">
        <v>1025</v>
      </c>
      <c r="G59" s="18">
        <f t="shared" si="0"/>
        <v>0.863085213876726</v>
      </c>
      <c r="H59" s="18">
        <f t="shared" si="1"/>
        <v>1.82868292682927</v>
      </c>
      <c r="I59" s="9">
        <v>51.2</v>
      </c>
      <c r="J59" s="9">
        <v>0.2</v>
      </c>
      <c r="K59" s="18">
        <f t="shared" si="2"/>
        <v>0.0431048998147836</v>
      </c>
      <c r="L59" s="9">
        <v>32.2</v>
      </c>
      <c r="M59" s="9">
        <v>0</v>
      </c>
      <c r="N59" s="18">
        <f t="shared" si="3"/>
        <v>0.0271135062310542</v>
      </c>
      <c r="O59" s="9">
        <v>412</v>
      </c>
      <c r="P59" s="9">
        <v>412</v>
      </c>
      <c r="Q59" s="18">
        <f t="shared" si="4"/>
        <v>0.257564391097774</v>
      </c>
      <c r="R59" s="9">
        <v>820.6</v>
      </c>
      <c r="S59" s="18">
        <f t="shared" si="5"/>
        <v>0.690973391714382</v>
      </c>
      <c r="T59" s="9">
        <v>271</v>
      </c>
      <c r="U59" s="18">
        <f t="shared" si="6"/>
        <v>0.330246161345357</v>
      </c>
      <c r="V59" s="9">
        <v>12</v>
      </c>
      <c r="W59" s="9">
        <v>0</v>
      </c>
      <c r="X59" s="18">
        <f t="shared" si="7"/>
        <v>0.0101044122600202</v>
      </c>
      <c r="Y59" s="9">
        <v>112.6</v>
      </c>
      <c r="Z59" s="9">
        <v>1.8</v>
      </c>
      <c r="AA59" s="18">
        <f t="shared" si="8"/>
        <v>0.0946695813014966</v>
      </c>
      <c r="AB59" s="9">
        <v>124.2</v>
      </c>
      <c r="AC59" s="9">
        <v>0</v>
      </c>
      <c r="AD59" s="18">
        <f t="shared" si="9"/>
        <v>0.104580666891209</v>
      </c>
      <c r="AE59" s="9">
        <v>38.6</v>
      </c>
      <c r="AF59" s="18">
        <f t="shared" si="10"/>
        <v>0.0470387521325859</v>
      </c>
    </row>
    <row r="60" ht="16" hidden="1" customHeight="1" spans="1:32">
      <c r="A60" s="1" t="s">
        <v>56</v>
      </c>
      <c r="B60" s="7" t="s">
        <v>36</v>
      </c>
      <c r="C60" s="9"/>
      <c r="D60" s="9">
        <f>D58+D59</f>
        <v>728.9</v>
      </c>
      <c r="E60" s="9">
        <f>E58+E59</f>
        <v>2406.2</v>
      </c>
      <c r="F60" s="9">
        <f>F58+F59</f>
        <v>1998.6</v>
      </c>
      <c r="G60" s="18">
        <f t="shared" si="0"/>
        <v>0.830604272296567</v>
      </c>
      <c r="H60" s="18">
        <f t="shared" si="1"/>
        <v>1.76333433403382</v>
      </c>
      <c r="I60" s="9">
        <f>I58+I59</f>
        <v>88</v>
      </c>
      <c r="J60" s="9">
        <f>J58+J59</f>
        <v>0.6</v>
      </c>
      <c r="K60" s="18">
        <f t="shared" si="2"/>
        <v>0.036563071297989</v>
      </c>
      <c r="L60" s="9">
        <f>L58+L59</f>
        <v>40.4</v>
      </c>
      <c r="M60" s="9"/>
      <c r="N60" s="18">
        <f t="shared" si="3"/>
        <v>0.016789959271881</v>
      </c>
      <c r="O60" s="9">
        <f>O58+O59</f>
        <v>845.6</v>
      </c>
      <c r="P60" s="9">
        <f>P58+P59</f>
        <v>845.6</v>
      </c>
      <c r="Q60" s="18">
        <f t="shared" si="4"/>
        <v>0.260040592902393</v>
      </c>
      <c r="R60" s="9">
        <f>R58+R59</f>
        <v>1658.8</v>
      </c>
      <c r="S60" s="18">
        <f t="shared" si="5"/>
        <v>0.689385753470202</v>
      </c>
      <c r="T60" s="9">
        <f>T58+T59</f>
        <v>412.4</v>
      </c>
      <c r="U60" s="18">
        <f t="shared" si="6"/>
        <v>0.248613455510007</v>
      </c>
      <c r="V60" s="9">
        <f>V58+V59</f>
        <v>24.2</v>
      </c>
      <c r="W60" s="9"/>
      <c r="X60" s="18">
        <f t="shared" si="7"/>
        <v>0.0100573518410772</v>
      </c>
      <c r="Y60" s="9">
        <f>Y58+Y59</f>
        <v>167.2</v>
      </c>
      <c r="Z60" s="9">
        <f>Z58+Z59</f>
        <v>3.8</v>
      </c>
      <c r="AA60" s="18">
        <f t="shared" si="8"/>
        <v>0.0693775933609958</v>
      </c>
      <c r="AB60" s="9">
        <f>AB58+AB59</f>
        <v>213.6</v>
      </c>
      <c r="AC60" s="9"/>
      <c r="AD60" s="18">
        <f t="shared" si="9"/>
        <v>0.0887706757543014</v>
      </c>
      <c r="AE60" s="9">
        <f>AE58+AE59</f>
        <v>74</v>
      </c>
      <c r="AF60" s="18">
        <f t="shared" si="10"/>
        <v>0.0446105618519412</v>
      </c>
    </row>
    <row r="61" ht="16" hidden="1" customHeight="1" spans="1:32">
      <c r="A61" s="1" t="s">
        <v>57</v>
      </c>
      <c r="B61" s="7" t="s">
        <v>33</v>
      </c>
      <c r="C61" s="9"/>
      <c r="D61" s="9">
        <v>325.9</v>
      </c>
      <c r="E61" s="9">
        <v>1150.4</v>
      </c>
      <c r="F61" s="9">
        <v>930.4</v>
      </c>
      <c r="G61" s="18">
        <f t="shared" si="0"/>
        <v>0.808762169680111</v>
      </c>
      <c r="H61" s="18">
        <f t="shared" si="1"/>
        <v>1.71904557179708</v>
      </c>
      <c r="I61" s="9">
        <v>35.6</v>
      </c>
      <c r="J61" s="9">
        <v>0.4</v>
      </c>
      <c r="K61" s="18">
        <f t="shared" si="2"/>
        <v>0.0309350017379214</v>
      </c>
      <c r="L61" s="9">
        <v>6</v>
      </c>
      <c r="M61" s="9">
        <v>0</v>
      </c>
      <c r="N61" s="18">
        <f t="shared" si="3"/>
        <v>0.00521557719054242</v>
      </c>
      <c r="O61" s="9">
        <v>424.6</v>
      </c>
      <c r="P61" s="9">
        <v>424.6</v>
      </c>
      <c r="Q61" s="18">
        <f t="shared" si="4"/>
        <v>0.269587301587302</v>
      </c>
      <c r="R61" s="9">
        <v>798</v>
      </c>
      <c r="S61" s="18">
        <f t="shared" si="5"/>
        <v>0.693671766342142</v>
      </c>
      <c r="T61" s="9">
        <v>123.6</v>
      </c>
      <c r="U61" s="18">
        <f t="shared" si="6"/>
        <v>0.154887218045113</v>
      </c>
      <c r="V61" s="9">
        <v>17.4</v>
      </c>
      <c r="W61" s="9">
        <v>0</v>
      </c>
      <c r="X61" s="18">
        <f t="shared" si="7"/>
        <v>0.015125173852573</v>
      </c>
      <c r="Y61" s="9">
        <v>57.2</v>
      </c>
      <c r="Z61" s="9">
        <v>2.8</v>
      </c>
      <c r="AA61" s="18">
        <f t="shared" si="8"/>
        <v>0.0496011099549081</v>
      </c>
      <c r="AB61" s="9">
        <v>95.4</v>
      </c>
      <c r="AC61" s="9">
        <v>0</v>
      </c>
      <c r="AD61" s="18">
        <f t="shared" si="9"/>
        <v>0.0829276773296245</v>
      </c>
      <c r="AE61" s="9">
        <v>41.6</v>
      </c>
      <c r="AF61" s="18">
        <f t="shared" si="10"/>
        <v>0.0521303258145363</v>
      </c>
    </row>
    <row r="62" ht="16" hidden="1" customHeight="1" spans="1:32">
      <c r="A62" s="1" t="s">
        <v>57</v>
      </c>
      <c r="B62" s="7" t="s">
        <v>35</v>
      </c>
      <c r="C62" s="9"/>
      <c r="D62" s="9">
        <v>375.6</v>
      </c>
      <c r="E62" s="9">
        <v>1177</v>
      </c>
      <c r="F62" s="9">
        <v>1018</v>
      </c>
      <c r="G62" s="18">
        <f t="shared" si="0"/>
        <v>0.864910790144435</v>
      </c>
      <c r="H62" s="18">
        <f t="shared" si="1"/>
        <v>1.80471512770138</v>
      </c>
      <c r="I62" s="9">
        <v>49.6</v>
      </c>
      <c r="J62" s="9">
        <v>0.4</v>
      </c>
      <c r="K62" s="18">
        <f t="shared" si="2"/>
        <v>0.0421267198912859</v>
      </c>
      <c r="L62" s="9">
        <v>45.2</v>
      </c>
      <c r="M62" s="9">
        <v>0</v>
      </c>
      <c r="N62" s="18">
        <f t="shared" si="3"/>
        <v>0.0384027187765506</v>
      </c>
      <c r="O62" s="9">
        <v>400.4</v>
      </c>
      <c r="P62" s="9">
        <v>400.4</v>
      </c>
      <c r="Q62" s="18">
        <f t="shared" si="4"/>
        <v>0.253835425383543</v>
      </c>
      <c r="R62" s="9">
        <v>801</v>
      </c>
      <c r="S62" s="18">
        <f t="shared" si="5"/>
        <v>0.68054375531011</v>
      </c>
      <c r="T62" s="9">
        <v>248.8</v>
      </c>
      <c r="U62" s="18">
        <f t="shared" si="6"/>
        <v>0.310611735330836</v>
      </c>
      <c r="V62" s="9">
        <v>23.2</v>
      </c>
      <c r="W62" s="9">
        <v>0</v>
      </c>
      <c r="X62" s="18">
        <f t="shared" si="7"/>
        <v>0.0197111299915038</v>
      </c>
      <c r="Y62" s="9">
        <v>116</v>
      </c>
      <c r="Z62" s="9">
        <v>4.6</v>
      </c>
      <c r="AA62" s="18">
        <f t="shared" si="8"/>
        <v>0.0981719702098849</v>
      </c>
      <c r="AB62" s="9">
        <v>122.8</v>
      </c>
      <c r="AC62" s="9">
        <v>0</v>
      </c>
      <c r="AD62" s="18">
        <f t="shared" si="9"/>
        <v>0.104333050127443</v>
      </c>
      <c r="AE62" s="9">
        <v>30.2</v>
      </c>
      <c r="AF62" s="18">
        <f t="shared" si="10"/>
        <v>0.0377028714107366</v>
      </c>
    </row>
    <row r="63" ht="16" hidden="1" customHeight="1" spans="1:32">
      <c r="A63" s="1" t="s">
        <v>57</v>
      </c>
      <c r="B63" s="7" t="s">
        <v>36</v>
      </c>
      <c r="C63" s="9"/>
      <c r="D63" s="9">
        <f>D61+D62</f>
        <v>701.5</v>
      </c>
      <c r="E63" s="9">
        <f>E61+E62</f>
        <v>2327.4</v>
      </c>
      <c r="F63" s="9">
        <f>F61+F62</f>
        <v>1948.4</v>
      </c>
      <c r="G63" s="18">
        <f t="shared" si="0"/>
        <v>0.837157342957807</v>
      </c>
      <c r="H63" s="18">
        <f t="shared" si="1"/>
        <v>1.76380619995894</v>
      </c>
      <c r="I63" s="9">
        <f>I61+I62</f>
        <v>85.2</v>
      </c>
      <c r="J63" s="9">
        <f>J61+J62</f>
        <v>0.8</v>
      </c>
      <c r="K63" s="18">
        <f t="shared" si="2"/>
        <v>0.0365947942616614</v>
      </c>
      <c r="L63" s="9">
        <f>L61+L62</f>
        <v>51.2</v>
      </c>
      <c r="M63" s="9"/>
      <c r="N63" s="18">
        <f t="shared" si="3"/>
        <v>0.0219987969407923</v>
      </c>
      <c r="O63" s="9">
        <f>O61+O62</f>
        <v>825</v>
      </c>
      <c r="P63" s="9">
        <f>P61+P62</f>
        <v>825</v>
      </c>
      <c r="Q63" s="18">
        <f t="shared" si="4"/>
        <v>0.26170536733917</v>
      </c>
      <c r="R63" s="9">
        <f>R61+R62</f>
        <v>1599</v>
      </c>
      <c r="S63" s="18">
        <f t="shared" si="5"/>
        <v>0.68703274039701</v>
      </c>
      <c r="T63" s="9">
        <f>T61+T62</f>
        <v>372.4</v>
      </c>
      <c r="U63" s="18">
        <f t="shared" si="6"/>
        <v>0.232895559724828</v>
      </c>
      <c r="V63" s="9">
        <f>V61+V62</f>
        <v>40.6</v>
      </c>
      <c r="W63" s="9"/>
      <c r="X63" s="18">
        <f t="shared" si="7"/>
        <v>0.0174443585116439</v>
      </c>
      <c r="Y63" s="9">
        <f>Y61+Y62</f>
        <v>173.2</v>
      </c>
      <c r="Z63" s="9">
        <f>Z61+Z62</f>
        <v>7.4</v>
      </c>
      <c r="AA63" s="18">
        <f t="shared" si="8"/>
        <v>0.0741819427788247</v>
      </c>
      <c r="AB63" s="9">
        <f>AB61+AB62</f>
        <v>218.2</v>
      </c>
      <c r="AC63" s="9"/>
      <c r="AD63" s="18">
        <f t="shared" si="9"/>
        <v>0.0937526854000172</v>
      </c>
      <c r="AE63" s="9">
        <f>AE61+AE62</f>
        <v>71.8</v>
      </c>
      <c r="AF63" s="18">
        <f t="shared" si="10"/>
        <v>0.0449030644152595</v>
      </c>
    </row>
    <row r="64" ht="16" hidden="1" customHeight="1" spans="1:32">
      <c r="A64" s="1" t="s">
        <v>58</v>
      </c>
      <c r="B64" s="7" t="s">
        <v>33</v>
      </c>
      <c r="C64" s="9"/>
      <c r="D64" s="9">
        <v>350.5</v>
      </c>
      <c r="E64" s="9">
        <v>1324.6</v>
      </c>
      <c r="F64" s="9">
        <v>1097.4</v>
      </c>
      <c r="G64" s="18">
        <f t="shared" si="0"/>
        <v>0.828476521213952</v>
      </c>
      <c r="H64" s="18">
        <f t="shared" si="1"/>
        <v>1.71769637324585</v>
      </c>
      <c r="I64" s="9">
        <v>36.8</v>
      </c>
      <c r="J64" s="9">
        <v>0.4</v>
      </c>
      <c r="K64" s="18">
        <f t="shared" si="2"/>
        <v>0.0277735849056604</v>
      </c>
      <c r="L64" s="9">
        <v>5.8</v>
      </c>
      <c r="M64" s="9">
        <v>0</v>
      </c>
      <c r="N64" s="18">
        <f t="shared" si="3"/>
        <v>0.00437868035633399</v>
      </c>
      <c r="O64" s="9">
        <v>513.2</v>
      </c>
      <c r="P64" s="9">
        <v>513.2</v>
      </c>
      <c r="Q64" s="18">
        <f t="shared" si="4"/>
        <v>0.279246925671999</v>
      </c>
      <c r="R64" s="9">
        <v>936.6</v>
      </c>
      <c r="S64" s="18">
        <f t="shared" si="5"/>
        <v>0.707081383059037</v>
      </c>
      <c r="T64" s="9">
        <v>157.6</v>
      </c>
      <c r="U64" s="18">
        <f t="shared" si="6"/>
        <v>0.168268204142644</v>
      </c>
      <c r="V64" s="9">
        <v>22</v>
      </c>
      <c r="W64" s="9">
        <v>0</v>
      </c>
      <c r="X64" s="18">
        <f t="shared" si="7"/>
        <v>0.0166087875585082</v>
      </c>
      <c r="Y64" s="9">
        <v>74.4</v>
      </c>
      <c r="Z64" s="9">
        <v>3.6</v>
      </c>
      <c r="AA64" s="18">
        <f t="shared" si="8"/>
        <v>0.0560156602921247</v>
      </c>
      <c r="AB64" s="9">
        <v>93.8</v>
      </c>
      <c r="AC64" s="9">
        <v>0</v>
      </c>
      <c r="AD64" s="18">
        <f t="shared" si="9"/>
        <v>0.0708138305903669</v>
      </c>
      <c r="AE64" s="9">
        <v>44.8</v>
      </c>
      <c r="AF64" s="18">
        <f t="shared" si="10"/>
        <v>0.0478325859491779</v>
      </c>
    </row>
    <row r="65" ht="16" hidden="1" customHeight="1" spans="1:32">
      <c r="A65" s="1" t="s">
        <v>58</v>
      </c>
      <c r="B65" s="7" t="s">
        <v>35</v>
      </c>
      <c r="C65" s="9"/>
      <c r="D65" s="9">
        <v>422.4</v>
      </c>
      <c r="E65" s="9">
        <v>1302.2</v>
      </c>
      <c r="F65" s="9">
        <v>1121.4</v>
      </c>
      <c r="G65" s="18">
        <f t="shared" si="0"/>
        <v>0.861158040239595</v>
      </c>
      <c r="H65" s="18">
        <f t="shared" si="1"/>
        <v>1.85321919029784</v>
      </c>
      <c r="I65" s="9">
        <v>53.2</v>
      </c>
      <c r="J65" s="9">
        <v>0.6</v>
      </c>
      <c r="K65" s="18">
        <f t="shared" si="2"/>
        <v>0.0408351243475591</v>
      </c>
      <c r="L65" s="9">
        <v>44.4</v>
      </c>
      <c r="M65" s="9">
        <v>0</v>
      </c>
      <c r="N65" s="18">
        <f t="shared" si="3"/>
        <v>0.0340961449854093</v>
      </c>
      <c r="O65" s="9">
        <v>455.8</v>
      </c>
      <c r="P65" s="9">
        <v>455.8</v>
      </c>
      <c r="Q65" s="18">
        <f t="shared" si="4"/>
        <v>0.259271899886234</v>
      </c>
      <c r="R65" s="9">
        <v>903.8</v>
      </c>
      <c r="S65" s="18">
        <f t="shared" si="5"/>
        <v>0.694056212563354</v>
      </c>
      <c r="T65" s="9">
        <v>305.2</v>
      </c>
      <c r="U65" s="18">
        <f t="shared" si="6"/>
        <v>0.337685328612525</v>
      </c>
      <c r="V65" s="9">
        <v>26.4</v>
      </c>
      <c r="W65" s="9">
        <v>0</v>
      </c>
      <c r="X65" s="18">
        <f t="shared" si="7"/>
        <v>0.020273383504838</v>
      </c>
      <c r="Y65" s="9">
        <v>115.6</v>
      </c>
      <c r="Z65" s="9">
        <v>4.2</v>
      </c>
      <c r="AA65" s="18">
        <f t="shared" si="8"/>
        <v>0.0884874464176362</v>
      </c>
      <c r="AB65" s="9">
        <v>143.6</v>
      </c>
      <c r="AC65" s="9">
        <v>0</v>
      </c>
      <c r="AD65" s="18">
        <f t="shared" si="9"/>
        <v>0.110274919367225</v>
      </c>
      <c r="AE65" s="9">
        <v>30.2</v>
      </c>
      <c r="AF65" s="18">
        <f t="shared" si="10"/>
        <v>0.0334144722283691</v>
      </c>
    </row>
    <row r="66" ht="16" hidden="1" customHeight="1" spans="1:32">
      <c r="A66" s="1" t="s">
        <v>58</v>
      </c>
      <c r="B66" s="7" t="s">
        <v>36</v>
      </c>
      <c r="C66" s="9"/>
      <c r="D66" s="9">
        <f>D64+D65</f>
        <v>772.9</v>
      </c>
      <c r="E66" s="9">
        <f>E64+E65</f>
        <v>2626.8</v>
      </c>
      <c r="F66" s="9">
        <f>F64+F65</f>
        <v>2218.8</v>
      </c>
      <c r="G66" s="18">
        <f t="shared" si="0"/>
        <v>0.844677935130196</v>
      </c>
      <c r="H66" s="18">
        <f t="shared" si="1"/>
        <v>1.78619073372994</v>
      </c>
      <c r="I66" s="9">
        <f>I64+I65</f>
        <v>90</v>
      </c>
      <c r="J66" s="9">
        <f>J64+J65</f>
        <v>1</v>
      </c>
      <c r="K66" s="18">
        <f t="shared" si="2"/>
        <v>0.0342491818251008</v>
      </c>
      <c r="L66" s="9">
        <f>L64+L65</f>
        <v>50.2</v>
      </c>
      <c r="M66" s="9"/>
      <c r="N66" s="18">
        <f t="shared" si="3"/>
        <v>0.0191107050403533</v>
      </c>
      <c r="O66" s="9">
        <f>O64+O65</f>
        <v>969</v>
      </c>
      <c r="P66" s="9">
        <f>P64+P65</f>
        <v>969</v>
      </c>
      <c r="Q66" s="18">
        <f t="shared" si="4"/>
        <v>0.269481061238111</v>
      </c>
      <c r="R66" s="9">
        <f>R64+R65</f>
        <v>1840.4</v>
      </c>
      <c r="S66" s="18">
        <f t="shared" si="5"/>
        <v>0.700624333790163</v>
      </c>
      <c r="T66" s="9">
        <f>T64+T65</f>
        <v>462.8</v>
      </c>
      <c r="U66" s="18">
        <f t="shared" si="6"/>
        <v>0.25146707237557</v>
      </c>
      <c r="V66" s="9">
        <f>V64+V65</f>
        <v>48.4</v>
      </c>
      <c r="W66" s="9"/>
      <c r="X66" s="18">
        <f t="shared" si="7"/>
        <v>0.0184254606365159</v>
      </c>
      <c r="Y66" s="9">
        <f>Y64+Y65</f>
        <v>190</v>
      </c>
      <c r="Z66" s="9">
        <f>Z64+Z65</f>
        <v>7.8</v>
      </c>
      <c r="AA66" s="18">
        <f t="shared" si="8"/>
        <v>0.0721172094435588</v>
      </c>
      <c r="AB66" s="9">
        <f>AB64+AB65</f>
        <v>237.4</v>
      </c>
      <c r="AC66" s="9"/>
      <c r="AD66" s="18">
        <f t="shared" si="9"/>
        <v>0.0903761230394396</v>
      </c>
      <c r="AE66" s="9">
        <f>AE64+AE65</f>
        <v>75</v>
      </c>
      <c r="AF66" s="18">
        <f t="shared" si="10"/>
        <v>0.0407520104325147</v>
      </c>
    </row>
    <row r="67" ht="16" hidden="1" customHeight="1" spans="1:32">
      <c r="A67" s="1" t="s">
        <v>59</v>
      </c>
      <c r="B67" s="7" t="s">
        <v>33</v>
      </c>
      <c r="C67" s="9"/>
      <c r="D67" s="9">
        <v>303.5</v>
      </c>
      <c r="E67" s="9">
        <v>1176</v>
      </c>
      <c r="F67" s="9">
        <v>958.2</v>
      </c>
      <c r="G67" s="18">
        <f t="shared" si="0"/>
        <v>0.814795918367347</v>
      </c>
      <c r="H67" s="18">
        <f t="shared" si="1"/>
        <v>1.71863911500731</v>
      </c>
      <c r="I67" s="9">
        <v>36.4</v>
      </c>
      <c r="J67" s="9">
        <v>0.8</v>
      </c>
      <c r="K67" s="18">
        <f t="shared" si="2"/>
        <v>0.030931339225017</v>
      </c>
      <c r="L67" s="9">
        <v>2.8</v>
      </c>
      <c r="M67" s="9">
        <v>0</v>
      </c>
      <c r="N67" s="18">
        <f t="shared" si="3"/>
        <v>0.00238095238095238</v>
      </c>
      <c r="O67" s="9">
        <v>453.4</v>
      </c>
      <c r="P67" s="9">
        <v>453.4</v>
      </c>
      <c r="Q67" s="18">
        <f t="shared" si="4"/>
        <v>0.278261936909292</v>
      </c>
      <c r="R67" s="9">
        <v>793.6</v>
      </c>
      <c r="S67" s="18">
        <f t="shared" si="5"/>
        <v>0.674829931972789</v>
      </c>
      <c r="T67" s="9">
        <v>139</v>
      </c>
      <c r="U67" s="18">
        <f t="shared" si="6"/>
        <v>0.175151209677419</v>
      </c>
      <c r="V67" s="9">
        <v>14.8</v>
      </c>
      <c r="W67" s="9">
        <v>0</v>
      </c>
      <c r="X67" s="18">
        <f t="shared" si="7"/>
        <v>0.0125850340136054</v>
      </c>
      <c r="Y67" s="9">
        <v>68.4</v>
      </c>
      <c r="Z67" s="9">
        <v>4</v>
      </c>
      <c r="AA67" s="18">
        <f t="shared" si="8"/>
        <v>0.0579661016949153</v>
      </c>
      <c r="AB67" s="9">
        <v>95.6</v>
      </c>
      <c r="AC67" s="9">
        <v>0</v>
      </c>
      <c r="AD67" s="18">
        <f t="shared" si="9"/>
        <v>0.0812925170068027</v>
      </c>
      <c r="AE67" s="9">
        <v>42.8</v>
      </c>
      <c r="AF67" s="18">
        <f t="shared" si="10"/>
        <v>0.0539314516129032</v>
      </c>
    </row>
    <row r="68" ht="16" hidden="1" customHeight="1" spans="1:32">
      <c r="A68" s="1" t="s">
        <v>59</v>
      </c>
      <c r="B68" s="7" t="s">
        <v>35</v>
      </c>
      <c r="C68" s="9"/>
      <c r="D68" s="9">
        <v>371.5</v>
      </c>
      <c r="E68" s="9">
        <v>1203</v>
      </c>
      <c r="F68" s="9">
        <v>1030.4</v>
      </c>
      <c r="G68" s="18">
        <f t="shared" si="0"/>
        <v>0.856525353283458</v>
      </c>
      <c r="H68" s="18">
        <f t="shared" si="1"/>
        <v>1.83870341614907</v>
      </c>
      <c r="I68" s="9">
        <v>53.4</v>
      </c>
      <c r="J68" s="9">
        <v>0.6</v>
      </c>
      <c r="K68" s="18">
        <f t="shared" si="2"/>
        <v>0.0443668993020937</v>
      </c>
      <c r="L68" s="9">
        <v>48.2</v>
      </c>
      <c r="M68" s="9">
        <v>0</v>
      </c>
      <c r="N68" s="18">
        <f t="shared" si="3"/>
        <v>0.0400665004156276</v>
      </c>
      <c r="O68" s="9">
        <v>417</v>
      </c>
      <c r="P68" s="9">
        <v>417</v>
      </c>
      <c r="Q68" s="18">
        <f t="shared" si="4"/>
        <v>0.257407407407407</v>
      </c>
      <c r="R68" s="9">
        <v>791.8</v>
      </c>
      <c r="S68" s="18">
        <f t="shared" si="5"/>
        <v>0.658187863674148</v>
      </c>
      <c r="T68" s="9">
        <v>285.4</v>
      </c>
      <c r="U68" s="18">
        <f t="shared" si="6"/>
        <v>0.360444556706239</v>
      </c>
      <c r="V68" s="9">
        <v>21.6</v>
      </c>
      <c r="W68" s="9">
        <v>0</v>
      </c>
      <c r="X68" s="18">
        <f t="shared" si="7"/>
        <v>0.0179551122194514</v>
      </c>
      <c r="Y68" s="9">
        <v>116.8</v>
      </c>
      <c r="Z68" s="9">
        <v>6.2</v>
      </c>
      <c r="AA68" s="18">
        <f t="shared" si="8"/>
        <v>0.0965927886205756</v>
      </c>
      <c r="AB68" s="9">
        <v>130.4</v>
      </c>
      <c r="AC68" s="9">
        <v>0</v>
      </c>
      <c r="AD68" s="18">
        <f t="shared" si="9"/>
        <v>0.108395677472984</v>
      </c>
      <c r="AE68" s="9">
        <v>30</v>
      </c>
      <c r="AF68" s="18">
        <f t="shared" si="10"/>
        <v>0.037888355645365</v>
      </c>
    </row>
    <row r="69" ht="16" hidden="1" customHeight="1" spans="1:32">
      <c r="A69" s="1" t="s">
        <v>59</v>
      </c>
      <c r="B69" s="7" t="s">
        <v>36</v>
      </c>
      <c r="C69" s="9"/>
      <c r="D69" s="9">
        <f>D67+D68</f>
        <v>675</v>
      </c>
      <c r="E69" s="9">
        <f>E67+E68</f>
        <v>2379</v>
      </c>
      <c r="F69" s="9">
        <f>F67+F68</f>
        <v>1988.6</v>
      </c>
      <c r="G69" s="18">
        <f t="shared" si="0"/>
        <v>0.835897435897436</v>
      </c>
      <c r="H69" s="18">
        <f t="shared" si="1"/>
        <v>1.78085084984411</v>
      </c>
      <c r="I69" s="9">
        <f>I67+I68</f>
        <v>89.8</v>
      </c>
      <c r="J69" s="9">
        <f>J67+J68</f>
        <v>1.4</v>
      </c>
      <c r="K69" s="18">
        <f t="shared" si="2"/>
        <v>0.0377247521424971</v>
      </c>
      <c r="L69" s="9">
        <f>L67+L68</f>
        <v>51</v>
      </c>
      <c r="M69" s="9"/>
      <c r="N69" s="18">
        <f t="shared" si="3"/>
        <v>0.021437578814628</v>
      </c>
      <c r="O69" s="9">
        <f>O67+O68</f>
        <v>870.4</v>
      </c>
      <c r="P69" s="9">
        <f>P67+P68</f>
        <v>870.4</v>
      </c>
      <c r="Q69" s="18">
        <f t="shared" si="4"/>
        <v>0.267864836585216</v>
      </c>
      <c r="R69" s="9">
        <f>R67+R68</f>
        <v>1585.4</v>
      </c>
      <c r="S69" s="18">
        <f t="shared" si="5"/>
        <v>0.666414459857083</v>
      </c>
      <c r="T69" s="9">
        <f>T67+T68</f>
        <v>424.4</v>
      </c>
      <c r="U69" s="18">
        <f t="shared" si="6"/>
        <v>0.267692695849628</v>
      </c>
      <c r="V69" s="9">
        <f>V67+V68</f>
        <v>36.4</v>
      </c>
      <c r="W69" s="9"/>
      <c r="X69" s="18">
        <f t="shared" si="7"/>
        <v>0.0153005464480874</v>
      </c>
      <c r="Y69" s="9">
        <f>Y67+Y68</f>
        <v>185.2</v>
      </c>
      <c r="Z69" s="9">
        <f>Z67+Z68</f>
        <v>10.2</v>
      </c>
      <c r="AA69" s="18">
        <f t="shared" si="8"/>
        <v>0.0775154863552654</v>
      </c>
      <c r="AB69" s="9">
        <f>AB67+AB68</f>
        <v>226</v>
      </c>
      <c r="AC69" s="9"/>
      <c r="AD69" s="18">
        <f t="shared" si="9"/>
        <v>0.0949978982765868</v>
      </c>
      <c r="AE69" s="9">
        <f>AE67+AE68</f>
        <v>72.8</v>
      </c>
      <c r="AF69" s="18">
        <f t="shared" si="10"/>
        <v>0.0459190109751482</v>
      </c>
    </row>
    <row r="70" ht="16" hidden="1" customHeight="1" spans="1:32">
      <c r="A70" s="1" t="s">
        <v>60</v>
      </c>
      <c r="B70" s="7" t="s">
        <v>33</v>
      </c>
      <c r="C70" s="9"/>
      <c r="D70" s="9">
        <v>312</v>
      </c>
      <c r="E70" s="9">
        <v>1083</v>
      </c>
      <c r="F70" s="9">
        <v>890.6</v>
      </c>
      <c r="G70" s="18">
        <f t="shared" si="0"/>
        <v>0.822345337026777</v>
      </c>
      <c r="H70" s="18">
        <f t="shared" si="1"/>
        <v>1.76105995957781</v>
      </c>
      <c r="I70" s="9">
        <v>37.4</v>
      </c>
      <c r="J70" s="9">
        <v>0.6</v>
      </c>
      <c r="K70" s="18">
        <f t="shared" si="2"/>
        <v>0.0345145810262089</v>
      </c>
      <c r="L70" s="9">
        <v>4.8</v>
      </c>
      <c r="M70" s="9">
        <v>4.8</v>
      </c>
      <c r="N70" s="18">
        <f t="shared" si="3"/>
        <v>0.00441257584114727</v>
      </c>
      <c r="O70" s="9">
        <v>462.4</v>
      </c>
      <c r="P70" s="9">
        <v>462.4</v>
      </c>
      <c r="Q70" s="18">
        <f t="shared" si="4"/>
        <v>0.299210560372719</v>
      </c>
      <c r="R70" s="9">
        <v>712.2</v>
      </c>
      <c r="S70" s="18">
        <f t="shared" si="5"/>
        <v>0.657617728531856</v>
      </c>
      <c r="T70" s="9">
        <v>133.2</v>
      </c>
      <c r="U70" s="18">
        <f t="shared" si="6"/>
        <v>0.187026116259478</v>
      </c>
      <c r="V70" s="9">
        <v>16.2</v>
      </c>
      <c r="W70" s="9">
        <v>0.2</v>
      </c>
      <c r="X70" s="18">
        <f t="shared" si="7"/>
        <v>0.0149556868537666</v>
      </c>
      <c r="Y70" s="9">
        <v>62.4</v>
      </c>
      <c r="Z70" s="9">
        <v>5.6</v>
      </c>
      <c r="AA70" s="18">
        <f t="shared" si="8"/>
        <v>0.057321330148815</v>
      </c>
      <c r="AB70" s="9">
        <v>103.8</v>
      </c>
      <c r="AC70" s="9">
        <v>4.4</v>
      </c>
      <c r="AD70" s="18">
        <f t="shared" si="9"/>
        <v>0.095457053522163</v>
      </c>
      <c r="AE70" s="9">
        <v>36</v>
      </c>
      <c r="AF70" s="18">
        <f t="shared" si="10"/>
        <v>0.050547598989048</v>
      </c>
    </row>
    <row r="71" ht="16" hidden="1" customHeight="1" spans="1:32">
      <c r="A71" s="1" t="s">
        <v>60</v>
      </c>
      <c r="B71" s="7" t="s">
        <v>35</v>
      </c>
      <c r="C71" s="9"/>
      <c r="D71" s="9">
        <v>368.4</v>
      </c>
      <c r="E71" s="9">
        <v>1143.6</v>
      </c>
      <c r="F71" s="9">
        <v>985.4</v>
      </c>
      <c r="G71" s="18">
        <f t="shared" si="0"/>
        <v>0.861664917803428</v>
      </c>
      <c r="H71" s="18">
        <f t="shared" si="1"/>
        <v>1.88735538867465</v>
      </c>
      <c r="I71" s="9">
        <v>50.8</v>
      </c>
      <c r="J71" s="9">
        <v>0.2</v>
      </c>
      <c r="K71" s="18">
        <f t="shared" si="2"/>
        <v>0.0444133589788425</v>
      </c>
      <c r="L71" s="9">
        <v>48.6</v>
      </c>
      <c r="M71" s="9">
        <v>12.2</v>
      </c>
      <c r="N71" s="18">
        <f t="shared" si="3"/>
        <v>0.0420487973697872</v>
      </c>
      <c r="O71" s="9">
        <v>412</v>
      </c>
      <c r="P71" s="9">
        <v>412</v>
      </c>
      <c r="Q71" s="18">
        <f t="shared" si="4"/>
        <v>0.264849575726408</v>
      </c>
      <c r="R71" s="9">
        <v>761.2</v>
      </c>
      <c r="S71" s="18">
        <f t="shared" si="5"/>
        <v>0.66561734872333</v>
      </c>
      <c r="T71" s="9">
        <v>290</v>
      </c>
      <c r="U71" s="18">
        <f t="shared" si="6"/>
        <v>0.380977404098791</v>
      </c>
      <c r="V71" s="9">
        <v>26.4</v>
      </c>
      <c r="W71" s="9">
        <v>0.8</v>
      </c>
      <c r="X71" s="18">
        <f t="shared" si="7"/>
        <v>0.023068857042992</v>
      </c>
      <c r="Y71" s="9">
        <v>112.8</v>
      </c>
      <c r="Z71" s="9">
        <v>4</v>
      </c>
      <c r="AA71" s="18">
        <f t="shared" si="8"/>
        <v>0.0982920878354828</v>
      </c>
      <c r="AB71" s="9">
        <v>127.6</v>
      </c>
      <c r="AC71" s="9">
        <v>3.2</v>
      </c>
      <c r="AD71" s="18">
        <f t="shared" si="9"/>
        <v>0.111266131845134</v>
      </c>
      <c r="AE71" s="9">
        <v>30.4</v>
      </c>
      <c r="AF71" s="18">
        <f t="shared" si="10"/>
        <v>0.0399369416710457</v>
      </c>
    </row>
    <row r="72" ht="16" hidden="1" customHeight="1" spans="1:32">
      <c r="A72" s="1" t="s">
        <v>60</v>
      </c>
      <c r="B72" s="7" t="s">
        <v>36</v>
      </c>
      <c r="C72" s="9"/>
      <c r="D72" s="9">
        <f>D70+D71</f>
        <v>680.4</v>
      </c>
      <c r="E72" s="9">
        <f>E70+E71</f>
        <v>2226.6</v>
      </c>
      <c r="F72" s="9">
        <f>F70+F71</f>
        <v>1876</v>
      </c>
      <c r="G72" s="18">
        <f t="shared" si="0"/>
        <v>0.842540195814246</v>
      </c>
      <c r="H72" s="18">
        <f t="shared" si="1"/>
        <v>1.8273987206823</v>
      </c>
      <c r="I72" s="9">
        <f>I70+I71</f>
        <v>88.2</v>
      </c>
      <c r="J72" s="9">
        <f>J70+J71</f>
        <v>0.8</v>
      </c>
      <c r="K72" s="18">
        <f t="shared" si="2"/>
        <v>0.0395977372721559</v>
      </c>
      <c r="L72" s="9">
        <f>L70+L71</f>
        <v>53.4</v>
      </c>
      <c r="M72" s="9">
        <f>M70+M71</f>
        <v>17</v>
      </c>
      <c r="N72" s="18">
        <f t="shared" si="3"/>
        <v>0.0238010340524158</v>
      </c>
      <c r="O72" s="9">
        <f>O70+O71</f>
        <v>874.4</v>
      </c>
      <c r="P72" s="9">
        <f>P70+P71</f>
        <v>874.4</v>
      </c>
      <c r="Q72" s="18">
        <f t="shared" si="4"/>
        <v>0.281973556917124</v>
      </c>
      <c r="R72" s="9">
        <f>R70+R71</f>
        <v>1473.4</v>
      </c>
      <c r="S72" s="18">
        <f t="shared" si="5"/>
        <v>0.661726398993982</v>
      </c>
      <c r="T72" s="9">
        <f>T70+T71</f>
        <v>423.2</v>
      </c>
      <c r="U72" s="18">
        <f t="shared" si="6"/>
        <v>0.287226822315732</v>
      </c>
      <c r="V72" s="9">
        <f>V70+V71</f>
        <v>42.6</v>
      </c>
      <c r="W72" s="9">
        <f>W70+W71</f>
        <v>1</v>
      </c>
      <c r="X72" s="18">
        <f t="shared" si="7"/>
        <v>0.0191237205961573</v>
      </c>
      <c r="Y72" s="9">
        <f>Y70+Y71</f>
        <v>175.2</v>
      </c>
      <c r="Z72" s="9">
        <f>Z70+Z71</f>
        <v>9.6</v>
      </c>
      <c r="AA72" s="18">
        <f t="shared" si="8"/>
        <v>0.0783471961363027</v>
      </c>
      <c r="AB72" s="9">
        <f>AB70+AB71</f>
        <v>231.4</v>
      </c>
      <c r="AC72" s="9">
        <f>AC70+AC71</f>
        <v>7.6</v>
      </c>
      <c r="AD72" s="18">
        <f t="shared" si="9"/>
        <v>0.103571748276788</v>
      </c>
      <c r="AE72" s="9">
        <f>AE70+AE71</f>
        <v>66.4</v>
      </c>
      <c r="AF72" s="18">
        <f t="shared" si="10"/>
        <v>0.0450658341251527</v>
      </c>
    </row>
    <row r="73" ht="16" hidden="1" customHeight="1" spans="1:32">
      <c r="A73" s="1" t="s">
        <v>61</v>
      </c>
      <c r="B73" s="7" t="s">
        <v>33</v>
      </c>
      <c r="C73" s="9"/>
      <c r="D73" s="9">
        <v>293.9</v>
      </c>
      <c r="E73" s="9">
        <v>1035.8</v>
      </c>
      <c r="F73" s="9">
        <v>835</v>
      </c>
      <c r="G73" s="18">
        <f t="shared" si="0"/>
        <v>0.806140181502221</v>
      </c>
      <c r="H73" s="18">
        <f t="shared" si="1"/>
        <v>1.68862275449102</v>
      </c>
      <c r="I73" s="9">
        <v>30</v>
      </c>
      <c r="J73" s="9">
        <v>0.4</v>
      </c>
      <c r="K73" s="18">
        <f t="shared" si="2"/>
        <v>0.0289519397799653</v>
      </c>
      <c r="L73" s="9">
        <v>4</v>
      </c>
      <c r="M73" s="9">
        <v>5.8</v>
      </c>
      <c r="N73" s="18">
        <f t="shared" si="3"/>
        <v>0.00384024577572965</v>
      </c>
      <c r="O73" s="9">
        <v>415.6</v>
      </c>
      <c r="P73" s="9">
        <v>415.6</v>
      </c>
      <c r="Q73" s="18">
        <f t="shared" si="4"/>
        <v>0.286344219374397</v>
      </c>
      <c r="R73" s="9">
        <v>655.4</v>
      </c>
      <c r="S73" s="18">
        <f t="shared" si="5"/>
        <v>0.632747634678509</v>
      </c>
      <c r="T73" s="9">
        <v>112</v>
      </c>
      <c r="U73" s="18">
        <f t="shared" si="6"/>
        <v>0.170888007323772</v>
      </c>
      <c r="V73" s="9">
        <v>14.6</v>
      </c>
      <c r="W73" s="9">
        <v>1.6</v>
      </c>
      <c r="X73" s="18">
        <f t="shared" si="7"/>
        <v>0.014073645652593</v>
      </c>
      <c r="Y73" s="9">
        <v>53.8</v>
      </c>
      <c r="Z73" s="9">
        <v>3.2</v>
      </c>
      <c r="AA73" s="18">
        <f t="shared" si="8"/>
        <v>0.0517805582290664</v>
      </c>
      <c r="AB73" s="9">
        <v>92.2</v>
      </c>
      <c r="AC73" s="9">
        <v>21</v>
      </c>
      <c r="AD73" s="18">
        <f t="shared" si="9"/>
        <v>0.0872445117335352</v>
      </c>
      <c r="AE73" s="9">
        <v>32.4</v>
      </c>
      <c r="AF73" s="18">
        <f t="shared" si="10"/>
        <v>0.0494354592615197</v>
      </c>
    </row>
    <row r="74" ht="16" hidden="1" customHeight="1" spans="1:32">
      <c r="A74" s="1" t="s">
        <v>61</v>
      </c>
      <c r="B74" s="7" t="s">
        <v>35</v>
      </c>
      <c r="C74" s="9"/>
      <c r="D74" s="9">
        <v>317.7</v>
      </c>
      <c r="E74" s="9">
        <v>1021.2</v>
      </c>
      <c r="F74" s="9">
        <v>865.6</v>
      </c>
      <c r="G74" s="18">
        <f t="shared" si="0"/>
        <v>0.847630238934587</v>
      </c>
      <c r="H74" s="18">
        <f t="shared" si="1"/>
        <v>1.82832717190388</v>
      </c>
      <c r="I74" s="9">
        <v>50.2</v>
      </c>
      <c r="J74" s="9">
        <v>0.4</v>
      </c>
      <c r="K74" s="18">
        <f t="shared" si="2"/>
        <v>0.0491386061080658</v>
      </c>
      <c r="L74" s="9">
        <v>40</v>
      </c>
      <c r="M74" s="9">
        <v>13.2</v>
      </c>
      <c r="N74" s="18">
        <f t="shared" si="3"/>
        <v>0.0386697602474865</v>
      </c>
      <c r="O74" s="9">
        <v>347</v>
      </c>
      <c r="P74" s="9">
        <v>347</v>
      </c>
      <c r="Q74" s="18">
        <f t="shared" si="4"/>
        <v>0.253617892121035</v>
      </c>
      <c r="R74" s="9">
        <v>661.4</v>
      </c>
      <c r="S74" s="18">
        <f t="shared" si="5"/>
        <v>0.647669408538974</v>
      </c>
      <c r="T74" s="9">
        <v>232</v>
      </c>
      <c r="U74" s="18">
        <f t="shared" si="6"/>
        <v>0.350771091623828</v>
      </c>
      <c r="V74" s="9">
        <v>18</v>
      </c>
      <c r="W74" s="9">
        <v>0.8</v>
      </c>
      <c r="X74" s="18">
        <f t="shared" si="7"/>
        <v>0.0176125244618395</v>
      </c>
      <c r="Y74" s="9">
        <v>101.4</v>
      </c>
      <c r="Z74" s="9">
        <v>4.4</v>
      </c>
      <c r="AA74" s="18">
        <f t="shared" si="8"/>
        <v>0.0988689547581903</v>
      </c>
      <c r="AB74" s="9">
        <v>107.6</v>
      </c>
      <c r="AC74" s="9">
        <v>23.8</v>
      </c>
      <c r="AD74" s="18">
        <f t="shared" si="9"/>
        <v>0.102966507177033</v>
      </c>
      <c r="AE74" s="9">
        <v>25</v>
      </c>
      <c r="AF74" s="18">
        <f t="shared" si="10"/>
        <v>0.0377986090111884</v>
      </c>
    </row>
    <row r="75" ht="16" hidden="1" customHeight="1" spans="1:32">
      <c r="A75" s="1" t="s">
        <v>61</v>
      </c>
      <c r="B75" s="7" t="s">
        <v>36</v>
      </c>
      <c r="C75" s="9"/>
      <c r="D75" s="9">
        <f>D73+D74</f>
        <v>611.6</v>
      </c>
      <c r="E75" s="9">
        <f>E73+E74</f>
        <v>2057</v>
      </c>
      <c r="F75" s="9">
        <f>F73+F74</f>
        <v>1700.6</v>
      </c>
      <c r="G75" s="18">
        <f t="shared" si="0"/>
        <v>0.826737967914438</v>
      </c>
      <c r="H75" s="18">
        <f t="shared" si="1"/>
        <v>1.75973185934376</v>
      </c>
      <c r="I75" s="9">
        <f>I73+I74</f>
        <v>80.2</v>
      </c>
      <c r="J75" s="9">
        <f>J73+J74</f>
        <v>0.8</v>
      </c>
      <c r="K75" s="18">
        <f t="shared" si="2"/>
        <v>0.0389736611915638</v>
      </c>
      <c r="L75" s="9">
        <f>L73+L74</f>
        <v>44</v>
      </c>
      <c r="M75" s="9">
        <f>M73+M74</f>
        <v>19</v>
      </c>
      <c r="N75" s="18">
        <f t="shared" si="3"/>
        <v>0.0211946050096339</v>
      </c>
      <c r="O75" s="9">
        <f>O73+O74</f>
        <v>762.6</v>
      </c>
      <c r="P75" s="9">
        <f>P73+P74</f>
        <v>762.6</v>
      </c>
      <c r="Q75" s="18">
        <f t="shared" si="4"/>
        <v>0.270463895588027</v>
      </c>
      <c r="R75" s="9">
        <f>R73+R74</f>
        <v>1316.8</v>
      </c>
      <c r="S75" s="18">
        <f t="shared" si="5"/>
        <v>0.640155566358775</v>
      </c>
      <c r="T75" s="9">
        <f>T73+T74</f>
        <v>344</v>
      </c>
      <c r="U75" s="18">
        <f t="shared" si="6"/>
        <v>0.261239368165249</v>
      </c>
      <c r="V75" s="9">
        <f>V73+V74</f>
        <v>32.6</v>
      </c>
      <c r="W75" s="9">
        <f>W73+W74</f>
        <v>2.4</v>
      </c>
      <c r="X75" s="18">
        <f t="shared" si="7"/>
        <v>0.0158298533553462</v>
      </c>
      <c r="Y75" s="9">
        <f>Y73+Y74</f>
        <v>155.2</v>
      </c>
      <c r="Z75" s="9">
        <f>Z73+Z74</f>
        <v>7.6</v>
      </c>
      <c r="AA75" s="18">
        <f t="shared" si="8"/>
        <v>0.0751719461396881</v>
      </c>
      <c r="AB75" s="9">
        <f>AB73+AB74</f>
        <v>199.8</v>
      </c>
      <c r="AC75" s="9">
        <f>AC73+AC74</f>
        <v>44.8</v>
      </c>
      <c r="AD75" s="18">
        <f t="shared" si="9"/>
        <v>0.0950613759634599</v>
      </c>
      <c r="AE75" s="9">
        <f>AE73+AE74</f>
        <v>57.4</v>
      </c>
      <c r="AF75" s="18">
        <f t="shared" si="10"/>
        <v>0.0435905224787363</v>
      </c>
    </row>
    <row r="76" ht="16" hidden="1" customHeight="1" spans="1:32">
      <c r="A76" s="1" t="s">
        <v>62</v>
      </c>
      <c r="B76" s="7" t="s">
        <v>33</v>
      </c>
      <c r="C76" s="9"/>
      <c r="D76" s="9">
        <v>297.3</v>
      </c>
      <c r="E76" s="9">
        <v>1123.6</v>
      </c>
      <c r="F76" s="9">
        <v>879.2</v>
      </c>
      <c r="G76" s="18">
        <f t="shared" si="0"/>
        <v>0.78248487006052</v>
      </c>
      <c r="H76" s="18">
        <f t="shared" si="1"/>
        <v>1.65127388535032</v>
      </c>
      <c r="I76" s="9">
        <v>31.6</v>
      </c>
      <c r="J76" s="9">
        <v>0</v>
      </c>
      <c r="K76" s="18">
        <f t="shared" si="2"/>
        <v>0.02812388750445</v>
      </c>
      <c r="L76" s="9">
        <v>6.2</v>
      </c>
      <c r="M76" s="9">
        <v>7.2</v>
      </c>
      <c r="N76" s="18">
        <f t="shared" si="3"/>
        <v>0.00548284400424478</v>
      </c>
      <c r="O76" s="9">
        <v>413.6</v>
      </c>
      <c r="P76" s="9">
        <v>413.6</v>
      </c>
      <c r="Q76" s="18">
        <f t="shared" si="4"/>
        <v>0.269060629716367</v>
      </c>
      <c r="R76" s="9">
        <v>659.2</v>
      </c>
      <c r="S76" s="18">
        <f t="shared" si="5"/>
        <v>0.586685653257387</v>
      </c>
      <c r="T76" s="9">
        <v>129.2</v>
      </c>
      <c r="U76" s="18">
        <f t="shared" si="6"/>
        <v>0.195995145631068</v>
      </c>
      <c r="V76" s="9">
        <v>15.4</v>
      </c>
      <c r="W76" s="9">
        <v>2</v>
      </c>
      <c r="X76" s="18">
        <f t="shared" si="7"/>
        <v>0.013681592039801</v>
      </c>
      <c r="Y76" s="9">
        <v>62.8</v>
      </c>
      <c r="Z76" s="9">
        <v>3.6</v>
      </c>
      <c r="AA76" s="18">
        <f t="shared" si="8"/>
        <v>0.0557132718239886</v>
      </c>
      <c r="AB76" s="9">
        <v>99</v>
      </c>
      <c r="AC76" s="9">
        <v>25.2</v>
      </c>
      <c r="AD76" s="18">
        <f t="shared" si="9"/>
        <v>0.0861768802228412</v>
      </c>
      <c r="AE76" s="9">
        <v>34.8</v>
      </c>
      <c r="AF76" s="18">
        <f t="shared" si="10"/>
        <v>0.0527912621359223</v>
      </c>
    </row>
    <row r="77" ht="16" hidden="1" customHeight="1" spans="1:32">
      <c r="A77" s="1" t="s">
        <v>62</v>
      </c>
      <c r="B77" s="7" t="s">
        <v>35</v>
      </c>
      <c r="C77" s="9"/>
      <c r="D77" s="9">
        <v>413.5</v>
      </c>
      <c r="E77" s="9">
        <v>1242.8</v>
      </c>
      <c r="F77" s="9">
        <v>1073.6</v>
      </c>
      <c r="G77" s="18">
        <f t="shared" si="0"/>
        <v>0.863855809462504</v>
      </c>
      <c r="H77" s="18">
        <f t="shared" si="1"/>
        <v>1.89120715350224</v>
      </c>
      <c r="I77" s="9">
        <v>51</v>
      </c>
      <c r="J77" s="9">
        <v>0.6</v>
      </c>
      <c r="K77" s="18">
        <f t="shared" si="2"/>
        <v>0.0410165674762747</v>
      </c>
      <c r="L77" s="9">
        <v>36.6</v>
      </c>
      <c r="M77" s="9">
        <v>18.4</v>
      </c>
      <c r="N77" s="18">
        <f t="shared" si="3"/>
        <v>0.0290199809705043</v>
      </c>
      <c r="O77" s="9">
        <v>433.4</v>
      </c>
      <c r="P77" s="9">
        <v>433.4</v>
      </c>
      <c r="Q77" s="18">
        <f t="shared" si="4"/>
        <v>0.258561030903234</v>
      </c>
      <c r="R77" s="9">
        <v>837.2</v>
      </c>
      <c r="S77" s="18">
        <f t="shared" si="5"/>
        <v>0.673640167364017</v>
      </c>
      <c r="T77" s="9">
        <v>340</v>
      </c>
      <c r="U77" s="18">
        <f t="shared" si="6"/>
        <v>0.406115623506928</v>
      </c>
      <c r="V77" s="9">
        <v>20</v>
      </c>
      <c r="W77" s="9">
        <v>2.4</v>
      </c>
      <c r="X77" s="18">
        <f t="shared" si="7"/>
        <v>0.016061676839062</v>
      </c>
      <c r="Y77" s="9">
        <v>134</v>
      </c>
      <c r="Z77" s="9">
        <v>4.8</v>
      </c>
      <c r="AA77" s="18">
        <f t="shared" si="8"/>
        <v>0.107406219942289</v>
      </c>
      <c r="AB77" s="9">
        <v>148</v>
      </c>
      <c r="AC77" s="9">
        <v>23</v>
      </c>
      <c r="AD77" s="18">
        <f t="shared" si="9"/>
        <v>0.116922104597883</v>
      </c>
      <c r="AE77" s="9">
        <v>30.2</v>
      </c>
      <c r="AF77" s="18">
        <f t="shared" si="10"/>
        <v>0.0360726230291448</v>
      </c>
    </row>
    <row r="78" ht="16" hidden="1" customHeight="1" spans="1:32">
      <c r="A78" s="1" t="s">
        <v>62</v>
      </c>
      <c r="B78" s="7" t="s">
        <v>36</v>
      </c>
      <c r="C78" s="9"/>
      <c r="D78" s="9">
        <f>D76+D77</f>
        <v>710.8</v>
      </c>
      <c r="E78" s="9">
        <f>E76+E77</f>
        <v>2366.4</v>
      </c>
      <c r="F78" s="9">
        <f>F76+F77</f>
        <v>1952.8</v>
      </c>
      <c r="G78" s="18">
        <f t="shared" si="0"/>
        <v>0.825219743069642</v>
      </c>
      <c r="H78" s="18">
        <f t="shared" si="1"/>
        <v>1.78318312167145</v>
      </c>
      <c r="I78" s="9">
        <f>I76+I77</f>
        <v>82.6</v>
      </c>
      <c r="J78" s="9">
        <f>J76+J77</f>
        <v>0.6</v>
      </c>
      <c r="K78" s="18">
        <f t="shared" si="2"/>
        <v>0.0348964934516265</v>
      </c>
      <c r="L78" s="9">
        <f>L76+L77</f>
        <v>42.8</v>
      </c>
      <c r="M78" s="9">
        <f>M76+M77</f>
        <v>25.6</v>
      </c>
      <c r="N78" s="18">
        <f t="shared" si="3"/>
        <v>0.0178929765886288</v>
      </c>
      <c r="O78" s="9">
        <f>O76+O77</f>
        <v>847</v>
      </c>
      <c r="P78" s="9">
        <f>P76+P77</f>
        <v>847</v>
      </c>
      <c r="Q78" s="18">
        <f t="shared" si="4"/>
        <v>0.26358374307587</v>
      </c>
      <c r="R78" s="9">
        <f>R76+R77</f>
        <v>1496.4</v>
      </c>
      <c r="S78" s="18">
        <f t="shared" si="5"/>
        <v>0.632352941176471</v>
      </c>
      <c r="T78" s="9">
        <f>T76+T77</f>
        <v>469.2</v>
      </c>
      <c r="U78" s="18">
        <f t="shared" si="6"/>
        <v>0.31355252606255</v>
      </c>
      <c r="V78" s="9">
        <f>V76+V77</f>
        <v>35.4</v>
      </c>
      <c r="W78" s="9">
        <f>W76+W77</f>
        <v>4.4</v>
      </c>
      <c r="X78" s="18">
        <f t="shared" si="7"/>
        <v>0.0149316686350599</v>
      </c>
      <c r="Y78" s="9">
        <f>Y76+Y77</f>
        <v>196.8</v>
      </c>
      <c r="Z78" s="9">
        <f>Z76+Z77</f>
        <v>8.4</v>
      </c>
      <c r="AA78" s="18">
        <f t="shared" si="8"/>
        <v>0.0828701364325417</v>
      </c>
      <c r="AB78" s="9">
        <f>AB76+AB77</f>
        <v>247</v>
      </c>
      <c r="AC78" s="9">
        <f>AC76+AC77</f>
        <v>48.2</v>
      </c>
      <c r="AD78" s="18">
        <f t="shared" si="9"/>
        <v>0.102294375880063</v>
      </c>
      <c r="AE78" s="9">
        <f>AE76+AE77</f>
        <v>65</v>
      </c>
      <c r="AF78" s="18">
        <f t="shared" si="10"/>
        <v>0.0434375835338145</v>
      </c>
    </row>
    <row r="79" ht="16" hidden="1" customHeight="1" spans="1:32">
      <c r="A79" s="1" t="s">
        <v>63</v>
      </c>
      <c r="B79" s="7" t="s">
        <v>33</v>
      </c>
      <c r="C79" s="9"/>
      <c r="D79" s="9">
        <v>307.2</v>
      </c>
      <c r="E79" s="9">
        <v>1067.8</v>
      </c>
      <c r="F79" s="9">
        <v>906.6</v>
      </c>
      <c r="G79" s="18">
        <f t="shared" si="0"/>
        <v>0.849035399887619</v>
      </c>
      <c r="H79" s="18">
        <f t="shared" si="1"/>
        <v>1.70328700639753</v>
      </c>
      <c r="I79" s="9">
        <v>38</v>
      </c>
      <c r="J79" s="9">
        <v>0</v>
      </c>
      <c r="K79" s="18">
        <f t="shared" si="2"/>
        <v>0.0355871886120996</v>
      </c>
      <c r="L79" s="9">
        <v>4.2</v>
      </c>
      <c r="M79" s="9">
        <v>5.4</v>
      </c>
      <c r="N79" s="18">
        <f t="shared" si="3"/>
        <v>0.00391352963101006</v>
      </c>
      <c r="O79" s="9">
        <v>405.8</v>
      </c>
      <c r="P79" s="9">
        <v>405.8</v>
      </c>
      <c r="Q79" s="18">
        <f t="shared" si="4"/>
        <v>0.275380021715527</v>
      </c>
      <c r="R79" s="9">
        <v>769.6</v>
      </c>
      <c r="S79" s="18">
        <f t="shared" si="5"/>
        <v>0.720734219891365</v>
      </c>
      <c r="T79" s="9">
        <v>123.6</v>
      </c>
      <c r="U79" s="18">
        <f t="shared" si="6"/>
        <v>0.160602910602911</v>
      </c>
      <c r="V79" s="9">
        <v>13.8</v>
      </c>
      <c r="W79" s="9">
        <v>2.2</v>
      </c>
      <c r="X79" s="18">
        <f t="shared" si="7"/>
        <v>0.0128971962616822</v>
      </c>
      <c r="Y79" s="9">
        <v>51.2</v>
      </c>
      <c r="Z79" s="9">
        <v>5</v>
      </c>
      <c r="AA79" s="18">
        <f t="shared" si="8"/>
        <v>0.0477255779269202</v>
      </c>
      <c r="AB79" s="9">
        <v>104.6</v>
      </c>
      <c r="AC79" s="9">
        <v>21.6</v>
      </c>
      <c r="AD79" s="18">
        <f t="shared" si="9"/>
        <v>0.0960161556820268</v>
      </c>
      <c r="AE79" s="9">
        <v>33.4</v>
      </c>
      <c r="AF79" s="18">
        <f t="shared" si="10"/>
        <v>0.0433991683991684</v>
      </c>
    </row>
    <row r="80" ht="16" hidden="1" customHeight="1" spans="1:32">
      <c r="A80" s="1" t="s">
        <v>63</v>
      </c>
      <c r="B80" s="7" t="s">
        <v>35</v>
      </c>
      <c r="C80" s="9"/>
      <c r="D80" s="9">
        <v>352.4</v>
      </c>
      <c r="E80" s="9">
        <v>1178.6</v>
      </c>
      <c r="F80" s="9">
        <v>981.8</v>
      </c>
      <c r="G80" s="18">
        <f t="shared" si="0"/>
        <v>0.833022229764127</v>
      </c>
      <c r="H80" s="18">
        <f t="shared" si="1"/>
        <v>1.85108983499694</v>
      </c>
      <c r="I80" s="9">
        <v>48.2</v>
      </c>
      <c r="J80" s="9">
        <v>0</v>
      </c>
      <c r="K80" s="18">
        <f t="shared" si="2"/>
        <v>0.0408959782793144</v>
      </c>
      <c r="L80" s="9">
        <v>44</v>
      </c>
      <c r="M80" s="9">
        <v>14</v>
      </c>
      <c r="N80" s="18">
        <f t="shared" si="3"/>
        <v>0.0368941807814858</v>
      </c>
      <c r="O80" s="9">
        <v>376.2</v>
      </c>
      <c r="P80" s="9">
        <v>376.2</v>
      </c>
      <c r="Q80" s="18">
        <f t="shared" si="4"/>
        <v>0.241960380756367</v>
      </c>
      <c r="R80" s="9">
        <v>778</v>
      </c>
      <c r="S80" s="18">
        <f t="shared" si="5"/>
        <v>0.660105209570677</v>
      </c>
      <c r="T80" s="9">
        <v>283.2</v>
      </c>
      <c r="U80" s="18">
        <f t="shared" si="6"/>
        <v>0.36401028277635</v>
      </c>
      <c r="V80" s="9">
        <v>18</v>
      </c>
      <c r="W80" s="9">
        <v>1.2</v>
      </c>
      <c r="X80" s="18">
        <f t="shared" si="7"/>
        <v>0.0152568231903712</v>
      </c>
      <c r="Y80" s="9">
        <v>119.4</v>
      </c>
      <c r="Z80" s="9">
        <v>4.2</v>
      </c>
      <c r="AA80" s="18">
        <f t="shared" si="8"/>
        <v>0.100946905647616</v>
      </c>
      <c r="AB80" s="9">
        <v>124</v>
      </c>
      <c r="AC80" s="9">
        <v>22.2</v>
      </c>
      <c r="AD80" s="18">
        <f t="shared" si="9"/>
        <v>0.103264490339773</v>
      </c>
      <c r="AE80" s="9">
        <v>26.4</v>
      </c>
      <c r="AF80" s="18">
        <f t="shared" si="10"/>
        <v>0.0339331619537275</v>
      </c>
    </row>
    <row r="81" ht="16" hidden="1" customHeight="1" spans="1:32">
      <c r="A81" s="1" t="s">
        <v>63</v>
      </c>
      <c r="B81" s="7" t="s">
        <v>36</v>
      </c>
      <c r="C81" s="9"/>
      <c r="D81" s="9">
        <f>D79+D80</f>
        <v>659.6</v>
      </c>
      <c r="E81" s="9">
        <f>E79+E80</f>
        <v>2246.4</v>
      </c>
      <c r="F81" s="9">
        <f>F79+F80</f>
        <v>1888.4</v>
      </c>
      <c r="G81" s="18">
        <f t="shared" si="0"/>
        <v>0.840633903133903</v>
      </c>
      <c r="H81" s="18">
        <f t="shared" si="1"/>
        <v>1.78013132810845</v>
      </c>
      <c r="I81" s="9">
        <f>I79+I80</f>
        <v>86.2</v>
      </c>
      <c r="J81" s="9">
        <f>J79+J80</f>
        <v>0</v>
      </c>
      <c r="K81" s="18">
        <f t="shared" si="2"/>
        <v>0.0383725071225071</v>
      </c>
      <c r="L81" s="9">
        <f>L79+L80</f>
        <v>48.2</v>
      </c>
      <c r="M81" s="9">
        <f>M79+M80</f>
        <v>19.4</v>
      </c>
      <c r="N81" s="18">
        <f t="shared" si="3"/>
        <v>0.021272839615147</v>
      </c>
      <c r="O81" s="9">
        <f>O79+O80</f>
        <v>782</v>
      </c>
      <c r="P81" s="9">
        <f>P79+P80</f>
        <v>782</v>
      </c>
      <c r="Q81" s="18">
        <f t="shared" si="4"/>
        <v>0.25822216351869</v>
      </c>
      <c r="R81" s="9">
        <f>R79+R80</f>
        <v>1547.6</v>
      </c>
      <c r="S81" s="18">
        <f t="shared" si="5"/>
        <v>0.688924501424501</v>
      </c>
      <c r="T81" s="9">
        <f>T79+T80</f>
        <v>406.8</v>
      </c>
      <c r="U81" s="18">
        <f t="shared" si="6"/>
        <v>0.262858619798398</v>
      </c>
      <c r="V81" s="9">
        <f>V79+V80</f>
        <v>31.8</v>
      </c>
      <c r="W81" s="9">
        <f>W79+W80</f>
        <v>3.4</v>
      </c>
      <c r="X81" s="18">
        <f t="shared" si="7"/>
        <v>0.0141345897413103</v>
      </c>
      <c r="Y81" s="9">
        <f>Y79+Y80</f>
        <v>170.6</v>
      </c>
      <c r="Z81" s="9">
        <f>Z79+Z80</f>
        <v>9.2</v>
      </c>
      <c r="AA81" s="18">
        <f t="shared" si="8"/>
        <v>0.0756339776556127</v>
      </c>
      <c r="AB81" s="9">
        <f>AB79+AB80</f>
        <v>228.6</v>
      </c>
      <c r="AC81" s="9">
        <f>AC79+AC80</f>
        <v>43.8</v>
      </c>
      <c r="AD81" s="18">
        <f t="shared" si="9"/>
        <v>0.0998166099030652</v>
      </c>
      <c r="AE81" s="9">
        <f>AE79+AE80</f>
        <v>59.8</v>
      </c>
      <c r="AF81" s="18">
        <f t="shared" si="10"/>
        <v>0.038640475575084</v>
      </c>
    </row>
    <row r="82" ht="16" hidden="1" customHeight="1" spans="1:32">
      <c r="A82" s="1" t="s">
        <v>64</v>
      </c>
      <c r="B82" s="7" t="s">
        <v>33</v>
      </c>
      <c r="C82" s="9"/>
      <c r="D82" s="9">
        <v>299</v>
      </c>
      <c r="E82" s="9">
        <v>992.6</v>
      </c>
      <c r="F82" s="9">
        <v>837.2</v>
      </c>
      <c r="G82" s="18">
        <f t="shared" si="0"/>
        <v>0.843441466854725</v>
      </c>
      <c r="H82" s="18">
        <f t="shared" si="1"/>
        <v>1.67606306736742</v>
      </c>
      <c r="I82" s="9">
        <v>35.8</v>
      </c>
      <c r="J82" s="9">
        <v>0.2</v>
      </c>
      <c r="K82" s="18">
        <f t="shared" si="2"/>
        <v>0.0360596293311845</v>
      </c>
      <c r="L82" s="9">
        <v>4.6</v>
      </c>
      <c r="M82" s="9">
        <v>5.4</v>
      </c>
      <c r="N82" s="18">
        <f t="shared" si="3"/>
        <v>0.00460921843687375</v>
      </c>
      <c r="O82" s="9">
        <v>357.2</v>
      </c>
      <c r="P82" s="9">
        <v>357.2</v>
      </c>
      <c r="Q82" s="18">
        <f t="shared" si="4"/>
        <v>0.264631797303304</v>
      </c>
      <c r="R82" s="9">
        <v>708.6</v>
      </c>
      <c r="S82" s="18">
        <f t="shared" si="5"/>
        <v>0.713882732218416</v>
      </c>
      <c r="T82" s="9">
        <v>120</v>
      </c>
      <c r="U82" s="18">
        <f t="shared" si="6"/>
        <v>0.169348010160881</v>
      </c>
      <c r="V82" s="9">
        <v>11.8</v>
      </c>
      <c r="W82" s="9">
        <v>1.8</v>
      </c>
      <c r="X82" s="18">
        <f t="shared" si="7"/>
        <v>0.0118664521319389</v>
      </c>
      <c r="Y82" s="9">
        <v>46.4</v>
      </c>
      <c r="Z82" s="9">
        <v>2.4</v>
      </c>
      <c r="AA82" s="18">
        <f t="shared" si="8"/>
        <v>0.0466331658291457</v>
      </c>
      <c r="AB82" s="9">
        <v>88.4</v>
      </c>
      <c r="AC82" s="9">
        <v>17.6</v>
      </c>
      <c r="AD82" s="18">
        <f t="shared" si="9"/>
        <v>0.0875074242724213</v>
      </c>
      <c r="AE82" s="9">
        <v>30.4</v>
      </c>
      <c r="AF82" s="18">
        <f t="shared" si="10"/>
        <v>0.0429014959074231</v>
      </c>
    </row>
    <row r="83" ht="16" hidden="1" customHeight="1" spans="1:32">
      <c r="A83" s="1" t="s">
        <v>64</v>
      </c>
      <c r="B83" s="7" t="s">
        <v>35</v>
      </c>
      <c r="C83" s="9"/>
      <c r="D83" s="9">
        <v>400.5</v>
      </c>
      <c r="E83" s="9">
        <v>1140.4</v>
      </c>
      <c r="F83" s="9">
        <v>1000.6</v>
      </c>
      <c r="G83" s="18">
        <f t="shared" si="0"/>
        <v>0.877411434584356</v>
      </c>
      <c r="H83" s="18">
        <f t="shared" si="1"/>
        <v>1.88506895862482</v>
      </c>
      <c r="I83" s="9">
        <v>53.4</v>
      </c>
      <c r="J83" s="9">
        <v>0</v>
      </c>
      <c r="K83" s="18">
        <f t="shared" si="2"/>
        <v>0.0468256752016836</v>
      </c>
      <c r="L83" s="9">
        <v>35.2</v>
      </c>
      <c r="M83" s="9">
        <v>11.6</v>
      </c>
      <c r="N83" s="18">
        <f t="shared" si="3"/>
        <v>0.0305555555555556</v>
      </c>
      <c r="O83" s="9">
        <v>386.6</v>
      </c>
      <c r="P83" s="9">
        <v>386.6</v>
      </c>
      <c r="Q83" s="18">
        <f t="shared" si="4"/>
        <v>0.253176162409954</v>
      </c>
      <c r="R83" s="9">
        <v>806.4</v>
      </c>
      <c r="S83" s="18">
        <f t="shared" si="5"/>
        <v>0.707120308663627</v>
      </c>
      <c r="T83" s="9">
        <v>300.6</v>
      </c>
      <c r="U83" s="18">
        <f t="shared" si="6"/>
        <v>0.372767857142857</v>
      </c>
      <c r="V83" s="9">
        <v>20</v>
      </c>
      <c r="W83" s="9">
        <v>1.6</v>
      </c>
      <c r="X83" s="18">
        <f t="shared" si="7"/>
        <v>0.0175131348511384</v>
      </c>
      <c r="Y83" s="9">
        <v>111</v>
      </c>
      <c r="Z83" s="9">
        <v>4.4</v>
      </c>
      <c r="AA83" s="18">
        <f t="shared" si="8"/>
        <v>0.0969601677148847</v>
      </c>
      <c r="AB83" s="9">
        <v>144.4</v>
      </c>
      <c r="AC83" s="9">
        <v>23.6</v>
      </c>
      <c r="AD83" s="18">
        <f t="shared" si="9"/>
        <v>0.124054982817869</v>
      </c>
      <c r="AE83" s="9">
        <v>28.6</v>
      </c>
      <c r="AF83" s="18">
        <f t="shared" si="10"/>
        <v>0.0354662698412698</v>
      </c>
    </row>
    <row r="84" ht="16" hidden="1" customHeight="1" spans="1:32">
      <c r="A84" s="1" t="s">
        <v>64</v>
      </c>
      <c r="B84" s="7" t="s">
        <v>36</v>
      </c>
      <c r="C84" s="9"/>
      <c r="D84" s="9">
        <f>D82+D83</f>
        <v>699.5</v>
      </c>
      <c r="E84" s="9">
        <f>E82+E83</f>
        <v>2133</v>
      </c>
      <c r="F84" s="9">
        <f>F82+F83</f>
        <v>1837.8</v>
      </c>
      <c r="G84" s="18">
        <f t="shared" si="0"/>
        <v>0.861603375527426</v>
      </c>
      <c r="H84" s="18">
        <f t="shared" si="1"/>
        <v>1.78985743824138</v>
      </c>
      <c r="I84" s="9">
        <f>I82+I83</f>
        <v>89.2</v>
      </c>
      <c r="J84" s="9">
        <f>J82+J83</f>
        <v>0.2</v>
      </c>
      <c r="K84" s="18">
        <f t="shared" si="2"/>
        <v>0.0418151134445903</v>
      </c>
      <c r="L84" s="9">
        <f>L82+L83</f>
        <v>39.8</v>
      </c>
      <c r="M84" s="9">
        <f>M82+M83</f>
        <v>17</v>
      </c>
      <c r="N84" s="18">
        <f t="shared" si="3"/>
        <v>0.0185116279069767</v>
      </c>
      <c r="O84" s="9">
        <f>O82+O83</f>
        <v>743.8</v>
      </c>
      <c r="P84" s="9">
        <f>P82+P83</f>
        <v>743.8</v>
      </c>
      <c r="Q84" s="18">
        <f t="shared" si="4"/>
        <v>0.258551167964405</v>
      </c>
      <c r="R84" s="9">
        <f>R82+R83</f>
        <v>1515</v>
      </c>
      <c r="S84" s="18">
        <f t="shared" si="5"/>
        <v>0.710267229254571</v>
      </c>
      <c r="T84" s="9">
        <f>T82+T83</f>
        <v>420.6</v>
      </c>
      <c r="U84" s="18">
        <f t="shared" si="6"/>
        <v>0.277623762376238</v>
      </c>
      <c r="V84" s="9">
        <f>V82+V83</f>
        <v>31.8</v>
      </c>
      <c r="W84" s="9">
        <f>W82+W83</f>
        <v>3.4</v>
      </c>
      <c r="X84" s="18">
        <f t="shared" si="7"/>
        <v>0.0148848530237783</v>
      </c>
      <c r="Y84" s="9">
        <f>Y82+Y83</f>
        <v>157.4</v>
      </c>
      <c r="Z84" s="9">
        <f>Z82+Z83</f>
        <v>6.8</v>
      </c>
      <c r="AA84" s="18">
        <f t="shared" si="8"/>
        <v>0.0735582764744369</v>
      </c>
      <c r="AB84" s="9">
        <f>AB82+AB83</f>
        <v>232.8</v>
      </c>
      <c r="AC84" s="9">
        <f>AC82+AC83</f>
        <v>41.2</v>
      </c>
      <c r="AD84" s="18">
        <f t="shared" si="9"/>
        <v>0.107073866249655</v>
      </c>
      <c r="AE84" s="9">
        <f>AE82+AE83</f>
        <v>59</v>
      </c>
      <c r="AF84" s="18">
        <f t="shared" si="10"/>
        <v>0.0389438943894389</v>
      </c>
    </row>
    <row r="85" ht="16" customHeight="1" spans="1:32">
      <c r="A85" s="1" t="s">
        <v>65</v>
      </c>
      <c r="B85" s="7" t="s">
        <v>33</v>
      </c>
      <c r="C85" s="9"/>
      <c r="D85" s="9">
        <v>329.9</v>
      </c>
      <c r="E85" s="9">
        <v>1297.4</v>
      </c>
      <c r="F85" s="9">
        <v>1094.8</v>
      </c>
      <c r="G85" s="18">
        <f t="shared" si="0"/>
        <v>0.843841529212271</v>
      </c>
      <c r="H85" s="18">
        <f t="shared" si="1"/>
        <v>1.68633540372671</v>
      </c>
      <c r="I85" s="9">
        <v>32.2</v>
      </c>
      <c r="J85" s="9">
        <v>0</v>
      </c>
      <c r="K85" s="18">
        <f t="shared" si="2"/>
        <v>0.0248188685062433</v>
      </c>
      <c r="L85" s="9">
        <v>5.6</v>
      </c>
      <c r="M85" s="9">
        <v>4.2</v>
      </c>
      <c r="N85" s="18">
        <f t="shared" si="3"/>
        <v>0.00430239704978488</v>
      </c>
      <c r="O85" s="9">
        <v>462.8</v>
      </c>
      <c r="P85" s="9">
        <v>462.8</v>
      </c>
      <c r="Q85" s="18">
        <f t="shared" si="4"/>
        <v>0.262924667651403</v>
      </c>
      <c r="R85" s="9">
        <v>944.6</v>
      </c>
      <c r="S85" s="18">
        <f t="shared" si="5"/>
        <v>0.728071527670726</v>
      </c>
      <c r="T85" s="9">
        <v>145.6</v>
      </c>
      <c r="U85" s="18">
        <f t="shared" si="6"/>
        <v>0.154139318229939</v>
      </c>
      <c r="V85" s="9">
        <v>15.8</v>
      </c>
      <c r="W85" s="9">
        <v>2.6</v>
      </c>
      <c r="X85" s="18">
        <f t="shared" si="7"/>
        <v>0.0121538461538462</v>
      </c>
      <c r="Y85" s="9">
        <v>61.2</v>
      </c>
      <c r="Z85" s="9">
        <v>4.6</v>
      </c>
      <c r="AA85" s="18">
        <f t="shared" si="8"/>
        <v>0.0470046082949309</v>
      </c>
      <c r="AB85" s="9">
        <v>143.8</v>
      </c>
      <c r="AC85" s="9">
        <v>22.4</v>
      </c>
      <c r="AD85" s="18">
        <f t="shared" si="9"/>
        <v>0.108955902409456</v>
      </c>
      <c r="AE85" s="9">
        <v>34.6</v>
      </c>
      <c r="AF85" s="18">
        <f t="shared" si="10"/>
        <v>0.0366292610628838</v>
      </c>
    </row>
    <row r="86" ht="16" customHeight="1" spans="1:32">
      <c r="A86" s="1" t="s">
        <v>65</v>
      </c>
      <c r="B86" s="7" t="s">
        <v>35</v>
      </c>
      <c r="C86" s="9"/>
      <c r="D86" s="9">
        <v>398.9</v>
      </c>
      <c r="E86" s="9">
        <v>1283</v>
      </c>
      <c r="F86" s="9">
        <v>1090.2</v>
      </c>
      <c r="G86" s="18">
        <f t="shared" si="0"/>
        <v>0.849727201870616</v>
      </c>
      <c r="H86" s="18">
        <f t="shared" si="1"/>
        <v>1.83819482663731</v>
      </c>
      <c r="I86" s="9">
        <v>52.8</v>
      </c>
      <c r="J86" s="9">
        <v>0.4</v>
      </c>
      <c r="K86" s="18">
        <f t="shared" si="2"/>
        <v>0.0411407199625993</v>
      </c>
      <c r="L86" s="9">
        <v>46.8</v>
      </c>
      <c r="M86" s="9">
        <v>15.2</v>
      </c>
      <c r="N86" s="18">
        <f t="shared" si="3"/>
        <v>0.0360499152672932</v>
      </c>
      <c r="O86" s="9">
        <v>428.8</v>
      </c>
      <c r="P86" s="9">
        <v>428.8</v>
      </c>
      <c r="Q86" s="18">
        <f t="shared" si="4"/>
        <v>0.25049655333567</v>
      </c>
      <c r="R86" s="9">
        <v>849.2</v>
      </c>
      <c r="S86" s="18">
        <f t="shared" si="5"/>
        <v>0.661886204208885</v>
      </c>
      <c r="T86" s="9">
        <v>296.8</v>
      </c>
      <c r="U86" s="18">
        <f t="shared" si="6"/>
        <v>0.34950541686293</v>
      </c>
      <c r="V86" s="9">
        <v>20.6</v>
      </c>
      <c r="W86" s="9">
        <v>1.4</v>
      </c>
      <c r="X86" s="18">
        <f t="shared" si="7"/>
        <v>0.0160386172531922</v>
      </c>
      <c r="Y86" s="9">
        <v>127.2</v>
      </c>
      <c r="Z86" s="9">
        <v>4.4</v>
      </c>
      <c r="AA86" s="18">
        <f t="shared" si="8"/>
        <v>0.0988037905856766</v>
      </c>
      <c r="AB86" s="9">
        <v>141.6</v>
      </c>
      <c r="AC86" s="9">
        <v>20</v>
      </c>
      <c r="AD86" s="18">
        <f t="shared" si="9"/>
        <v>0.108672294704528</v>
      </c>
      <c r="AE86" s="9">
        <v>40.2</v>
      </c>
      <c r="AF86" s="18">
        <f t="shared" si="10"/>
        <v>0.0473386716910033</v>
      </c>
    </row>
    <row r="87" ht="16" customHeight="1" spans="1:32">
      <c r="A87" s="1" t="s">
        <v>65</v>
      </c>
      <c r="B87" s="7" t="s">
        <v>36</v>
      </c>
      <c r="C87" s="9"/>
      <c r="D87" s="9">
        <f>D85+D86</f>
        <v>728.8</v>
      </c>
      <c r="E87" s="9">
        <f>E85+E86</f>
        <v>2580.4</v>
      </c>
      <c r="F87" s="9">
        <f>F85+F86</f>
        <v>2185</v>
      </c>
      <c r="G87" s="18">
        <f t="shared" si="0"/>
        <v>0.846767942954581</v>
      </c>
      <c r="H87" s="18">
        <f t="shared" si="1"/>
        <v>1.7621052631579</v>
      </c>
      <c r="I87" s="9">
        <f>I85+I86</f>
        <v>85</v>
      </c>
      <c r="J87" s="9">
        <f>J85+J86</f>
        <v>0.4</v>
      </c>
      <c r="K87" s="18">
        <f t="shared" si="2"/>
        <v>0.0329355238685679</v>
      </c>
      <c r="L87" s="9">
        <f>L85+L86</f>
        <v>52.4</v>
      </c>
      <c r="M87" s="9">
        <f>M85+M86</f>
        <v>19.4</v>
      </c>
      <c r="N87" s="18">
        <f t="shared" si="3"/>
        <v>0.0201553965689668</v>
      </c>
      <c r="O87" s="9">
        <f>O85+O86</f>
        <v>891.6</v>
      </c>
      <c r="P87" s="9">
        <f>P85+P86</f>
        <v>891.6</v>
      </c>
      <c r="Q87" s="18">
        <f t="shared" si="4"/>
        <v>0.256797235023041</v>
      </c>
      <c r="R87" s="9">
        <f>R85+R86</f>
        <v>1793.8</v>
      </c>
      <c r="S87" s="18">
        <f t="shared" si="5"/>
        <v>0.695163540536351</v>
      </c>
      <c r="T87" s="9">
        <f>T85+T86</f>
        <v>442.4</v>
      </c>
      <c r="U87" s="18">
        <f t="shared" si="6"/>
        <v>0.24662727171368</v>
      </c>
      <c r="V87" s="9">
        <f>V85+V86</f>
        <v>36.4</v>
      </c>
      <c r="W87" s="9">
        <f>W85+W86</f>
        <v>4</v>
      </c>
      <c r="X87" s="18">
        <f t="shared" si="7"/>
        <v>0.0140845070422535</v>
      </c>
      <c r="Y87" s="9">
        <f>Y85+Y86</f>
        <v>188.4</v>
      </c>
      <c r="Z87" s="9">
        <f>Z85+Z86</f>
        <v>9</v>
      </c>
      <c r="AA87" s="18">
        <f t="shared" si="8"/>
        <v>0.0727581679153472</v>
      </c>
      <c r="AB87" s="9">
        <f>AB85+AB86</f>
        <v>285.4</v>
      </c>
      <c r="AC87" s="9">
        <f>AC85+AC86</f>
        <v>42.4</v>
      </c>
      <c r="AD87" s="18">
        <f t="shared" si="9"/>
        <v>0.108815006862895</v>
      </c>
      <c r="AE87" s="9">
        <f>AE85+AE86</f>
        <v>74.8</v>
      </c>
      <c r="AF87" s="18">
        <f t="shared" si="10"/>
        <v>0.0416991860854053</v>
      </c>
    </row>
    <row r="88" ht="16" customHeight="1" spans="1:32">
      <c r="A88" s="1" t="s">
        <v>66</v>
      </c>
      <c r="B88" s="7" t="s">
        <v>33</v>
      </c>
      <c r="C88" s="9"/>
      <c r="D88" s="9">
        <v>367.3</v>
      </c>
      <c r="E88" s="9">
        <v>1204.2</v>
      </c>
      <c r="F88" s="9">
        <v>1014</v>
      </c>
      <c r="G88" s="18">
        <f t="shared" si="0"/>
        <v>0.842052815146985</v>
      </c>
      <c r="H88" s="18">
        <f t="shared" si="1"/>
        <v>1.71558185404339</v>
      </c>
      <c r="I88" s="9">
        <v>35.4</v>
      </c>
      <c r="J88" s="9">
        <v>0.2</v>
      </c>
      <c r="K88" s="18">
        <f t="shared" si="2"/>
        <v>0.0293922284955164</v>
      </c>
      <c r="L88" s="9">
        <v>4.2</v>
      </c>
      <c r="M88" s="9">
        <v>4.6</v>
      </c>
      <c r="N88" s="18">
        <f t="shared" si="3"/>
        <v>0.00347452018530774</v>
      </c>
      <c r="O88" s="9">
        <v>452.6</v>
      </c>
      <c r="P88" s="9">
        <v>452.6</v>
      </c>
      <c r="Q88" s="18">
        <f t="shared" si="4"/>
        <v>0.27317720907774</v>
      </c>
      <c r="R88" s="9">
        <v>862.4</v>
      </c>
      <c r="S88" s="18">
        <f t="shared" si="5"/>
        <v>0.716160106294635</v>
      </c>
      <c r="T88" s="9">
        <v>143.6</v>
      </c>
      <c r="U88" s="18">
        <f t="shared" si="6"/>
        <v>0.166512059369202</v>
      </c>
      <c r="V88" s="9">
        <v>13.4</v>
      </c>
      <c r="W88" s="9">
        <v>1.8</v>
      </c>
      <c r="X88" s="18">
        <f t="shared" si="7"/>
        <v>0.0111111111111111</v>
      </c>
      <c r="Y88" s="9">
        <v>65.8</v>
      </c>
      <c r="Z88" s="9">
        <v>5.2</v>
      </c>
      <c r="AA88" s="18">
        <f t="shared" si="8"/>
        <v>0.0544071440383661</v>
      </c>
      <c r="AB88" s="9">
        <v>128.6</v>
      </c>
      <c r="AC88" s="9">
        <v>21.4</v>
      </c>
      <c r="AD88" s="18">
        <f t="shared" si="9"/>
        <v>0.10492819843342</v>
      </c>
      <c r="AE88" s="9">
        <v>33.6</v>
      </c>
      <c r="AF88" s="18">
        <f t="shared" si="10"/>
        <v>0.038961038961039</v>
      </c>
    </row>
    <row r="89" ht="16" customHeight="1" spans="1:32">
      <c r="A89" s="1" t="s">
        <v>66</v>
      </c>
      <c r="B89" s="7" t="s">
        <v>35</v>
      </c>
      <c r="C89" s="9"/>
      <c r="D89" s="9">
        <v>762.7</v>
      </c>
      <c r="E89" s="9">
        <v>1966</v>
      </c>
      <c r="F89" s="9">
        <v>1747.6</v>
      </c>
      <c r="G89" s="18">
        <f t="shared" si="0"/>
        <v>0.888911495422177</v>
      </c>
      <c r="H89" s="18">
        <f t="shared" si="1"/>
        <v>1.95342183566033</v>
      </c>
      <c r="I89" s="9">
        <v>60.8</v>
      </c>
      <c r="J89" s="9">
        <v>0.4</v>
      </c>
      <c r="K89" s="18">
        <f t="shared" si="2"/>
        <v>0.0309194467046379</v>
      </c>
      <c r="L89" s="9">
        <v>36</v>
      </c>
      <c r="M89" s="9">
        <v>20.6</v>
      </c>
      <c r="N89" s="18">
        <f t="shared" si="3"/>
        <v>0.0181214134702507</v>
      </c>
      <c r="O89" s="9">
        <v>824.4</v>
      </c>
      <c r="P89" s="9">
        <v>824.4</v>
      </c>
      <c r="Q89" s="18">
        <f t="shared" si="4"/>
        <v>0.295441513761468</v>
      </c>
      <c r="R89" s="9">
        <v>1461.2</v>
      </c>
      <c r="S89" s="18">
        <f t="shared" si="5"/>
        <v>0.74323499491353</v>
      </c>
      <c r="T89" s="9">
        <v>466.4</v>
      </c>
      <c r="U89" s="18">
        <f t="shared" si="6"/>
        <v>0.319189707090063</v>
      </c>
      <c r="V89" s="9">
        <v>35.6</v>
      </c>
      <c r="W89" s="9">
        <v>2.8</v>
      </c>
      <c r="X89" s="18">
        <f t="shared" si="7"/>
        <v>0.0180820804550996</v>
      </c>
      <c r="Y89" s="9">
        <v>199.4</v>
      </c>
      <c r="Z89" s="9">
        <v>8.6</v>
      </c>
      <c r="AA89" s="18">
        <f t="shared" si="8"/>
        <v>0.10098247746379</v>
      </c>
      <c r="AB89" s="9">
        <v>276.4</v>
      </c>
      <c r="AC89" s="9">
        <v>38.2</v>
      </c>
      <c r="AD89" s="18">
        <f t="shared" si="9"/>
        <v>0.137910388184812</v>
      </c>
      <c r="AE89" s="9">
        <v>53.6</v>
      </c>
      <c r="AF89" s="18">
        <f t="shared" si="10"/>
        <v>0.0366821790309335</v>
      </c>
    </row>
    <row r="90" ht="16" customHeight="1" spans="1:32">
      <c r="A90" s="1" t="s">
        <v>66</v>
      </c>
      <c r="B90" s="7" t="s">
        <v>36</v>
      </c>
      <c r="C90" s="9"/>
      <c r="D90" s="9">
        <f>D88+D89</f>
        <v>1130</v>
      </c>
      <c r="E90" s="9">
        <f>E88+E89</f>
        <v>3170.2</v>
      </c>
      <c r="F90" s="9">
        <f>F88+F89</f>
        <v>2761.6</v>
      </c>
      <c r="G90" s="18">
        <f t="shared" si="0"/>
        <v>0.871112232666709</v>
      </c>
      <c r="H90" s="18">
        <f t="shared" si="1"/>
        <v>1.86609212050985</v>
      </c>
      <c r="I90" s="9">
        <f>I88+I89</f>
        <v>96.2</v>
      </c>
      <c r="J90" s="9">
        <f>J88+J89</f>
        <v>0.6</v>
      </c>
      <c r="K90" s="18">
        <f t="shared" si="2"/>
        <v>0.0303393465371515</v>
      </c>
      <c r="L90" s="9">
        <f>L88+L89</f>
        <v>40.2</v>
      </c>
      <c r="M90" s="9">
        <f>M88+M89</f>
        <v>25.2</v>
      </c>
      <c r="N90" s="18">
        <f t="shared" si="3"/>
        <v>0.0125805845903486</v>
      </c>
      <c r="O90" s="9">
        <f>O88+O89</f>
        <v>1277</v>
      </c>
      <c r="P90" s="9">
        <f>P88+P89</f>
        <v>1277</v>
      </c>
      <c r="Q90" s="18">
        <f t="shared" si="4"/>
        <v>0.287146968879295</v>
      </c>
      <c r="R90" s="9">
        <f>R88+R89</f>
        <v>2323.6</v>
      </c>
      <c r="S90" s="18">
        <f t="shared" si="5"/>
        <v>0.732950602485648</v>
      </c>
      <c r="T90" s="9">
        <f>T88+T89</f>
        <v>610</v>
      </c>
      <c r="U90" s="18">
        <f t="shared" si="6"/>
        <v>0.262523670166982</v>
      </c>
      <c r="V90" s="9">
        <f>V88+V89</f>
        <v>49</v>
      </c>
      <c r="W90" s="9">
        <f>W88+W89</f>
        <v>4.6</v>
      </c>
      <c r="X90" s="18">
        <f t="shared" si="7"/>
        <v>0.0154340430893285</v>
      </c>
      <c r="Y90" s="9">
        <f>Y88+Y89</f>
        <v>265.2</v>
      </c>
      <c r="Z90" s="9">
        <f>Z88+Z89</f>
        <v>13.8</v>
      </c>
      <c r="AA90" s="18">
        <f t="shared" si="8"/>
        <v>0.0832914572864322</v>
      </c>
      <c r="AB90" s="9">
        <f>AB88+AB89</f>
        <v>405</v>
      </c>
      <c r="AC90" s="9">
        <f>AC88+AC89</f>
        <v>59.6</v>
      </c>
      <c r="AD90" s="18">
        <f t="shared" si="9"/>
        <v>0.125394761285529</v>
      </c>
      <c r="AE90" s="9">
        <f>AE88+AE89</f>
        <v>87.2</v>
      </c>
      <c r="AF90" s="18">
        <f t="shared" si="10"/>
        <v>0.0375279738337063</v>
      </c>
    </row>
    <row r="91" ht="16" customHeight="1" spans="1:32">
      <c r="A91" s="1" t="s">
        <v>67</v>
      </c>
      <c r="B91" s="7" t="s">
        <v>33</v>
      </c>
      <c r="C91" s="9"/>
      <c r="D91" s="9">
        <v>377.2</v>
      </c>
      <c r="E91" s="9">
        <v>1313.6</v>
      </c>
      <c r="F91" s="9">
        <v>1078</v>
      </c>
      <c r="G91" s="18">
        <f t="shared" si="0"/>
        <v>0.820645554202193</v>
      </c>
      <c r="H91" s="18">
        <f t="shared" si="1"/>
        <v>1.70538033395176</v>
      </c>
      <c r="I91" s="9">
        <v>32</v>
      </c>
      <c r="J91" s="9">
        <v>0.8</v>
      </c>
      <c r="K91" s="18">
        <f t="shared" si="2"/>
        <v>0.0243457090687766</v>
      </c>
      <c r="L91" s="9">
        <v>4.2</v>
      </c>
      <c r="M91" s="9">
        <v>5.4</v>
      </c>
      <c r="N91" s="18">
        <f t="shared" si="3"/>
        <v>0.00318423047763457</v>
      </c>
      <c r="O91" s="9">
        <v>476.6</v>
      </c>
      <c r="P91" s="9">
        <v>476.6</v>
      </c>
      <c r="Q91" s="18">
        <f t="shared" si="4"/>
        <v>0.266227237180203</v>
      </c>
      <c r="R91" s="9">
        <v>914.8</v>
      </c>
      <c r="S91" s="18">
        <f t="shared" si="5"/>
        <v>0.696406820950061</v>
      </c>
      <c r="T91" s="9">
        <v>156.2</v>
      </c>
      <c r="U91" s="18">
        <f t="shared" si="6"/>
        <v>0.170747704416266</v>
      </c>
      <c r="V91" s="9">
        <v>17.8</v>
      </c>
      <c r="W91" s="9">
        <v>1.4</v>
      </c>
      <c r="X91" s="18">
        <f t="shared" si="7"/>
        <v>0.0135361216730038</v>
      </c>
      <c r="Y91" s="9">
        <v>67.8</v>
      </c>
      <c r="Z91" s="9">
        <v>6</v>
      </c>
      <c r="AA91" s="18">
        <f t="shared" si="8"/>
        <v>0.0513792058199454</v>
      </c>
      <c r="AB91" s="9">
        <v>126</v>
      </c>
      <c r="AC91" s="9">
        <v>24.4</v>
      </c>
      <c r="AD91" s="18">
        <f t="shared" si="9"/>
        <v>0.0941704035874439</v>
      </c>
      <c r="AE91" s="9">
        <v>43</v>
      </c>
      <c r="AF91" s="18">
        <f t="shared" si="10"/>
        <v>0.0470048097944906</v>
      </c>
    </row>
    <row r="92" ht="16" customHeight="1" spans="1:32">
      <c r="A92" s="1" t="s">
        <v>67</v>
      </c>
      <c r="B92" s="7" t="s">
        <v>35</v>
      </c>
      <c r="C92" s="9"/>
      <c r="D92" s="9">
        <v>539.5</v>
      </c>
      <c r="E92" s="9">
        <v>1611</v>
      </c>
      <c r="F92" s="9">
        <v>1385.8</v>
      </c>
      <c r="G92" s="18">
        <f t="shared" si="0"/>
        <v>0.860211049037865</v>
      </c>
      <c r="H92" s="18">
        <f t="shared" si="1"/>
        <v>1.87573964497041</v>
      </c>
      <c r="I92" s="9">
        <v>43</v>
      </c>
      <c r="J92" s="9">
        <v>0.6</v>
      </c>
      <c r="K92" s="18">
        <f t="shared" si="2"/>
        <v>0.0266815586994291</v>
      </c>
      <c r="L92" s="9">
        <v>29.4</v>
      </c>
      <c r="M92" s="9">
        <v>13.4</v>
      </c>
      <c r="N92" s="18">
        <f t="shared" si="3"/>
        <v>0.0180989903964541</v>
      </c>
      <c r="O92" s="9">
        <v>584.2</v>
      </c>
      <c r="P92" s="9">
        <v>584.2</v>
      </c>
      <c r="Q92" s="18">
        <f t="shared" si="4"/>
        <v>0.266126093294461</v>
      </c>
      <c r="R92" s="9">
        <v>1142</v>
      </c>
      <c r="S92" s="18">
        <f t="shared" si="5"/>
        <v>0.708876474239603</v>
      </c>
      <c r="T92" s="9">
        <v>376</v>
      </c>
      <c r="U92" s="18">
        <f t="shared" si="6"/>
        <v>0.329246935201401</v>
      </c>
      <c r="V92" s="9">
        <v>21.8</v>
      </c>
      <c r="W92" s="9">
        <v>2</v>
      </c>
      <c r="X92" s="18">
        <f t="shared" si="7"/>
        <v>0.0135151890886547</v>
      </c>
      <c r="Y92" s="9">
        <v>160.4</v>
      </c>
      <c r="Z92" s="9">
        <v>5.8</v>
      </c>
      <c r="AA92" s="18">
        <f t="shared" si="8"/>
        <v>0.099208312716477</v>
      </c>
      <c r="AB92" s="9">
        <v>198</v>
      </c>
      <c r="AC92" s="9">
        <v>35</v>
      </c>
      <c r="AD92" s="18">
        <f t="shared" si="9"/>
        <v>0.120291616038882</v>
      </c>
      <c r="AE92" s="9">
        <v>44.6</v>
      </c>
      <c r="AF92" s="18">
        <f t="shared" si="10"/>
        <v>0.0390542907180385</v>
      </c>
    </row>
    <row r="93" ht="16" customHeight="1" spans="1:32">
      <c r="A93" s="1" t="s">
        <v>67</v>
      </c>
      <c r="B93" s="7" t="s">
        <v>36</v>
      </c>
      <c r="C93" s="9"/>
      <c r="D93" s="9">
        <f>D91+D92</f>
        <v>916.7</v>
      </c>
      <c r="E93" s="9">
        <f>E91+E92</f>
        <v>2924.6</v>
      </c>
      <c r="F93" s="9">
        <f>F91+F92</f>
        <v>2463.8</v>
      </c>
      <c r="G93" s="18">
        <f t="shared" si="0"/>
        <v>0.84243999179375</v>
      </c>
      <c r="H93" s="18">
        <f t="shared" si="1"/>
        <v>1.80120139621723</v>
      </c>
      <c r="I93" s="9">
        <f>I91+I92</f>
        <v>75</v>
      </c>
      <c r="J93" s="9">
        <f>J91+J92</f>
        <v>1.4</v>
      </c>
      <c r="K93" s="18">
        <f t="shared" si="2"/>
        <v>0.0256322624743677</v>
      </c>
      <c r="L93" s="9">
        <f>L91+L92</f>
        <v>33.6</v>
      </c>
      <c r="M93" s="9">
        <f>M91+M92</f>
        <v>18.8</v>
      </c>
      <c r="N93" s="18">
        <f t="shared" si="3"/>
        <v>0.0114153699802949</v>
      </c>
      <c r="O93" s="9">
        <f>O91+O92</f>
        <v>1060.8</v>
      </c>
      <c r="P93" s="9">
        <f>P91+P92</f>
        <v>1060.8</v>
      </c>
      <c r="Q93" s="18">
        <f t="shared" si="4"/>
        <v>0.266171526070156</v>
      </c>
      <c r="R93" s="9">
        <f>R91+R92</f>
        <v>2056.8</v>
      </c>
      <c r="S93" s="18">
        <f t="shared" si="5"/>
        <v>0.703275661628941</v>
      </c>
      <c r="T93" s="9">
        <f>T91+T92</f>
        <v>532.2</v>
      </c>
      <c r="U93" s="18">
        <f t="shared" si="6"/>
        <v>0.258751458576429</v>
      </c>
      <c r="V93" s="9">
        <f>V91+V92</f>
        <v>39.6</v>
      </c>
      <c r="W93" s="9">
        <f>W91+W92</f>
        <v>3.4</v>
      </c>
      <c r="X93" s="18">
        <f t="shared" si="7"/>
        <v>0.0135245901639344</v>
      </c>
      <c r="Y93" s="9">
        <f>Y91+Y92</f>
        <v>228.2</v>
      </c>
      <c r="Z93" s="9">
        <f>Z91+Z92</f>
        <v>11.8</v>
      </c>
      <c r="AA93" s="18">
        <f t="shared" si="8"/>
        <v>0.0777142078735867</v>
      </c>
      <c r="AB93" s="9">
        <f>AB91+AB92</f>
        <v>324</v>
      </c>
      <c r="AC93" s="9">
        <f>AC91+AC92</f>
        <v>59.4</v>
      </c>
      <c r="AD93" s="18">
        <f t="shared" si="9"/>
        <v>0.10857908847185</v>
      </c>
      <c r="AE93" s="9">
        <f>AE91+AE92</f>
        <v>87.6</v>
      </c>
      <c r="AF93" s="18">
        <f t="shared" si="10"/>
        <v>0.0425904317386231</v>
      </c>
    </row>
    <row r="94" ht="16" customHeight="1" spans="1:32">
      <c r="A94" s="1" t="s">
        <v>68</v>
      </c>
      <c r="B94" s="7" t="s">
        <v>33</v>
      </c>
      <c r="C94" s="9"/>
      <c r="D94" s="9">
        <v>391.8</v>
      </c>
      <c r="E94" s="9">
        <v>1363.2</v>
      </c>
      <c r="F94" s="9">
        <v>1103.2</v>
      </c>
      <c r="G94" s="18">
        <f t="shared" si="0"/>
        <v>0.809272300469484</v>
      </c>
      <c r="H94" s="18">
        <f t="shared" si="1"/>
        <v>1.69615663524293</v>
      </c>
      <c r="I94" s="9">
        <v>29.6</v>
      </c>
      <c r="J94" s="9">
        <v>0</v>
      </c>
      <c r="K94" s="18">
        <f t="shared" si="2"/>
        <v>0.0217136150234742</v>
      </c>
      <c r="L94" s="9">
        <v>8.4</v>
      </c>
      <c r="M94" s="9">
        <v>5.8</v>
      </c>
      <c r="N94" s="18">
        <f t="shared" si="3"/>
        <v>0.00613586559532505</v>
      </c>
      <c r="O94" s="9">
        <v>471</v>
      </c>
      <c r="P94" s="9">
        <v>471</v>
      </c>
      <c r="Q94" s="18">
        <f t="shared" si="4"/>
        <v>0.25678770035983</v>
      </c>
      <c r="R94" s="9">
        <v>928.6</v>
      </c>
      <c r="S94" s="18">
        <f t="shared" si="5"/>
        <v>0.681191314553991</v>
      </c>
      <c r="T94" s="9">
        <v>153.6</v>
      </c>
      <c r="U94" s="18">
        <f t="shared" si="6"/>
        <v>0.165410295067844</v>
      </c>
      <c r="V94" s="9">
        <v>17.8</v>
      </c>
      <c r="W94" s="9">
        <v>1.6</v>
      </c>
      <c r="X94" s="18">
        <f t="shared" si="7"/>
        <v>0.013042203985932</v>
      </c>
      <c r="Y94" s="9">
        <v>83.6</v>
      </c>
      <c r="Z94" s="9">
        <v>4.2</v>
      </c>
      <c r="AA94" s="18">
        <f t="shared" si="8"/>
        <v>0.0611379259909317</v>
      </c>
      <c r="AB94" s="9">
        <v>128.8</v>
      </c>
      <c r="AC94" s="9">
        <v>23.8</v>
      </c>
      <c r="AD94" s="18">
        <f t="shared" si="9"/>
        <v>0.0928622927180966</v>
      </c>
      <c r="AE94" s="9">
        <v>49.8</v>
      </c>
      <c r="AF94" s="18">
        <f t="shared" si="10"/>
        <v>0.0536291191040276</v>
      </c>
    </row>
    <row r="95" ht="16" customHeight="1" spans="1:32">
      <c r="A95" s="1" t="s">
        <v>68</v>
      </c>
      <c r="B95" s="7" t="s">
        <v>35</v>
      </c>
      <c r="C95" s="9"/>
      <c r="D95" s="9">
        <v>524.4</v>
      </c>
      <c r="E95" s="9">
        <v>1606.8</v>
      </c>
      <c r="F95" s="9">
        <v>1379</v>
      </c>
      <c r="G95" s="18">
        <f t="shared" si="0"/>
        <v>0.858227532984815</v>
      </c>
      <c r="H95" s="18">
        <f t="shared" si="1"/>
        <v>1.82741116751269</v>
      </c>
      <c r="I95" s="9">
        <v>40.6</v>
      </c>
      <c r="J95" s="9">
        <v>0.6</v>
      </c>
      <c r="K95" s="18">
        <f t="shared" si="2"/>
        <v>0.0252581809132761</v>
      </c>
      <c r="L95" s="9">
        <v>45.4</v>
      </c>
      <c r="M95" s="9">
        <v>12.6</v>
      </c>
      <c r="N95" s="18">
        <f t="shared" si="3"/>
        <v>0.0280350747190317</v>
      </c>
      <c r="O95" s="9">
        <v>526.4</v>
      </c>
      <c r="P95" s="9">
        <v>526.4</v>
      </c>
      <c r="Q95" s="18">
        <f t="shared" si="4"/>
        <v>0.246765422838927</v>
      </c>
      <c r="R95" s="9">
        <v>1101.4</v>
      </c>
      <c r="S95" s="18">
        <f t="shared" si="5"/>
        <v>0.685461787403535</v>
      </c>
      <c r="T95" s="9">
        <v>362.4</v>
      </c>
      <c r="U95" s="18">
        <f t="shared" si="6"/>
        <v>0.329035772652987</v>
      </c>
      <c r="V95" s="9">
        <v>26.8</v>
      </c>
      <c r="W95" s="9">
        <v>2.6</v>
      </c>
      <c r="X95" s="18">
        <f t="shared" si="7"/>
        <v>0.0166521685100037</v>
      </c>
      <c r="Y95" s="9">
        <v>174.4</v>
      </c>
      <c r="Z95" s="9">
        <v>5.4</v>
      </c>
      <c r="AA95" s="18">
        <f t="shared" si="8"/>
        <v>0.108175164371666</v>
      </c>
      <c r="AB95" s="9">
        <v>195.4</v>
      </c>
      <c r="AC95" s="9">
        <v>28</v>
      </c>
      <c r="AD95" s="18">
        <f t="shared" si="9"/>
        <v>0.119525324198679</v>
      </c>
      <c r="AE95" s="9">
        <v>47.2</v>
      </c>
      <c r="AF95" s="18">
        <f t="shared" si="10"/>
        <v>0.0428545487561286</v>
      </c>
    </row>
    <row r="96" ht="16" customHeight="1" spans="1:32">
      <c r="A96" s="1" t="s">
        <v>68</v>
      </c>
      <c r="B96" s="7" t="s">
        <v>36</v>
      </c>
      <c r="C96" s="9"/>
      <c r="D96" s="9">
        <f>D94+D95</f>
        <v>916.2</v>
      </c>
      <c r="E96" s="9">
        <f>E94+E95</f>
        <v>2970</v>
      </c>
      <c r="F96" s="9">
        <f>F94+F95</f>
        <v>2482.2</v>
      </c>
      <c r="G96" s="18">
        <f t="shared" si="0"/>
        <v>0.835757575757576</v>
      </c>
      <c r="H96" s="18">
        <f t="shared" si="1"/>
        <v>1.76907581983724</v>
      </c>
      <c r="I96" s="9">
        <f>I94+I95</f>
        <v>70.2</v>
      </c>
      <c r="J96" s="9">
        <f>J94+J95</f>
        <v>0.6</v>
      </c>
      <c r="K96" s="18">
        <f t="shared" si="2"/>
        <v>0.0236315895778631</v>
      </c>
      <c r="L96" s="9">
        <f>L94+L95</f>
        <v>53.8</v>
      </c>
      <c r="M96" s="9">
        <f>M94+M95</f>
        <v>18.4</v>
      </c>
      <c r="N96" s="18">
        <f t="shared" si="3"/>
        <v>0.0180029447195824</v>
      </c>
      <c r="O96" s="9">
        <f>O94+O95</f>
        <v>997.4</v>
      </c>
      <c r="P96" s="9">
        <f>P94+P95</f>
        <v>997.4</v>
      </c>
      <c r="Q96" s="18">
        <f t="shared" si="4"/>
        <v>0.251398901043505</v>
      </c>
      <c r="R96" s="9">
        <f>R94+R95</f>
        <v>2030</v>
      </c>
      <c r="S96" s="18">
        <f t="shared" si="5"/>
        <v>0.683501683501683</v>
      </c>
      <c r="T96" s="9">
        <f>T94+T95</f>
        <v>516</v>
      </c>
      <c r="U96" s="18">
        <f t="shared" si="6"/>
        <v>0.254187192118227</v>
      </c>
      <c r="V96" s="9">
        <f>V94+V95</f>
        <v>44.6</v>
      </c>
      <c r="W96" s="9">
        <f>W94+W95</f>
        <v>4.2</v>
      </c>
      <c r="X96" s="18">
        <f t="shared" si="7"/>
        <v>0.0149956290767265</v>
      </c>
      <c r="Y96" s="9">
        <f>Y94+Y95</f>
        <v>258</v>
      </c>
      <c r="Z96" s="9">
        <f>Z94+Z95</f>
        <v>9.6</v>
      </c>
      <c r="AA96" s="18">
        <f t="shared" si="8"/>
        <v>0.0865888038662908</v>
      </c>
      <c r="AB96" s="9">
        <f>AB94+AB95</f>
        <v>324.2</v>
      </c>
      <c r="AC96" s="9">
        <f>AC94+AC95</f>
        <v>51.8</v>
      </c>
      <c r="AD96" s="18">
        <f t="shared" si="9"/>
        <v>0.107287047455159</v>
      </c>
      <c r="AE96" s="9">
        <f>AE94+AE95</f>
        <v>97</v>
      </c>
      <c r="AF96" s="18">
        <f t="shared" si="10"/>
        <v>0.0477832512315271</v>
      </c>
    </row>
    <row r="97" ht="16" customHeight="1" spans="1:32">
      <c r="A97" s="1" t="s">
        <v>69</v>
      </c>
      <c r="B97" s="7" t="s">
        <v>33</v>
      </c>
      <c r="C97" s="9"/>
      <c r="D97" s="9">
        <v>202.8</v>
      </c>
      <c r="E97" s="9">
        <v>1011.6</v>
      </c>
      <c r="F97" s="9">
        <v>837</v>
      </c>
      <c r="G97" s="18">
        <f t="shared" si="0"/>
        <v>0.827402135231317</v>
      </c>
      <c r="H97" s="18">
        <f t="shared" si="1"/>
        <v>1.67885304659498</v>
      </c>
      <c r="I97" s="9">
        <v>21</v>
      </c>
      <c r="J97" s="9">
        <v>0</v>
      </c>
      <c r="K97" s="18">
        <f t="shared" si="2"/>
        <v>0.0207591933570581</v>
      </c>
      <c r="L97" s="9">
        <v>6</v>
      </c>
      <c r="M97" s="9">
        <v>3.6</v>
      </c>
      <c r="N97" s="18">
        <f t="shared" si="3"/>
        <v>0.00591016548463357</v>
      </c>
      <c r="O97" s="9">
        <v>353.8</v>
      </c>
      <c r="P97" s="9">
        <v>353.8</v>
      </c>
      <c r="Q97" s="18">
        <f t="shared" si="4"/>
        <v>0.259118207118793</v>
      </c>
      <c r="R97" s="9">
        <v>700.2</v>
      </c>
      <c r="S97" s="18">
        <f t="shared" si="5"/>
        <v>0.692170818505338</v>
      </c>
      <c r="T97" s="9">
        <v>109.2</v>
      </c>
      <c r="U97" s="18">
        <f t="shared" si="6"/>
        <v>0.155955441302485</v>
      </c>
      <c r="V97" s="9">
        <v>11.6</v>
      </c>
      <c r="W97" s="9">
        <v>1.6</v>
      </c>
      <c r="X97" s="18">
        <f t="shared" si="7"/>
        <v>0.0114488748519542</v>
      </c>
      <c r="Y97" s="9">
        <v>63</v>
      </c>
      <c r="Z97" s="9">
        <v>3.8</v>
      </c>
      <c r="AA97" s="18">
        <f t="shared" si="8"/>
        <v>0.0620445144770534</v>
      </c>
      <c r="AB97" s="9">
        <v>102.6</v>
      </c>
      <c r="AC97" s="9">
        <v>20.8</v>
      </c>
      <c r="AD97" s="18">
        <f t="shared" si="9"/>
        <v>0.0993800852382797</v>
      </c>
      <c r="AE97" s="9">
        <v>37.8</v>
      </c>
      <c r="AF97" s="18">
        <f t="shared" si="10"/>
        <v>0.0539845758354756</v>
      </c>
    </row>
    <row r="98" ht="16" customHeight="1" spans="1:32">
      <c r="A98" s="1" t="s">
        <v>69</v>
      </c>
      <c r="B98" s="7" t="s">
        <v>35</v>
      </c>
      <c r="C98" s="9"/>
      <c r="D98" s="9">
        <v>294</v>
      </c>
      <c r="E98" s="9">
        <v>1345.8</v>
      </c>
      <c r="F98" s="9">
        <v>1153.2</v>
      </c>
      <c r="G98" s="18">
        <f t="shared" si="0"/>
        <v>0.856888096299599</v>
      </c>
      <c r="H98" s="18">
        <f t="shared" si="1"/>
        <v>1.8338536246965</v>
      </c>
      <c r="I98" s="9">
        <v>30.4</v>
      </c>
      <c r="J98" s="9">
        <v>1.4</v>
      </c>
      <c r="K98" s="18">
        <f t="shared" si="2"/>
        <v>0.0225653206650831</v>
      </c>
      <c r="L98" s="9">
        <v>36.4</v>
      </c>
      <c r="M98" s="9">
        <v>12.4</v>
      </c>
      <c r="N98" s="18">
        <f t="shared" si="3"/>
        <v>0.0268001767044618</v>
      </c>
      <c r="O98" s="9">
        <v>446.8</v>
      </c>
      <c r="P98" s="9">
        <v>446.8</v>
      </c>
      <c r="Q98" s="18">
        <f t="shared" si="4"/>
        <v>0.249246903938414</v>
      </c>
      <c r="R98" s="9">
        <v>921.2</v>
      </c>
      <c r="S98" s="18">
        <f t="shared" si="5"/>
        <v>0.684499925694754</v>
      </c>
      <c r="T98" s="9">
        <v>319</v>
      </c>
      <c r="U98" s="18">
        <f t="shared" si="6"/>
        <v>0.346287451150673</v>
      </c>
      <c r="V98" s="9">
        <v>20.2</v>
      </c>
      <c r="W98" s="9">
        <v>2.8</v>
      </c>
      <c r="X98" s="18">
        <f t="shared" si="7"/>
        <v>0.0149784962183005</v>
      </c>
      <c r="Y98" s="9">
        <v>142.8</v>
      </c>
      <c r="Z98" s="9">
        <v>6.6</v>
      </c>
      <c r="AA98" s="18">
        <f t="shared" si="8"/>
        <v>0.105590062111801</v>
      </c>
      <c r="AB98" s="9">
        <v>163.6</v>
      </c>
      <c r="AC98" s="9">
        <v>21.6</v>
      </c>
      <c r="AD98" s="18">
        <f t="shared" si="9"/>
        <v>0.119643118326752</v>
      </c>
      <c r="AE98" s="9">
        <v>34.4</v>
      </c>
      <c r="AF98" s="18">
        <f t="shared" si="10"/>
        <v>0.0373425966131133</v>
      </c>
    </row>
    <row r="99" ht="16" customHeight="1" spans="1:39">
      <c r="A99" s="1" t="s">
        <v>69</v>
      </c>
      <c r="B99" s="7" t="s">
        <v>36</v>
      </c>
      <c r="C99" s="9"/>
      <c r="D99" s="9">
        <f>D97+D98</f>
        <v>496.8</v>
      </c>
      <c r="E99" s="9">
        <f>E97+E98</f>
        <v>2357.4</v>
      </c>
      <c r="F99" s="9">
        <f>F97+F98</f>
        <v>1990.2</v>
      </c>
      <c r="G99" s="18">
        <f t="shared" si="0"/>
        <v>0.844235174344617</v>
      </c>
      <c r="H99" s="18">
        <f t="shared" si="1"/>
        <v>1.76866646568184</v>
      </c>
      <c r="I99" s="9">
        <f>I97+I98</f>
        <v>51.4</v>
      </c>
      <c r="J99" s="9">
        <f>J97+J98</f>
        <v>1.4</v>
      </c>
      <c r="K99" s="18">
        <f t="shared" si="2"/>
        <v>0.0217907410547736</v>
      </c>
      <c r="L99" s="9">
        <f>L97+L98</f>
        <v>42.4</v>
      </c>
      <c r="M99" s="9">
        <f>M97+M98</f>
        <v>16</v>
      </c>
      <c r="N99" s="18">
        <f t="shared" si="3"/>
        <v>0.0178646667228449</v>
      </c>
      <c r="O99" s="9">
        <f>O97+O98</f>
        <v>800.6</v>
      </c>
      <c r="P99" s="9">
        <f>P97+P98</f>
        <v>800.6</v>
      </c>
      <c r="Q99" s="18">
        <f t="shared" si="4"/>
        <v>0.253514882837239</v>
      </c>
      <c r="R99" s="9">
        <f>R97+R98</f>
        <v>1621.4</v>
      </c>
      <c r="S99" s="18">
        <f t="shared" si="5"/>
        <v>0.687791634851956</v>
      </c>
      <c r="T99" s="9">
        <f>T97+T98</f>
        <v>428.2</v>
      </c>
      <c r="U99" s="18">
        <f t="shared" si="6"/>
        <v>0.264092759343777</v>
      </c>
      <c r="V99" s="9">
        <f>V97+V98</f>
        <v>31.8</v>
      </c>
      <c r="W99" s="9">
        <f>W97+W98</f>
        <v>4.4</v>
      </c>
      <c r="X99" s="18">
        <f t="shared" si="7"/>
        <v>0.0134643068845796</v>
      </c>
      <c r="Y99" s="9">
        <f>Y97+Y98</f>
        <v>205.8</v>
      </c>
      <c r="Z99" s="9">
        <f>Z97+Z98</f>
        <v>10.4</v>
      </c>
      <c r="AA99" s="18">
        <f t="shared" si="8"/>
        <v>0.086916124672692</v>
      </c>
      <c r="AB99" s="9">
        <f>AB97+AB98</f>
        <v>266.2</v>
      </c>
      <c r="AC99" s="9">
        <f>AC97+AC98</f>
        <v>42.4</v>
      </c>
      <c r="AD99" s="18">
        <f t="shared" si="9"/>
        <v>0.110925910492541</v>
      </c>
      <c r="AE99" s="9">
        <f>AE97+AE98</f>
        <v>72.2</v>
      </c>
      <c r="AF99" s="18">
        <f t="shared" si="10"/>
        <v>0.0445294190205995</v>
      </c>
      <c r="AH99" s="2" t="s">
        <v>157</v>
      </c>
      <c r="AM99" s="2" t="s">
        <v>158</v>
      </c>
    </row>
    <row r="100" ht="16" customHeight="1" spans="1:32">
      <c r="A100" s="1" t="s">
        <v>72</v>
      </c>
      <c r="B100" s="7" t="s">
        <v>33</v>
      </c>
      <c r="C100" s="9"/>
      <c r="D100" s="9">
        <v>415.6</v>
      </c>
      <c r="E100" s="9">
        <v>1373.2</v>
      </c>
      <c r="F100" s="9">
        <v>1157.8</v>
      </c>
      <c r="G100" s="18">
        <f t="shared" si="0"/>
        <v>0.843140110690358</v>
      </c>
      <c r="H100" s="18">
        <f t="shared" si="1"/>
        <v>1.70668509241665</v>
      </c>
      <c r="I100" s="9">
        <v>38.2</v>
      </c>
      <c r="J100" s="9">
        <v>0</v>
      </c>
      <c r="K100" s="18">
        <f t="shared" si="2"/>
        <v>0.0278182347800757</v>
      </c>
      <c r="L100" s="9">
        <v>5.4</v>
      </c>
      <c r="M100" s="9">
        <v>6.6</v>
      </c>
      <c r="N100" s="18">
        <f t="shared" si="3"/>
        <v>0.00391361066821279</v>
      </c>
      <c r="O100" s="9">
        <v>491</v>
      </c>
      <c r="P100" s="9">
        <v>491</v>
      </c>
      <c r="Q100" s="18">
        <f t="shared" si="4"/>
        <v>0.263383757107606</v>
      </c>
      <c r="R100" s="9">
        <v>982.2</v>
      </c>
      <c r="S100" s="18">
        <f t="shared" si="5"/>
        <v>0.715263617826973</v>
      </c>
      <c r="T100" s="9">
        <v>161.2</v>
      </c>
      <c r="U100" s="18">
        <f t="shared" si="6"/>
        <v>0.164121360211769</v>
      </c>
      <c r="V100" s="9">
        <v>16.8</v>
      </c>
      <c r="W100" s="9">
        <v>2.8</v>
      </c>
      <c r="X100" s="18">
        <f t="shared" si="7"/>
        <v>0.0122093023255814</v>
      </c>
      <c r="Y100" s="9">
        <v>80.8</v>
      </c>
      <c r="Z100" s="9">
        <v>5</v>
      </c>
      <c r="AA100" s="18">
        <f t="shared" si="8"/>
        <v>0.058627194891888</v>
      </c>
      <c r="AB100" s="9">
        <v>149.6</v>
      </c>
      <c r="AC100" s="9">
        <v>26</v>
      </c>
      <c r="AD100" s="18">
        <f t="shared" si="9"/>
        <v>0.106918238993711</v>
      </c>
      <c r="AE100" s="9">
        <v>50.8</v>
      </c>
      <c r="AF100" s="18">
        <f t="shared" si="10"/>
        <v>0.0517206271635105</v>
      </c>
    </row>
    <row r="101" ht="16" customHeight="1" spans="1:32">
      <c r="A101" s="1" t="s">
        <v>72</v>
      </c>
      <c r="B101" s="7" t="s">
        <v>35</v>
      </c>
      <c r="C101" s="9"/>
      <c r="D101" s="9">
        <v>532.4</v>
      </c>
      <c r="E101" s="9">
        <v>1626.4</v>
      </c>
      <c r="F101" s="9">
        <v>1403.2</v>
      </c>
      <c r="G101" s="18">
        <f t="shared" si="0"/>
        <v>0.862764387604525</v>
      </c>
      <c r="H101" s="18">
        <f t="shared" si="1"/>
        <v>1.85775370581528</v>
      </c>
      <c r="I101" s="9">
        <v>51.2</v>
      </c>
      <c r="J101" s="9">
        <v>0</v>
      </c>
      <c r="K101" s="18">
        <f t="shared" si="2"/>
        <v>0.0314805705853419</v>
      </c>
      <c r="L101" s="9">
        <v>60.2</v>
      </c>
      <c r="M101" s="9">
        <v>13.6</v>
      </c>
      <c r="N101" s="18">
        <f t="shared" si="3"/>
        <v>0.0367073170731707</v>
      </c>
      <c r="O101" s="9">
        <v>523.4</v>
      </c>
      <c r="P101" s="9">
        <v>523.4</v>
      </c>
      <c r="Q101" s="18">
        <f t="shared" si="4"/>
        <v>0.243464508326356</v>
      </c>
      <c r="R101" s="9">
        <v>1126</v>
      </c>
      <c r="S101" s="18">
        <f t="shared" si="5"/>
        <v>0.692326610919823</v>
      </c>
      <c r="T101" s="9">
        <v>368.6</v>
      </c>
      <c r="U101" s="18">
        <f t="shared" si="6"/>
        <v>0.327353463587922</v>
      </c>
      <c r="V101" s="9">
        <v>27.6</v>
      </c>
      <c r="W101" s="9">
        <v>2.2</v>
      </c>
      <c r="X101" s="18">
        <f t="shared" si="7"/>
        <v>0.0169470711040157</v>
      </c>
      <c r="Y101" s="9">
        <v>167.2</v>
      </c>
      <c r="Z101" s="9">
        <v>5</v>
      </c>
      <c r="AA101" s="18">
        <f t="shared" si="8"/>
        <v>0.102488660046586</v>
      </c>
      <c r="AB101" s="9">
        <v>241.4</v>
      </c>
      <c r="AC101" s="9">
        <v>33.2</v>
      </c>
      <c r="AD101" s="18">
        <f t="shared" si="9"/>
        <v>0.145456736563027</v>
      </c>
      <c r="AE101" s="9">
        <v>41.2</v>
      </c>
      <c r="AF101" s="18">
        <f t="shared" si="10"/>
        <v>0.0365896980461812</v>
      </c>
    </row>
    <row r="102" ht="16" customHeight="1" spans="1:32">
      <c r="A102" s="1" t="s">
        <v>72</v>
      </c>
      <c r="B102" s="7" t="s">
        <v>36</v>
      </c>
      <c r="C102" s="9"/>
      <c r="D102" s="9">
        <f>D100+D101</f>
        <v>948</v>
      </c>
      <c r="E102" s="9">
        <f>E100+E101</f>
        <v>2999.6</v>
      </c>
      <c r="F102" s="9">
        <f>F100+F101</f>
        <v>2561</v>
      </c>
      <c r="G102" s="18">
        <f t="shared" si="0"/>
        <v>0.853780504067209</v>
      </c>
      <c r="H102" s="18">
        <f t="shared" si="1"/>
        <v>1.78945724326435</v>
      </c>
      <c r="I102" s="9">
        <f>I100+I101</f>
        <v>89.4</v>
      </c>
      <c r="J102" s="9">
        <f>J100+J101</f>
        <v>0</v>
      </c>
      <c r="K102" s="18">
        <f t="shared" si="2"/>
        <v>0.0298039738631818</v>
      </c>
      <c r="L102" s="9">
        <f>L100+L101</f>
        <v>65.6</v>
      </c>
      <c r="M102" s="9">
        <f>M100+M101</f>
        <v>20.2</v>
      </c>
      <c r="N102" s="18">
        <f t="shared" si="3"/>
        <v>0.0217232929333068</v>
      </c>
      <c r="O102" s="9">
        <f>O100+O101</f>
        <v>1014.4</v>
      </c>
      <c r="P102" s="9">
        <f>P100+P101</f>
        <v>1014.4</v>
      </c>
      <c r="Q102" s="18">
        <f t="shared" si="4"/>
        <v>0.252715495764823</v>
      </c>
      <c r="R102" s="9">
        <f>R100+R101</f>
        <v>2108.2</v>
      </c>
      <c r="S102" s="18">
        <f t="shared" si="5"/>
        <v>0.702827043605814</v>
      </c>
      <c r="T102" s="9">
        <f>T100+T101</f>
        <v>529.8</v>
      </c>
      <c r="U102" s="18">
        <f t="shared" si="6"/>
        <v>0.251304430319704</v>
      </c>
      <c r="V102" s="9">
        <f>V100+V101</f>
        <v>44.4</v>
      </c>
      <c r="W102" s="9">
        <f>W100+W101</f>
        <v>5</v>
      </c>
      <c r="X102" s="18">
        <f t="shared" si="7"/>
        <v>0.0147773414098382</v>
      </c>
      <c r="Y102" s="9">
        <f>Y100+Y101</f>
        <v>248</v>
      </c>
      <c r="Z102" s="9">
        <f>Z100+Z101</f>
        <v>10</v>
      </c>
      <c r="AA102" s="18">
        <f t="shared" si="8"/>
        <v>0.0824029771398192</v>
      </c>
      <c r="AB102" s="9">
        <f>AB100+AB101</f>
        <v>391</v>
      </c>
      <c r="AC102" s="9">
        <f>AC100+AC101</f>
        <v>59.2</v>
      </c>
      <c r="AD102" s="18">
        <f t="shared" si="9"/>
        <v>0.127827906368511</v>
      </c>
      <c r="AE102" s="9">
        <f>AE100+AE101</f>
        <v>92</v>
      </c>
      <c r="AF102" s="18">
        <f t="shared" si="10"/>
        <v>0.0436391234228252</v>
      </c>
    </row>
    <row r="103" ht="16" customHeight="1" spans="1:32">
      <c r="A103" s="1" t="s">
        <v>73</v>
      </c>
      <c r="B103" s="7" t="s">
        <v>33</v>
      </c>
      <c r="C103" s="9"/>
      <c r="D103" s="9">
        <v>377.3</v>
      </c>
      <c r="E103" s="9">
        <v>1238</v>
      </c>
      <c r="F103" s="9">
        <v>1030.8</v>
      </c>
      <c r="G103" s="18">
        <f t="shared" si="0"/>
        <v>0.832633279483037</v>
      </c>
      <c r="H103" s="18">
        <f t="shared" si="1"/>
        <v>1.73767947225456</v>
      </c>
      <c r="I103" s="9">
        <v>36.2</v>
      </c>
      <c r="J103" s="9">
        <v>0.6</v>
      </c>
      <c r="K103" s="18">
        <f t="shared" si="2"/>
        <v>0.029226546100436</v>
      </c>
      <c r="L103" s="9">
        <v>7.6</v>
      </c>
      <c r="M103" s="9">
        <v>4.4</v>
      </c>
      <c r="N103" s="18">
        <f t="shared" si="3"/>
        <v>0.00611719253058596</v>
      </c>
      <c r="O103" s="9">
        <v>469.2</v>
      </c>
      <c r="P103" s="9">
        <v>469.2</v>
      </c>
      <c r="Q103" s="18">
        <f t="shared" si="4"/>
        <v>0.274835988753515</v>
      </c>
      <c r="R103" s="9">
        <v>864.2</v>
      </c>
      <c r="S103" s="18">
        <f t="shared" si="5"/>
        <v>0.698061389337641</v>
      </c>
      <c r="T103" s="9">
        <v>145</v>
      </c>
      <c r="U103" s="18">
        <f t="shared" si="6"/>
        <v>0.167785234899329</v>
      </c>
      <c r="V103" s="9">
        <v>18.2</v>
      </c>
      <c r="W103" s="9">
        <v>3</v>
      </c>
      <c r="X103" s="18">
        <f t="shared" si="7"/>
        <v>0.014665592264303</v>
      </c>
      <c r="Y103" s="9">
        <v>84</v>
      </c>
      <c r="Z103" s="9">
        <v>6.8</v>
      </c>
      <c r="AA103" s="18">
        <f t="shared" si="8"/>
        <v>0.0674807197943445</v>
      </c>
      <c r="AB103" s="9">
        <v>128.4</v>
      </c>
      <c r="AC103" s="9">
        <v>22.6</v>
      </c>
      <c r="AD103" s="18">
        <f t="shared" si="9"/>
        <v>0.101856258924322</v>
      </c>
      <c r="AE103" s="9">
        <v>38.4</v>
      </c>
      <c r="AF103" s="18">
        <f t="shared" si="10"/>
        <v>0.0444341587595464</v>
      </c>
    </row>
    <row r="104" ht="16" customHeight="1" spans="1:32">
      <c r="A104" s="1" t="s">
        <v>73</v>
      </c>
      <c r="B104" s="7" t="s">
        <v>35</v>
      </c>
      <c r="C104" s="9"/>
      <c r="D104" s="9">
        <v>455.9</v>
      </c>
      <c r="E104" s="9">
        <v>1505.4</v>
      </c>
      <c r="F104" s="9">
        <v>1229</v>
      </c>
      <c r="G104" s="18">
        <f t="shared" si="0"/>
        <v>0.81639431380364</v>
      </c>
      <c r="H104" s="18">
        <f t="shared" si="1"/>
        <v>1.80374288039056</v>
      </c>
      <c r="I104" s="9">
        <v>52.2</v>
      </c>
      <c r="J104" s="9">
        <v>0.2</v>
      </c>
      <c r="K104" s="18">
        <f t="shared" si="2"/>
        <v>0.0346705632306057</v>
      </c>
      <c r="L104" s="9">
        <v>44</v>
      </c>
      <c r="M104" s="9">
        <v>15</v>
      </c>
      <c r="N104" s="18">
        <f t="shared" si="3"/>
        <v>0.0289397526966588</v>
      </c>
      <c r="O104" s="9">
        <v>439.8</v>
      </c>
      <c r="P104" s="9">
        <v>439.8</v>
      </c>
      <c r="Q104" s="18">
        <f t="shared" si="4"/>
        <v>0.226095003084516</v>
      </c>
      <c r="R104" s="9">
        <v>960.8</v>
      </c>
      <c r="S104" s="18">
        <f t="shared" si="5"/>
        <v>0.638235684867809</v>
      </c>
      <c r="T104" s="9">
        <v>348</v>
      </c>
      <c r="U104" s="18">
        <f t="shared" si="6"/>
        <v>0.362198168193172</v>
      </c>
      <c r="V104" s="9">
        <v>20.6</v>
      </c>
      <c r="W104" s="9">
        <v>1.8</v>
      </c>
      <c r="X104" s="18">
        <f t="shared" si="7"/>
        <v>0.0136677282377919</v>
      </c>
      <c r="Y104" s="9">
        <v>141.6</v>
      </c>
      <c r="Z104" s="9">
        <v>6.4</v>
      </c>
      <c r="AA104" s="18">
        <f t="shared" si="8"/>
        <v>0.0936631829607091</v>
      </c>
      <c r="AB104" s="9">
        <v>177</v>
      </c>
      <c r="AC104" s="9">
        <v>22.4</v>
      </c>
      <c r="AD104" s="18">
        <f t="shared" si="9"/>
        <v>0.115852860322032</v>
      </c>
      <c r="AE104" s="9">
        <v>32.8</v>
      </c>
      <c r="AF104" s="18">
        <f t="shared" si="10"/>
        <v>0.0341382181515404</v>
      </c>
    </row>
    <row r="105" ht="16" customHeight="1" spans="1:32">
      <c r="A105" s="1" t="s">
        <v>73</v>
      </c>
      <c r="B105" s="7" t="s">
        <v>36</v>
      </c>
      <c r="C105" s="9"/>
      <c r="D105" s="9">
        <f>D103+D104</f>
        <v>833.2</v>
      </c>
      <c r="E105" s="9">
        <f>E103+E104</f>
        <v>2743.4</v>
      </c>
      <c r="F105" s="9">
        <f>F103+F104</f>
        <v>2259.8</v>
      </c>
      <c r="G105" s="18">
        <f t="shared" si="0"/>
        <v>0.82372238827732</v>
      </c>
      <c r="H105" s="18">
        <f t="shared" si="1"/>
        <v>1.77360828391893</v>
      </c>
      <c r="I105" s="9">
        <f>I103+I104</f>
        <v>88.4</v>
      </c>
      <c r="J105" s="9">
        <f>J103+J104</f>
        <v>0.8</v>
      </c>
      <c r="K105" s="18">
        <f t="shared" si="2"/>
        <v>0.0322133955251075</v>
      </c>
      <c r="L105" s="9">
        <f>L103+L104</f>
        <v>51.6</v>
      </c>
      <c r="M105" s="9">
        <f>M103+M104</f>
        <v>19.4</v>
      </c>
      <c r="N105" s="18">
        <f t="shared" si="3"/>
        <v>0.0186767047922398</v>
      </c>
      <c r="O105" s="9">
        <f>O103+O104</f>
        <v>909</v>
      </c>
      <c r="P105" s="9">
        <f>P103+P104</f>
        <v>909</v>
      </c>
      <c r="Q105" s="18">
        <f t="shared" si="4"/>
        <v>0.248877450443544</v>
      </c>
      <c r="R105" s="9">
        <f>R103+R104</f>
        <v>1825</v>
      </c>
      <c r="S105" s="18">
        <f t="shared" si="5"/>
        <v>0.665232922650725</v>
      </c>
      <c r="T105" s="9">
        <f>T103+T104</f>
        <v>493</v>
      </c>
      <c r="U105" s="18">
        <f t="shared" si="6"/>
        <v>0.27013698630137</v>
      </c>
      <c r="V105" s="9">
        <f>V103+V104</f>
        <v>38.8</v>
      </c>
      <c r="W105" s="9">
        <f>W103+W104</f>
        <v>4.8</v>
      </c>
      <c r="X105" s="18">
        <f t="shared" si="7"/>
        <v>0.0141183319991267</v>
      </c>
      <c r="Y105" s="9">
        <f>Y103+Y104</f>
        <v>225.6</v>
      </c>
      <c r="Z105" s="9">
        <f>Z103+Z104</f>
        <v>13.2</v>
      </c>
      <c r="AA105" s="18">
        <f t="shared" si="8"/>
        <v>0.0818399477617355</v>
      </c>
      <c r="AB105" s="9">
        <f>AB103+AB104</f>
        <v>305.4</v>
      </c>
      <c r="AC105" s="9">
        <f>AC103+AC104</f>
        <v>45</v>
      </c>
      <c r="AD105" s="18">
        <f t="shared" si="9"/>
        <v>0.109525175728016</v>
      </c>
      <c r="AE105" s="9">
        <f>AE103+AE104</f>
        <v>71.2</v>
      </c>
      <c r="AF105" s="18">
        <f t="shared" si="10"/>
        <v>0.039013698630137</v>
      </c>
    </row>
    <row r="106" ht="16" customHeight="1" spans="1:32">
      <c r="A106" s="1" t="s">
        <v>74</v>
      </c>
      <c r="B106" s="7" t="s">
        <v>33</v>
      </c>
      <c r="C106" s="9"/>
      <c r="D106" s="9">
        <v>377.5</v>
      </c>
      <c r="E106" s="9">
        <v>1316.4</v>
      </c>
      <c r="F106" s="9">
        <v>1083</v>
      </c>
      <c r="G106" s="18">
        <f t="shared" si="0"/>
        <v>0.822698268003646</v>
      </c>
      <c r="H106" s="18">
        <f t="shared" si="1"/>
        <v>1.69843028624192</v>
      </c>
      <c r="I106" s="9">
        <v>36</v>
      </c>
      <c r="J106" s="9">
        <v>0.2</v>
      </c>
      <c r="K106" s="18">
        <f t="shared" si="2"/>
        <v>0.0273431566155248</v>
      </c>
      <c r="L106" s="9">
        <v>8.6</v>
      </c>
      <c r="M106" s="9">
        <v>5.2</v>
      </c>
      <c r="N106" s="18">
        <f t="shared" si="3"/>
        <v>0.00650726392251816</v>
      </c>
      <c r="O106" s="9">
        <v>446.4</v>
      </c>
      <c r="P106" s="9">
        <v>446.4</v>
      </c>
      <c r="Q106" s="18">
        <f t="shared" si="4"/>
        <v>0.253233492171545</v>
      </c>
      <c r="R106" s="9">
        <v>920.4</v>
      </c>
      <c r="S106" s="18">
        <f t="shared" si="5"/>
        <v>0.699179580674567</v>
      </c>
      <c r="T106" s="9">
        <v>151.8</v>
      </c>
      <c r="U106" s="18">
        <f t="shared" si="6"/>
        <v>0.164928292046936</v>
      </c>
      <c r="V106" s="9">
        <v>18.8</v>
      </c>
      <c r="W106" s="9">
        <v>2.8</v>
      </c>
      <c r="X106" s="18">
        <f t="shared" si="7"/>
        <v>0.014251061249242</v>
      </c>
      <c r="Y106" s="9">
        <v>72.8</v>
      </c>
      <c r="Z106" s="9">
        <v>4.2</v>
      </c>
      <c r="AA106" s="18">
        <f t="shared" si="8"/>
        <v>0.0551264576707557</v>
      </c>
      <c r="AB106" s="9">
        <v>139.4</v>
      </c>
      <c r="AC106" s="9">
        <v>26.4</v>
      </c>
      <c r="AD106" s="18">
        <f t="shared" si="9"/>
        <v>0.103812928209711</v>
      </c>
      <c r="AE106" s="9">
        <v>45.2</v>
      </c>
      <c r="AF106" s="18">
        <f t="shared" si="10"/>
        <v>0.0491090830073881</v>
      </c>
    </row>
    <row r="107" ht="16" customHeight="1" spans="1:32">
      <c r="A107" s="1" t="s">
        <v>74</v>
      </c>
      <c r="B107" s="7" t="s">
        <v>35</v>
      </c>
      <c r="C107" s="9"/>
      <c r="D107" s="9">
        <v>442.7</v>
      </c>
      <c r="E107" s="9">
        <v>1378.4</v>
      </c>
      <c r="F107" s="9">
        <v>1172.4</v>
      </c>
      <c r="G107" s="18">
        <f t="shared" si="0"/>
        <v>0.850551363900174</v>
      </c>
      <c r="H107" s="18">
        <f t="shared" si="1"/>
        <v>1.83043329921529</v>
      </c>
      <c r="I107" s="9">
        <v>50.6</v>
      </c>
      <c r="J107" s="9">
        <v>0</v>
      </c>
      <c r="K107" s="18">
        <f t="shared" si="2"/>
        <v>0.0367092280905398</v>
      </c>
      <c r="L107" s="9">
        <v>50</v>
      </c>
      <c r="M107" s="9">
        <v>14.6</v>
      </c>
      <c r="N107" s="18">
        <f t="shared" si="3"/>
        <v>0.0358937544867193</v>
      </c>
      <c r="O107" s="9">
        <v>436.6</v>
      </c>
      <c r="P107" s="9">
        <v>436.6</v>
      </c>
      <c r="Q107" s="18">
        <f t="shared" si="4"/>
        <v>0.240550964187328</v>
      </c>
      <c r="R107" s="9">
        <v>937.6</v>
      </c>
      <c r="S107" s="18">
        <f t="shared" si="5"/>
        <v>0.680208937899013</v>
      </c>
      <c r="T107" s="9">
        <v>286.8</v>
      </c>
      <c r="U107" s="18">
        <f t="shared" si="6"/>
        <v>0.305887372013652</v>
      </c>
      <c r="V107" s="9">
        <v>26</v>
      </c>
      <c r="W107" s="9">
        <v>1.8</v>
      </c>
      <c r="X107" s="18">
        <f t="shared" si="7"/>
        <v>0.0188378495870164</v>
      </c>
      <c r="Y107" s="9">
        <v>146</v>
      </c>
      <c r="Z107" s="9">
        <v>4.8</v>
      </c>
      <c r="AA107" s="18">
        <f t="shared" si="8"/>
        <v>0.105552342394448</v>
      </c>
      <c r="AB107" s="9">
        <v>165.6</v>
      </c>
      <c r="AC107" s="9">
        <v>26</v>
      </c>
      <c r="AD107" s="18">
        <f t="shared" si="9"/>
        <v>0.117915123896326</v>
      </c>
      <c r="AE107" s="9">
        <v>46.8</v>
      </c>
      <c r="AF107" s="18">
        <f t="shared" si="10"/>
        <v>0.0499146757679181</v>
      </c>
    </row>
    <row r="108" ht="16" customHeight="1" spans="1:32">
      <c r="A108" s="1" t="s">
        <v>74</v>
      </c>
      <c r="B108" s="7" t="s">
        <v>36</v>
      </c>
      <c r="C108" s="9"/>
      <c r="D108" s="9">
        <f>D106+D107</f>
        <v>820.2</v>
      </c>
      <c r="E108" s="9">
        <f>E106+E107</f>
        <v>2694.8</v>
      </c>
      <c r="F108" s="9">
        <f>F106+F107</f>
        <v>2255.4</v>
      </c>
      <c r="G108" s="18">
        <f t="shared" si="0"/>
        <v>0.836945227846222</v>
      </c>
      <c r="H108" s="18">
        <f t="shared" si="1"/>
        <v>1.76704797375188</v>
      </c>
      <c r="I108" s="9">
        <f>I106+I107</f>
        <v>86.6</v>
      </c>
      <c r="J108" s="9">
        <f>J106+J107</f>
        <v>0.2</v>
      </c>
      <c r="K108" s="18">
        <f t="shared" si="2"/>
        <v>0.0321335807050093</v>
      </c>
      <c r="L108" s="9">
        <f>L106+L107</f>
        <v>58.6</v>
      </c>
      <c r="M108" s="9">
        <f>M106+M107</f>
        <v>19.8</v>
      </c>
      <c r="N108" s="18">
        <f t="shared" si="3"/>
        <v>0.0215869741398364</v>
      </c>
      <c r="O108" s="9">
        <f>O106+O107</f>
        <v>883</v>
      </c>
      <c r="P108" s="9">
        <f>P106+P107</f>
        <v>883</v>
      </c>
      <c r="Q108" s="18">
        <f t="shared" si="4"/>
        <v>0.246799709318576</v>
      </c>
      <c r="R108" s="9">
        <f>R106+R107</f>
        <v>1858</v>
      </c>
      <c r="S108" s="18">
        <f t="shared" si="5"/>
        <v>0.689476027905596</v>
      </c>
      <c r="T108" s="9">
        <f>T106+T107</f>
        <v>438.6</v>
      </c>
      <c r="U108" s="18">
        <f t="shared" si="6"/>
        <v>0.236060279870829</v>
      </c>
      <c r="V108" s="9">
        <f>V106+V107</f>
        <v>44.8</v>
      </c>
      <c r="W108" s="9">
        <f>W106+W107</f>
        <v>4.6</v>
      </c>
      <c r="X108" s="18">
        <f t="shared" si="7"/>
        <v>0.0165962806549604</v>
      </c>
      <c r="Y108" s="9">
        <f>Y106+Y107</f>
        <v>218.8</v>
      </c>
      <c r="Z108" s="9">
        <f>Z106+Z107</f>
        <v>9</v>
      </c>
      <c r="AA108" s="18">
        <f t="shared" si="8"/>
        <v>0.0809231452030476</v>
      </c>
      <c r="AB108" s="9">
        <f>AB106+AB107</f>
        <v>305</v>
      </c>
      <c r="AC108" s="9">
        <f>AC106+AC107</f>
        <v>52.4</v>
      </c>
      <c r="AD108" s="18">
        <f t="shared" si="9"/>
        <v>0.111022131624927</v>
      </c>
      <c r="AE108" s="9">
        <f>AE106+AE107</f>
        <v>92</v>
      </c>
      <c r="AF108" s="18">
        <f t="shared" si="10"/>
        <v>0.0495156081808396</v>
      </c>
    </row>
    <row r="109" ht="16" customHeight="1" spans="1:32">
      <c r="A109" s="1" t="s">
        <v>75</v>
      </c>
      <c r="B109" s="7" t="s">
        <v>33</v>
      </c>
      <c r="C109" s="9"/>
      <c r="D109" s="9">
        <v>279.7</v>
      </c>
      <c r="E109" s="9">
        <v>1016.8</v>
      </c>
      <c r="F109" s="9">
        <v>859.6</v>
      </c>
      <c r="G109" s="18">
        <f t="shared" si="0"/>
        <v>0.845397324940991</v>
      </c>
      <c r="H109" s="18">
        <f t="shared" si="1"/>
        <v>1.70102373196836</v>
      </c>
      <c r="I109" s="9">
        <v>35</v>
      </c>
      <c r="J109" s="9">
        <v>0.4</v>
      </c>
      <c r="K109" s="18">
        <f t="shared" si="2"/>
        <v>0.0344081793157688</v>
      </c>
      <c r="L109" s="9">
        <v>5.6</v>
      </c>
      <c r="M109" s="9">
        <v>5.2</v>
      </c>
      <c r="N109" s="18">
        <f t="shared" si="3"/>
        <v>0.00547945205479452</v>
      </c>
      <c r="O109" s="9">
        <v>367.8</v>
      </c>
      <c r="P109" s="9">
        <v>367.8</v>
      </c>
      <c r="Q109" s="18">
        <f t="shared" si="4"/>
        <v>0.265636284847609</v>
      </c>
      <c r="R109" s="9">
        <v>718.8</v>
      </c>
      <c r="S109" s="18">
        <f t="shared" si="5"/>
        <v>0.706923682140047</v>
      </c>
      <c r="T109" s="9">
        <v>122.6</v>
      </c>
      <c r="U109" s="18">
        <f t="shared" si="6"/>
        <v>0.17056204785754</v>
      </c>
      <c r="V109" s="9">
        <v>12</v>
      </c>
      <c r="W109" s="9">
        <v>1.6</v>
      </c>
      <c r="X109" s="18">
        <f t="shared" si="7"/>
        <v>0.011783189316575</v>
      </c>
      <c r="Y109" s="9">
        <v>66</v>
      </c>
      <c r="Z109" s="9">
        <v>2.4</v>
      </c>
      <c r="AA109" s="18">
        <f t="shared" si="8"/>
        <v>0.064756671899529</v>
      </c>
      <c r="AB109" s="9">
        <v>102</v>
      </c>
      <c r="AC109" s="9">
        <v>19.6</v>
      </c>
      <c r="AD109" s="18">
        <f t="shared" si="9"/>
        <v>0.0984175993824778</v>
      </c>
      <c r="AE109" s="9">
        <v>32.4</v>
      </c>
      <c r="AF109" s="18">
        <f t="shared" si="10"/>
        <v>0.0450751252086811</v>
      </c>
    </row>
    <row r="110" ht="16" customHeight="1" spans="1:32">
      <c r="A110" s="1" t="s">
        <v>75</v>
      </c>
      <c r="B110" s="7" t="s">
        <v>35</v>
      </c>
      <c r="C110" s="9"/>
      <c r="D110" s="9">
        <v>433</v>
      </c>
      <c r="E110" s="9">
        <v>1359</v>
      </c>
      <c r="F110" s="9">
        <v>1168.6</v>
      </c>
      <c r="G110" s="18">
        <f t="shared" si="0"/>
        <v>0.859896983075791</v>
      </c>
      <c r="H110" s="18">
        <f t="shared" si="1"/>
        <v>1.82834160533972</v>
      </c>
      <c r="I110" s="9">
        <v>47</v>
      </c>
      <c r="J110" s="9">
        <v>0.4</v>
      </c>
      <c r="K110" s="18">
        <f t="shared" si="2"/>
        <v>0.0345740767985876</v>
      </c>
      <c r="L110" s="9">
        <v>58.4</v>
      </c>
      <c r="M110" s="9">
        <v>14.6</v>
      </c>
      <c r="N110" s="18">
        <f t="shared" si="3"/>
        <v>0.0425160163075131</v>
      </c>
      <c r="O110" s="9">
        <v>422.4</v>
      </c>
      <c r="P110" s="9">
        <v>422.4</v>
      </c>
      <c r="Q110" s="18">
        <f t="shared" si="4"/>
        <v>0.237116874368474</v>
      </c>
      <c r="R110" s="9">
        <v>931</v>
      </c>
      <c r="S110" s="18">
        <f t="shared" si="5"/>
        <v>0.685062545989698</v>
      </c>
      <c r="T110" s="9">
        <v>318.2</v>
      </c>
      <c r="U110" s="18">
        <f t="shared" si="6"/>
        <v>0.341783029001074</v>
      </c>
      <c r="V110" s="9">
        <v>19.4</v>
      </c>
      <c r="W110" s="9">
        <v>2.4</v>
      </c>
      <c r="X110" s="18">
        <f t="shared" si="7"/>
        <v>0.0142500367268988</v>
      </c>
      <c r="Y110" s="9">
        <v>128.4</v>
      </c>
      <c r="Z110" s="9">
        <v>5.8</v>
      </c>
      <c r="AA110" s="18">
        <f t="shared" si="8"/>
        <v>0.0940797186400938</v>
      </c>
      <c r="AB110" s="9">
        <v>174</v>
      </c>
      <c r="AC110" s="9">
        <v>26.4</v>
      </c>
      <c r="AD110" s="18">
        <f t="shared" si="9"/>
        <v>0.125595495885665</v>
      </c>
      <c r="AE110" s="9">
        <v>37.8</v>
      </c>
      <c r="AF110" s="18">
        <f t="shared" si="10"/>
        <v>0.0406015037593985</v>
      </c>
    </row>
    <row r="111" ht="16" customHeight="1" spans="1:32">
      <c r="A111" s="1" t="s">
        <v>75</v>
      </c>
      <c r="B111" s="7" t="s">
        <v>36</v>
      </c>
      <c r="C111" s="9"/>
      <c r="D111" s="9">
        <f>D109+D110</f>
        <v>712.7</v>
      </c>
      <c r="E111" s="9">
        <f>E109+E110</f>
        <v>2375.8</v>
      </c>
      <c r="F111" s="9">
        <f>F109+F110</f>
        <v>2028.2</v>
      </c>
      <c r="G111" s="18">
        <f t="shared" si="0"/>
        <v>0.853691388163987</v>
      </c>
      <c r="H111" s="18">
        <f t="shared" si="1"/>
        <v>1.77438122473129</v>
      </c>
      <c r="I111" s="9">
        <f>I109+I110</f>
        <v>82</v>
      </c>
      <c r="J111" s="9">
        <f>J109+J110</f>
        <v>0.8</v>
      </c>
      <c r="K111" s="18">
        <f t="shared" si="2"/>
        <v>0.0345030716149121</v>
      </c>
      <c r="L111" s="9">
        <f>L109+L110</f>
        <v>64</v>
      </c>
      <c r="M111" s="9">
        <f>M109+M110</f>
        <v>19.8</v>
      </c>
      <c r="N111" s="18">
        <f t="shared" si="3"/>
        <v>0.026715645349808</v>
      </c>
      <c r="O111" s="9">
        <f>O109+O110</f>
        <v>790.2</v>
      </c>
      <c r="P111" s="9">
        <f>P109+P110</f>
        <v>790.2</v>
      </c>
      <c r="Q111" s="18">
        <f t="shared" si="4"/>
        <v>0.249589387239419</v>
      </c>
      <c r="R111" s="9">
        <f>R109+R110</f>
        <v>1649.8</v>
      </c>
      <c r="S111" s="18">
        <f t="shared" si="5"/>
        <v>0.694418722114656</v>
      </c>
      <c r="T111" s="9">
        <f>T109+T110</f>
        <v>440.8</v>
      </c>
      <c r="U111" s="18">
        <f t="shared" si="6"/>
        <v>0.267183901078919</v>
      </c>
      <c r="V111" s="9">
        <f>V109+V110</f>
        <v>31.4</v>
      </c>
      <c r="W111" s="9">
        <f>W109+W110</f>
        <v>4</v>
      </c>
      <c r="X111" s="18">
        <f t="shared" si="7"/>
        <v>0.0131943860828641</v>
      </c>
      <c r="Y111" s="9">
        <f>Y109+Y110</f>
        <v>194.4</v>
      </c>
      <c r="Z111" s="9">
        <f>Z109+Z110</f>
        <v>8.2</v>
      </c>
      <c r="AA111" s="18">
        <f t="shared" si="8"/>
        <v>0.0815436241610738</v>
      </c>
      <c r="AB111" s="9">
        <f>AB109+AB110</f>
        <v>276</v>
      </c>
      <c r="AC111" s="9">
        <f>AC109+AC110</f>
        <v>46</v>
      </c>
      <c r="AD111" s="18">
        <f t="shared" si="9"/>
        <v>0.113964819555702</v>
      </c>
      <c r="AE111" s="9">
        <f>AE109+AE110</f>
        <v>70.2</v>
      </c>
      <c r="AF111" s="18">
        <f t="shared" si="10"/>
        <v>0.0425506121954176</v>
      </c>
    </row>
    <row r="112" ht="16" customHeight="1" spans="1:32">
      <c r="A112" s="1" t="s">
        <v>76</v>
      </c>
      <c r="B112" s="7" t="s">
        <v>33</v>
      </c>
      <c r="C112" s="9"/>
      <c r="D112" s="9">
        <v>330.2</v>
      </c>
      <c r="E112" s="9">
        <v>1075.4</v>
      </c>
      <c r="F112" s="9">
        <v>919</v>
      </c>
      <c r="G112" s="18">
        <f t="shared" si="0"/>
        <v>0.854565742979356</v>
      </c>
      <c r="H112" s="18">
        <f t="shared" si="1"/>
        <v>1.71316648531012</v>
      </c>
      <c r="I112" s="9">
        <v>36.6</v>
      </c>
      <c r="J112" s="9">
        <v>0</v>
      </c>
      <c r="K112" s="18">
        <f t="shared" si="2"/>
        <v>0.0340338478705598</v>
      </c>
      <c r="L112" s="9">
        <v>6.2</v>
      </c>
      <c r="M112" s="9">
        <v>3.8</v>
      </c>
      <c r="N112" s="18">
        <f t="shared" si="3"/>
        <v>0.00574499629355078</v>
      </c>
      <c r="O112" s="9">
        <v>403.2</v>
      </c>
      <c r="P112" s="9">
        <v>403.2</v>
      </c>
      <c r="Q112" s="18">
        <f t="shared" si="4"/>
        <v>0.272690382794535</v>
      </c>
      <c r="R112" s="9">
        <v>766.4</v>
      </c>
      <c r="S112" s="18">
        <f t="shared" si="5"/>
        <v>0.712665054863307</v>
      </c>
      <c r="T112" s="9">
        <v>126.8</v>
      </c>
      <c r="U112" s="18">
        <f t="shared" si="6"/>
        <v>0.16544885177453</v>
      </c>
      <c r="V112" s="9">
        <v>27</v>
      </c>
      <c r="W112" s="9">
        <v>1.2</v>
      </c>
      <c r="X112" s="18">
        <f t="shared" si="7"/>
        <v>0.0250789522571057</v>
      </c>
      <c r="Y112" s="9">
        <v>73</v>
      </c>
      <c r="Z112" s="9">
        <v>4.4</v>
      </c>
      <c r="AA112" s="18">
        <f t="shared" si="8"/>
        <v>0.0676051120577885</v>
      </c>
      <c r="AB112" s="9">
        <v>108.8</v>
      </c>
      <c r="AC112" s="9">
        <v>20.4</v>
      </c>
      <c r="AD112" s="18">
        <f t="shared" si="9"/>
        <v>0.0992881912757802</v>
      </c>
      <c r="AE112" s="9">
        <v>26.4</v>
      </c>
      <c r="AF112" s="18">
        <f t="shared" si="10"/>
        <v>0.034446764091858</v>
      </c>
    </row>
    <row r="113" ht="16" customHeight="1" spans="1:32">
      <c r="A113" s="1" t="s">
        <v>76</v>
      </c>
      <c r="B113" s="7" t="s">
        <v>35</v>
      </c>
      <c r="C113" s="9"/>
      <c r="D113" s="9">
        <v>440.4</v>
      </c>
      <c r="E113" s="9">
        <v>1328.2</v>
      </c>
      <c r="F113" s="9">
        <v>1138.6</v>
      </c>
      <c r="G113" s="18">
        <f t="shared" si="0"/>
        <v>0.857250414094263</v>
      </c>
      <c r="H113" s="18">
        <f t="shared" si="1"/>
        <v>1.85842262427543</v>
      </c>
      <c r="I113" s="9">
        <v>48.2</v>
      </c>
      <c r="J113" s="9">
        <v>0</v>
      </c>
      <c r="K113" s="18">
        <f t="shared" si="2"/>
        <v>0.0362897154043066</v>
      </c>
      <c r="L113" s="9">
        <v>49</v>
      </c>
      <c r="M113" s="9">
        <v>10.8</v>
      </c>
      <c r="N113" s="18">
        <f t="shared" si="3"/>
        <v>0.0365944734876774</v>
      </c>
      <c r="O113" s="9">
        <v>425</v>
      </c>
      <c r="P113" s="9">
        <v>425</v>
      </c>
      <c r="Q113" s="18">
        <f t="shared" si="4"/>
        <v>0.242413871777321</v>
      </c>
      <c r="R113" s="9">
        <v>919.6</v>
      </c>
      <c r="S113" s="18">
        <f t="shared" si="5"/>
        <v>0.692365607589219</v>
      </c>
      <c r="T113" s="9">
        <v>333.6</v>
      </c>
      <c r="U113" s="18">
        <f t="shared" si="6"/>
        <v>0.362766420182688</v>
      </c>
      <c r="V113" s="9">
        <v>37</v>
      </c>
      <c r="W113" s="9">
        <v>2.4</v>
      </c>
      <c r="X113" s="18">
        <f t="shared" si="7"/>
        <v>0.0278070043589358</v>
      </c>
      <c r="Y113" s="9">
        <v>125.4</v>
      </c>
      <c r="Z113" s="9">
        <v>4.2</v>
      </c>
      <c r="AA113" s="18">
        <f t="shared" si="8"/>
        <v>0.0941158811167817</v>
      </c>
      <c r="AB113" s="9">
        <v>158</v>
      </c>
      <c r="AC113" s="9">
        <v>20.6</v>
      </c>
      <c r="AD113" s="18">
        <f t="shared" si="9"/>
        <v>0.117141162514828</v>
      </c>
      <c r="AE113" s="9">
        <v>20.2</v>
      </c>
      <c r="AF113" s="18">
        <f t="shared" si="10"/>
        <v>0.0219660722053067</v>
      </c>
    </row>
    <row r="114" ht="16" customHeight="1" spans="1:32">
      <c r="A114" s="1" t="s">
        <v>76</v>
      </c>
      <c r="B114" s="7" t="s">
        <v>36</v>
      </c>
      <c r="C114" s="9"/>
      <c r="D114" s="9">
        <f>D112+D113</f>
        <v>770.6</v>
      </c>
      <c r="E114" s="9">
        <f>E112+E113</f>
        <v>2403.6</v>
      </c>
      <c r="F114" s="9">
        <f>F112+F113</f>
        <v>2057.6</v>
      </c>
      <c r="G114" s="18">
        <f t="shared" si="0"/>
        <v>0.856049259444167</v>
      </c>
      <c r="H114" s="18">
        <f t="shared" si="1"/>
        <v>1.79354587869362</v>
      </c>
      <c r="I114" s="9">
        <f>I112+I113</f>
        <v>84.8</v>
      </c>
      <c r="J114" s="9">
        <f>J112+J113</f>
        <v>0</v>
      </c>
      <c r="K114" s="18">
        <f t="shared" si="2"/>
        <v>0.0352804127142619</v>
      </c>
      <c r="L114" s="9">
        <f>L112+L113</f>
        <v>55.2</v>
      </c>
      <c r="M114" s="9">
        <f>M112+M113</f>
        <v>14.6</v>
      </c>
      <c r="N114" s="18">
        <f t="shared" si="3"/>
        <v>0.0228268960383756</v>
      </c>
      <c r="O114" s="9">
        <f>O112+O113</f>
        <v>828.2</v>
      </c>
      <c r="P114" s="9">
        <f>P112+P113</f>
        <v>828.2</v>
      </c>
      <c r="Q114" s="18">
        <f t="shared" si="4"/>
        <v>0.25626585803577</v>
      </c>
      <c r="R114" s="9">
        <f>R112+R113</f>
        <v>1686</v>
      </c>
      <c r="S114" s="18">
        <f t="shared" si="5"/>
        <v>0.701447828257613</v>
      </c>
      <c r="T114" s="9">
        <f>T112+T113</f>
        <v>460.4</v>
      </c>
      <c r="U114" s="18">
        <f t="shared" si="6"/>
        <v>0.273072360616845</v>
      </c>
      <c r="V114" s="9">
        <f>V112+V113</f>
        <v>64</v>
      </c>
      <c r="W114" s="9">
        <f>W112+W113</f>
        <v>3.6</v>
      </c>
      <c r="X114" s="18">
        <f t="shared" si="7"/>
        <v>0.0265869059488202</v>
      </c>
      <c r="Y114" s="9">
        <f>Y112+Y113</f>
        <v>198.4</v>
      </c>
      <c r="Z114" s="9">
        <f>Z112+Z113</f>
        <v>8.6</v>
      </c>
      <c r="AA114" s="18">
        <f t="shared" si="8"/>
        <v>0.0822485697703341</v>
      </c>
      <c r="AB114" s="9">
        <f>AB112+AB113</f>
        <v>266.8</v>
      </c>
      <c r="AC114" s="9">
        <f>AC112+AC113</f>
        <v>41</v>
      </c>
      <c r="AD114" s="18">
        <f t="shared" si="9"/>
        <v>0.109138509367586</v>
      </c>
      <c r="AE114" s="9">
        <f>AE112+AE113</f>
        <v>46.6</v>
      </c>
      <c r="AF114" s="18">
        <f t="shared" si="10"/>
        <v>0.0276393831553974</v>
      </c>
    </row>
    <row r="115" ht="34" spans="1:32">
      <c r="A115" s="1" t="s">
        <v>77</v>
      </c>
      <c r="B115" s="7" t="s">
        <v>33</v>
      </c>
      <c r="C115" s="9"/>
      <c r="D115" s="9">
        <v>307.6</v>
      </c>
      <c r="E115" s="9">
        <v>1117</v>
      </c>
      <c r="F115" s="9">
        <v>946.2</v>
      </c>
      <c r="G115" s="18">
        <f t="shared" si="0"/>
        <v>0.847090420769919</v>
      </c>
      <c r="H115" s="18">
        <f t="shared" si="1"/>
        <v>1.74741069541323</v>
      </c>
      <c r="I115" s="9">
        <v>34.6</v>
      </c>
      <c r="J115" s="9">
        <v>0</v>
      </c>
      <c r="K115" s="18">
        <f t="shared" si="2"/>
        <v>0.0309758281110116</v>
      </c>
      <c r="L115" s="9">
        <v>2.6</v>
      </c>
      <c r="M115" s="9">
        <v>4.8</v>
      </c>
      <c r="N115" s="18">
        <f t="shared" si="3"/>
        <v>0.00231770369049741</v>
      </c>
      <c r="O115" s="9">
        <v>442.2</v>
      </c>
      <c r="P115" s="9">
        <v>442.2</v>
      </c>
      <c r="Q115" s="18">
        <f t="shared" si="4"/>
        <v>0.283606977937404</v>
      </c>
      <c r="R115" s="9">
        <v>788.2</v>
      </c>
      <c r="S115" s="18">
        <f t="shared" si="5"/>
        <v>0.705640107430618</v>
      </c>
      <c r="T115" s="9">
        <v>128.6</v>
      </c>
      <c r="U115" s="18">
        <f t="shared" si="6"/>
        <v>0.163156559248922</v>
      </c>
      <c r="V115" s="9">
        <v>50.2</v>
      </c>
      <c r="W115" s="9">
        <v>2</v>
      </c>
      <c r="X115" s="18">
        <f t="shared" si="7"/>
        <v>0.0448614834673816</v>
      </c>
      <c r="Y115" s="9">
        <v>69.8</v>
      </c>
      <c r="Z115" s="9">
        <v>4.2</v>
      </c>
      <c r="AA115" s="18">
        <f t="shared" si="8"/>
        <v>0.0622547270781306</v>
      </c>
      <c r="AB115" s="9">
        <v>120</v>
      </c>
      <c r="AC115" s="9">
        <v>21.2</v>
      </c>
      <c r="AD115" s="18">
        <f t="shared" si="9"/>
        <v>0.105429625724829</v>
      </c>
      <c r="AE115" s="9">
        <v>17.2</v>
      </c>
      <c r="AF115" s="18">
        <f t="shared" si="10"/>
        <v>0.0218218726211621</v>
      </c>
    </row>
    <row r="116" ht="31" spans="1:32">
      <c r="A116" s="1" t="s">
        <v>77</v>
      </c>
      <c r="B116" s="7" t="s">
        <v>35</v>
      </c>
      <c r="C116" s="9"/>
      <c r="D116" s="9">
        <v>344.2</v>
      </c>
      <c r="E116" s="9">
        <v>1147.4</v>
      </c>
      <c r="F116" s="9">
        <v>971.4</v>
      </c>
      <c r="G116" s="18">
        <f t="shared" si="0"/>
        <v>0.846609726337807</v>
      </c>
      <c r="H116" s="18">
        <f t="shared" si="1"/>
        <v>1.86061354745728</v>
      </c>
      <c r="I116" s="9">
        <v>47</v>
      </c>
      <c r="J116" s="9">
        <v>0</v>
      </c>
      <c r="K116" s="18">
        <f t="shared" si="2"/>
        <v>0.0409621753529719</v>
      </c>
      <c r="L116" s="9">
        <v>30.4</v>
      </c>
      <c r="M116" s="9">
        <v>9</v>
      </c>
      <c r="N116" s="18">
        <f t="shared" si="3"/>
        <v>0.0262884814942926</v>
      </c>
      <c r="O116" s="9">
        <v>355.2</v>
      </c>
      <c r="P116" s="9">
        <v>355.2</v>
      </c>
      <c r="Q116" s="18">
        <f t="shared" si="4"/>
        <v>0.236390256888061</v>
      </c>
      <c r="R116" s="9">
        <v>782.4</v>
      </c>
      <c r="S116" s="18">
        <f t="shared" si="5"/>
        <v>0.681889489280112</v>
      </c>
      <c r="T116" s="9">
        <v>300.8</v>
      </c>
      <c r="U116" s="18">
        <f t="shared" si="6"/>
        <v>0.384458077709611</v>
      </c>
      <c r="V116" s="9">
        <v>37.6</v>
      </c>
      <c r="W116" s="9">
        <v>1.6</v>
      </c>
      <c r="X116" s="18">
        <f t="shared" si="7"/>
        <v>0.0327241079199304</v>
      </c>
      <c r="Y116" s="9">
        <v>111.2</v>
      </c>
      <c r="Z116" s="9">
        <v>4</v>
      </c>
      <c r="AA116" s="18">
        <f t="shared" si="8"/>
        <v>0.0965780788605176</v>
      </c>
      <c r="AB116" s="9">
        <v>134.8</v>
      </c>
      <c r="AC116" s="9">
        <v>16.2</v>
      </c>
      <c r="AD116" s="18">
        <f t="shared" si="9"/>
        <v>0.11584737023032</v>
      </c>
      <c r="AE116" s="9">
        <v>8</v>
      </c>
      <c r="AF116" s="18">
        <f t="shared" si="10"/>
        <v>0.0102249488752556</v>
      </c>
    </row>
    <row r="117" ht="31" spans="1:32">
      <c r="A117" s="1" t="s">
        <v>77</v>
      </c>
      <c r="B117" s="7" t="s">
        <v>36</v>
      </c>
      <c r="C117" s="9"/>
      <c r="D117" s="9">
        <f>D115+D116</f>
        <v>651.8</v>
      </c>
      <c r="E117" s="9">
        <f>E115+E116</f>
        <v>2264.4</v>
      </c>
      <c r="F117" s="9">
        <f>F115+F116</f>
        <v>1917.6</v>
      </c>
      <c r="G117" s="18">
        <f t="shared" si="0"/>
        <v>0.846846846846847</v>
      </c>
      <c r="H117" s="18">
        <f t="shared" si="1"/>
        <v>1.80475594493116</v>
      </c>
      <c r="I117" s="9">
        <f>I115+I116</f>
        <v>81.6</v>
      </c>
      <c r="J117" s="9">
        <f>J115+J116</f>
        <v>0</v>
      </c>
      <c r="K117" s="18">
        <f t="shared" si="2"/>
        <v>0.036036036036036</v>
      </c>
      <c r="L117" s="9">
        <f>L115+L116</f>
        <v>33</v>
      </c>
      <c r="M117" s="9">
        <f>M115+M116</f>
        <v>13.8</v>
      </c>
      <c r="N117" s="18">
        <f t="shared" si="3"/>
        <v>0.0144851198314459</v>
      </c>
      <c r="O117" s="9">
        <f>O115+O116</f>
        <v>797.4</v>
      </c>
      <c r="P117" s="9">
        <f>P115+P116</f>
        <v>797.4</v>
      </c>
      <c r="Q117" s="18">
        <f t="shared" si="4"/>
        <v>0.260435038212816</v>
      </c>
      <c r="R117" s="9">
        <f>R115+R116</f>
        <v>1570.6</v>
      </c>
      <c r="S117" s="18">
        <f t="shared" si="5"/>
        <v>0.693605370075958</v>
      </c>
      <c r="T117" s="9">
        <f>T115+T116</f>
        <v>429.4</v>
      </c>
      <c r="U117" s="18">
        <f t="shared" si="6"/>
        <v>0.273398701133325</v>
      </c>
      <c r="V117" s="9">
        <f>V115+V116</f>
        <v>87.8</v>
      </c>
      <c r="W117" s="9">
        <f>W115+W116</f>
        <v>3.6</v>
      </c>
      <c r="X117" s="18">
        <f t="shared" si="7"/>
        <v>0.0387125220458554</v>
      </c>
      <c r="Y117" s="9">
        <f>Y115+Y116</f>
        <v>181</v>
      </c>
      <c r="Z117" s="9">
        <f>Z115+Z116</f>
        <v>8.2</v>
      </c>
      <c r="AA117" s="18">
        <f t="shared" si="8"/>
        <v>0.079644460089765</v>
      </c>
      <c r="AB117" s="9">
        <f>AB115+AB116</f>
        <v>254.8</v>
      </c>
      <c r="AC117" s="9">
        <f>AC115+AC116</f>
        <v>37.4</v>
      </c>
      <c r="AD117" s="18">
        <f t="shared" si="9"/>
        <v>0.11069597706143</v>
      </c>
      <c r="AE117" s="9">
        <f>AE115+AE116</f>
        <v>25.2</v>
      </c>
      <c r="AF117" s="18">
        <f t="shared" si="10"/>
        <v>0.0160448236342799</v>
      </c>
    </row>
    <row r="118" ht="34" spans="1:32">
      <c r="A118" s="1" t="s">
        <v>78</v>
      </c>
      <c r="B118" s="7" t="s">
        <v>33</v>
      </c>
      <c r="C118" s="9"/>
      <c r="D118" s="9">
        <v>330.5</v>
      </c>
      <c r="E118" s="9">
        <v>1158.2</v>
      </c>
      <c r="F118" s="9">
        <v>970.2</v>
      </c>
      <c r="G118" s="18">
        <f t="shared" si="0"/>
        <v>0.837679157313072</v>
      </c>
      <c r="H118" s="18">
        <f t="shared" si="1"/>
        <v>1.72232529375387</v>
      </c>
      <c r="I118" s="9">
        <v>33.2</v>
      </c>
      <c r="J118" s="9">
        <v>0.2</v>
      </c>
      <c r="K118" s="18">
        <f t="shared" si="2"/>
        <v>0.0286602209944751</v>
      </c>
      <c r="L118" s="9">
        <v>5.4</v>
      </c>
      <c r="M118" s="9">
        <v>4.8</v>
      </c>
      <c r="N118" s="18">
        <f t="shared" si="3"/>
        <v>0.00464316423043852</v>
      </c>
      <c r="O118" s="9">
        <v>428.6</v>
      </c>
      <c r="P118" s="9">
        <v>428.6</v>
      </c>
      <c r="Q118" s="18">
        <f t="shared" si="4"/>
        <v>0.27010335265944</v>
      </c>
      <c r="R118" s="9">
        <v>809.2</v>
      </c>
      <c r="S118" s="18">
        <f t="shared" si="5"/>
        <v>0.698670350543948</v>
      </c>
      <c r="T118" s="9">
        <v>126.6</v>
      </c>
      <c r="U118" s="18">
        <f t="shared" si="6"/>
        <v>0.156450815620366</v>
      </c>
      <c r="V118" s="9">
        <v>45.8</v>
      </c>
      <c r="W118" s="9">
        <v>2.8</v>
      </c>
      <c r="X118" s="18">
        <f t="shared" si="7"/>
        <v>0.0394487510766581</v>
      </c>
      <c r="Y118" s="9">
        <v>77.6</v>
      </c>
      <c r="Z118" s="9">
        <v>5.4</v>
      </c>
      <c r="AA118" s="18">
        <f t="shared" si="8"/>
        <v>0.0666895840495015</v>
      </c>
      <c r="AB118" s="9">
        <v>124.4</v>
      </c>
      <c r="AC118" s="9">
        <v>27.2</v>
      </c>
      <c r="AD118" s="18">
        <f t="shared" si="9"/>
        <v>0.104943478994432</v>
      </c>
      <c r="AE118" s="9">
        <v>20.2</v>
      </c>
      <c r="AF118" s="18">
        <f t="shared" si="10"/>
        <v>0.0249629263470094</v>
      </c>
    </row>
    <row r="119" ht="31" spans="1:32">
      <c r="A119" s="1" t="s">
        <v>78</v>
      </c>
      <c r="B119" s="7" t="s">
        <v>35</v>
      </c>
      <c r="C119" s="9"/>
      <c r="D119" s="9">
        <v>385.4</v>
      </c>
      <c r="E119" s="9">
        <v>1335.4</v>
      </c>
      <c r="F119" s="9">
        <v>1094</v>
      </c>
      <c r="G119" s="18">
        <f t="shared" si="0"/>
        <v>0.819230193200539</v>
      </c>
      <c r="H119" s="18">
        <f t="shared" si="1"/>
        <v>1.81535648994516</v>
      </c>
      <c r="I119" s="9">
        <v>47.8</v>
      </c>
      <c r="J119" s="9">
        <v>1.4</v>
      </c>
      <c r="K119" s="18">
        <f t="shared" si="2"/>
        <v>0.0357570317175344</v>
      </c>
      <c r="L119" s="9">
        <v>29.2</v>
      </c>
      <c r="M119" s="9">
        <v>10.8</v>
      </c>
      <c r="N119" s="18">
        <f t="shared" si="3"/>
        <v>0.0216906848908037</v>
      </c>
      <c r="O119" s="9">
        <v>364.6</v>
      </c>
      <c r="P119" s="9">
        <v>364.6</v>
      </c>
      <c r="Q119" s="18">
        <f t="shared" si="4"/>
        <v>0.214470588235294</v>
      </c>
      <c r="R119" s="9">
        <v>834.4</v>
      </c>
      <c r="S119" s="18">
        <f t="shared" si="5"/>
        <v>0.624831511157706</v>
      </c>
      <c r="T119" s="9">
        <v>331.8</v>
      </c>
      <c r="U119" s="18">
        <f t="shared" si="6"/>
        <v>0.397651006711409</v>
      </c>
      <c r="V119" s="9">
        <v>58</v>
      </c>
      <c r="W119" s="9">
        <v>1.8</v>
      </c>
      <c r="X119" s="18">
        <f t="shared" si="7"/>
        <v>0.0433742147771463</v>
      </c>
      <c r="Y119" s="9">
        <v>146.6</v>
      </c>
      <c r="Z119" s="9">
        <v>3.4</v>
      </c>
      <c r="AA119" s="18">
        <f t="shared" si="8"/>
        <v>0.109501045712578</v>
      </c>
      <c r="AB119" s="9">
        <v>162.6</v>
      </c>
      <c r="AC119" s="9">
        <v>20.8</v>
      </c>
      <c r="AD119" s="18">
        <f t="shared" si="9"/>
        <v>0.119893820970358</v>
      </c>
      <c r="AE119" s="9">
        <v>11</v>
      </c>
      <c r="AF119" s="18">
        <f t="shared" si="10"/>
        <v>0.013183125599233</v>
      </c>
    </row>
    <row r="120" ht="31" spans="1:32">
      <c r="A120" s="1" t="s">
        <v>78</v>
      </c>
      <c r="B120" s="7" t="s">
        <v>36</v>
      </c>
      <c r="C120" s="9"/>
      <c r="D120" s="9">
        <f>D118+D119</f>
        <v>715.9</v>
      </c>
      <c r="E120" s="9">
        <f>E118+E119</f>
        <v>2493.6</v>
      </c>
      <c r="F120" s="9">
        <f>F118+F119</f>
        <v>2064.2</v>
      </c>
      <c r="G120" s="18">
        <f t="shared" si="0"/>
        <v>0.827799165864613</v>
      </c>
      <c r="H120" s="18">
        <f t="shared" si="1"/>
        <v>1.77163065594419</v>
      </c>
      <c r="I120" s="9">
        <f>I118+I119</f>
        <v>81</v>
      </c>
      <c r="J120" s="9">
        <f>J118+J119</f>
        <v>1.6</v>
      </c>
      <c r="K120" s="18">
        <f t="shared" si="2"/>
        <v>0.0324623276691247</v>
      </c>
      <c r="L120" s="9">
        <f>L118+L119</f>
        <v>34.6</v>
      </c>
      <c r="M120" s="9">
        <f>M118+M119</f>
        <v>15.6</v>
      </c>
      <c r="N120" s="18">
        <f t="shared" si="3"/>
        <v>0.0137892555396142</v>
      </c>
      <c r="O120" s="9">
        <f>O118+O119</f>
        <v>793.2</v>
      </c>
      <c r="P120" s="9">
        <f>P118+P119</f>
        <v>793.2</v>
      </c>
      <c r="Q120" s="18">
        <f t="shared" si="4"/>
        <v>0.241328952172326</v>
      </c>
      <c r="R120" s="9">
        <f>R118+R119</f>
        <v>1643.6</v>
      </c>
      <c r="S120" s="18">
        <f t="shared" si="5"/>
        <v>0.659127366057106</v>
      </c>
      <c r="T120" s="9">
        <f>T118+T119</f>
        <v>458.4</v>
      </c>
      <c r="U120" s="18">
        <f t="shared" si="6"/>
        <v>0.278899975663178</v>
      </c>
      <c r="V120" s="9">
        <f>V118+V119</f>
        <v>103.8</v>
      </c>
      <c r="W120" s="9">
        <f>W118+W119</f>
        <v>4.6</v>
      </c>
      <c r="X120" s="18">
        <f t="shared" si="7"/>
        <v>0.0415499159394764</v>
      </c>
      <c r="Y120" s="9">
        <f>Y118+Y119</f>
        <v>224.2</v>
      </c>
      <c r="Z120" s="9">
        <f>Z118+Z119</f>
        <v>8.8</v>
      </c>
      <c r="AA120" s="18">
        <f t="shared" si="8"/>
        <v>0.0895939897698209</v>
      </c>
      <c r="AB120" s="9">
        <f>AB118+AB119</f>
        <v>287</v>
      </c>
      <c r="AC120" s="9">
        <f>AC118+AC119</f>
        <v>48</v>
      </c>
      <c r="AD120" s="18">
        <f t="shared" si="9"/>
        <v>0.11292099464904</v>
      </c>
      <c r="AE120" s="9">
        <f>AE118+AE119</f>
        <v>31.2</v>
      </c>
      <c r="AF120" s="18">
        <f t="shared" si="10"/>
        <v>0.0189827208566561</v>
      </c>
    </row>
    <row r="121" ht="34" spans="1:32">
      <c r="A121" s="1" t="s">
        <v>79</v>
      </c>
      <c r="B121" s="7" t="s">
        <v>33</v>
      </c>
      <c r="C121" s="9"/>
      <c r="D121" s="9">
        <v>310.5</v>
      </c>
      <c r="E121" s="9">
        <v>1218.4</v>
      </c>
      <c r="F121" s="9">
        <v>1043.6</v>
      </c>
      <c r="G121" s="18">
        <f t="shared" si="0"/>
        <v>0.856533158240315</v>
      </c>
      <c r="H121" s="18">
        <f t="shared" si="1"/>
        <v>1.70544269835186</v>
      </c>
      <c r="I121" s="9">
        <v>39.8</v>
      </c>
      <c r="J121" s="9">
        <v>1</v>
      </c>
      <c r="K121" s="18">
        <f t="shared" si="2"/>
        <v>0.0326390027882565</v>
      </c>
      <c r="L121" s="9">
        <v>5.6</v>
      </c>
      <c r="M121" s="9">
        <v>6.4</v>
      </c>
      <c r="N121" s="18">
        <f t="shared" si="3"/>
        <v>0.00457217504898759</v>
      </c>
      <c r="O121" s="9">
        <v>438</v>
      </c>
      <c r="P121" s="9">
        <v>438</v>
      </c>
      <c r="Q121" s="18">
        <f t="shared" si="4"/>
        <v>0.264428881912582</v>
      </c>
      <c r="R121" s="9">
        <v>869.8</v>
      </c>
      <c r="S121" s="18">
        <f t="shared" si="5"/>
        <v>0.713887065003283</v>
      </c>
      <c r="T121" s="9">
        <v>148.2</v>
      </c>
      <c r="U121" s="18">
        <f t="shared" si="6"/>
        <v>0.170383996320993</v>
      </c>
      <c r="V121" s="9">
        <v>50.2</v>
      </c>
      <c r="W121" s="9">
        <v>1.8</v>
      </c>
      <c r="X121" s="18">
        <f t="shared" si="7"/>
        <v>0.0411407965907228</v>
      </c>
      <c r="Y121" s="9">
        <v>86.6</v>
      </c>
      <c r="Z121" s="9">
        <v>5</v>
      </c>
      <c r="AA121" s="18">
        <f t="shared" si="8"/>
        <v>0.0707863331698545</v>
      </c>
      <c r="AB121" s="9">
        <v>123.4</v>
      </c>
      <c r="AC121" s="9">
        <v>22.2</v>
      </c>
      <c r="AD121" s="18">
        <f t="shared" si="9"/>
        <v>0.0994679993551507</v>
      </c>
      <c r="AE121" s="9">
        <v>18.2</v>
      </c>
      <c r="AF121" s="18">
        <f t="shared" si="10"/>
        <v>0.0209243504253851</v>
      </c>
    </row>
    <row r="122" spans="1:32">
      <c r="A122" s="1" t="s">
        <v>79</v>
      </c>
      <c r="B122" s="7" t="s">
        <v>35</v>
      </c>
      <c r="C122" s="9"/>
      <c r="D122" s="9">
        <v>306.2</v>
      </c>
      <c r="E122" s="9">
        <v>1123.2</v>
      </c>
      <c r="F122" s="9">
        <v>959</v>
      </c>
      <c r="G122" s="18">
        <f t="shared" si="0"/>
        <v>0.853810541310541</v>
      </c>
      <c r="H122" s="18">
        <f t="shared" si="1"/>
        <v>1.80458811261731</v>
      </c>
      <c r="I122" s="9">
        <v>44.2</v>
      </c>
      <c r="J122" s="9">
        <v>0.6</v>
      </c>
      <c r="K122" s="18">
        <f t="shared" si="2"/>
        <v>0.0393308417867948</v>
      </c>
      <c r="L122" s="9">
        <v>22.4</v>
      </c>
      <c r="M122" s="9">
        <v>10.2</v>
      </c>
      <c r="N122" s="18">
        <f t="shared" si="3"/>
        <v>0.0197635433209811</v>
      </c>
      <c r="O122" s="9">
        <v>330.2</v>
      </c>
      <c r="P122" s="9">
        <v>330.2</v>
      </c>
      <c r="Q122" s="18">
        <f t="shared" si="4"/>
        <v>0.227191413237925</v>
      </c>
      <c r="R122" s="9">
        <v>759.6</v>
      </c>
      <c r="S122" s="18">
        <f t="shared" si="5"/>
        <v>0.676282051282051</v>
      </c>
      <c r="T122" s="9">
        <v>265.6</v>
      </c>
      <c r="U122" s="18">
        <f t="shared" si="6"/>
        <v>0.349657714586625</v>
      </c>
      <c r="V122" s="9">
        <v>44.4</v>
      </c>
      <c r="W122" s="9">
        <v>1.8</v>
      </c>
      <c r="X122" s="18">
        <f t="shared" si="7"/>
        <v>0.0394666666666667</v>
      </c>
      <c r="Y122" s="9">
        <v>123.8</v>
      </c>
      <c r="Z122" s="9">
        <v>2.4</v>
      </c>
      <c r="AA122" s="18">
        <f t="shared" si="8"/>
        <v>0.10998578535892</v>
      </c>
      <c r="AB122" s="9">
        <v>133.6</v>
      </c>
      <c r="AC122" s="9">
        <v>19</v>
      </c>
      <c r="AD122" s="18">
        <f t="shared" si="9"/>
        <v>0.116967256172299</v>
      </c>
      <c r="AE122" s="9">
        <v>6.8</v>
      </c>
      <c r="AF122" s="18">
        <f t="shared" si="10"/>
        <v>0.00895208004212743</v>
      </c>
    </row>
    <row r="123" spans="1:32">
      <c r="A123" s="1" t="s">
        <v>79</v>
      </c>
      <c r="B123" s="7" t="s">
        <v>36</v>
      </c>
      <c r="C123" s="9"/>
      <c r="D123" s="9">
        <f>D121+D122</f>
        <v>616.7</v>
      </c>
      <c r="E123" s="9">
        <f>E121+E122</f>
        <v>2341.6</v>
      </c>
      <c r="F123" s="9">
        <f>F121+F122</f>
        <v>2002.6</v>
      </c>
      <c r="G123" s="18">
        <f t="shared" si="0"/>
        <v>0.855227195080287</v>
      </c>
      <c r="H123" s="18">
        <f t="shared" si="1"/>
        <v>1.75292120243683</v>
      </c>
      <c r="I123" s="9">
        <f>I121+I122</f>
        <v>84</v>
      </c>
      <c r="J123" s="9">
        <f>J121+J122</f>
        <v>1.6</v>
      </c>
      <c r="K123" s="18">
        <f t="shared" si="2"/>
        <v>0.0358484124274496</v>
      </c>
      <c r="L123" s="9">
        <f>L121+L122</f>
        <v>28</v>
      </c>
      <c r="M123" s="9">
        <f>M121+M122</f>
        <v>16.6</v>
      </c>
      <c r="N123" s="18">
        <f t="shared" si="3"/>
        <v>0.0118734628106183</v>
      </c>
      <c r="O123" s="9">
        <f>O121+O122</f>
        <v>768.2</v>
      </c>
      <c r="P123" s="9">
        <f>P121+P122</f>
        <v>768.2</v>
      </c>
      <c r="Q123" s="18">
        <f t="shared" si="4"/>
        <v>0.247025532188565</v>
      </c>
      <c r="R123" s="9">
        <f>R121+R122</f>
        <v>1629.4</v>
      </c>
      <c r="S123" s="18">
        <f t="shared" si="5"/>
        <v>0.695848992142125</v>
      </c>
      <c r="T123" s="9">
        <f>T121+T122</f>
        <v>413.8</v>
      </c>
      <c r="U123" s="18">
        <f t="shared" si="6"/>
        <v>0.253958512335829</v>
      </c>
      <c r="V123" s="9">
        <f>V121+V122</f>
        <v>94.6</v>
      </c>
      <c r="W123" s="9">
        <f>W121+W122</f>
        <v>3.6</v>
      </c>
      <c r="X123" s="18">
        <f t="shared" si="7"/>
        <v>0.0403377110694184</v>
      </c>
      <c r="Y123" s="9">
        <f>Y121+Y122</f>
        <v>210.4</v>
      </c>
      <c r="Z123" s="9">
        <f>Z121+Z122</f>
        <v>7.4</v>
      </c>
      <c r="AA123" s="18">
        <f t="shared" si="8"/>
        <v>0.0895700297999148</v>
      </c>
      <c r="AB123" s="9">
        <f>AB121+AB122</f>
        <v>257</v>
      </c>
      <c r="AC123" s="9">
        <f>AC121+AC122</f>
        <v>41.2</v>
      </c>
      <c r="AD123" s="18">
        <f t="shared" si="9"/>
        <v>0.107856303508477</v>
      </c>
      <c r="AE123" s="9">
        <f>AE121+AE122</f>
        <v>25</v>
      </c>
      <c r="AF123" s="18">
        <f t="shared" si="10"/>
        <v>0.0153430710691052</v>
      </c>
    </row>
    <row r="124" ht="34" spans="1:32">
      <c r="A124" s="7" t="s">
        <v>80</v>
      </c>
      <c r="B124" s="7" t="s">
        <v>33</v>
      </c>
      <c r="C124" s="9"/>
      <c r="D124" s="9">
        <v>312.8</v>
      </c>
      <c r="E124" s="9">
        <v>1235.2</v>
      </c>
      <c r="F124" s="9">
        <v>1060.8</v>
      </c>
      <c r="G124" s="18">
        <f t="shared" si="0"/>
        <v>0.85880829015544</v>
      </c>
      <c r="H124" s="18">
        <f t="shared" si="1"/>
        <v>1.68401206636501</v>
      </c>
      <c r="I124" s="9">
        <v>31.8</v>
      </c>
      <c r="J124" s="9">
        <v>0.2</v>
      </c>
      <c r="K124" s="18">
        <f t="shared" si="2"/>
        <v>0.0257406508013599</v>
      </c>
      <c r="L124" s="9">
        <v>6.8</v>
      </c>
      <c r="M124" s="9">
        <v>5.8</v>
      </c>
      <c r="N124" s="18">
        <f t="shared" si="3"/>
        <v>0.00547945205479452</v>
      </c>
      <c r="O124" s="9">
        <v>442.4</v>
      </c>
      <c r="P124" s="9">
        <v>442.4</v>
      </c>
      <c r="Q124" s="18">
        <f t="shared" si="4"/>
        <v>0.263710061993324</v>
      </c>
      <c r="R124" s="9">
        <v>885.6</v>
      </c>
      <c r="S124" s="18">
        <f t="shared" si="5"/>
        <v>0.716968911917098</v>
      </c>
      <c r="T124" s="9">
        <v>138.8</v>
      </c>
      <c r="U124" s="18">
        <f t="shared" si="6"/>
        <v>0.15672990063234</v>
      </c>
      <c r="V124" s="9">
        <v>48.4</v>
      </c>
      <c r="W124" s="9">
        <v>2</v>
      </c>
      <c r="X124" s="18">
        <f t="shared" si="7"/>
        <v>0.0391205948916909</v>
      </c>
      <c r="Y124" s="9">
        <v>93.6</v>
      </c>
      <c r="Z124" s="9">
        <v>4</v>
      </c>
      <c r="AA124" s="18">
        <f t="shared" si="8"/>
        <v>0.0755326016785022</v>
      </c>
      <c r="AB124" s="9">
        <v>119.8</v>
      </c>
      <c r="AC124" s="9">
        <v>23.6</v>
      </c>
      <c r="AD124" s="18">
        <f t="shared" si="9"/>
        <v>0.0951700031776295</v>
      </c>
      <c r="AE124" s="9">
        <v>19.2</v>
      </c>
      <c r="AF124" s="18">
        <f t="shared" si="10"/>
        <v>0.021680216802168</v>
      </c>
    </row>
    <row r="125" spans="1:32">
      <c r="A125" s="7" t="s">
        <v>80</v>
      </c>
      <c r="B125" s="7" t="s">
        <v>35</v>
      </c>
      <c r="C125" s="9"/>
      <c r="D125" s="9">
        <v>328.5</v>
      </c>
      <c r="E125" s="9">
        <v>1222.8</v>
      </c>
      <c r="F125" s="9">
        <v>1037.2</v>
      </c>
      <c r="G125" s="18">
        <f t="shared" si="0"/>
        <v>0.848217206411515</v>
      </c>
      <c r="H125" s="18">
        <f t="shared" si="1"/>
        <v>1.78133436174315</v>
      </c>
      <c r="I125" s="9">
        <v>41.6</v>
      </c>
      <c r="J125" s="9">
        <v>0.4</v>
      </c>
      <c r="K125" s="18">
        <f t="shared" si="2"/>
        <v>0.0340091563113146</v>
      </c>
      <c r="L125" s="9">
        <v>28</v>
      </c>
      <c r="M125" s="9">
        <v>11.2</v>
      </c>
      <c r="N125" s="18">
        <f t="shared" si="3"/>
        <v>0.0226904376012966</v>
      </c>
      <c r="O125" s="9">
        <v>336.4</v>
      </c>
      <c r="P125" s="9">
        <v>336.4</v>
      </c>
      <c r="Q125" s="18">
        <f t="shared" si="4"/>
        <v>0.215751667521806</v>
      </c>
      <c r="R125" s="9">
        <v>805</v>
      </c>
      <c r="S125" s="18">
        <f t="shared" si="5"/>
        <v>0.658325155381093</v>
      </c>
      <c r="T125" s="9">
        <v>282</v>
      </c>
      <c r="U125" s="18">
        <f t="shared" si="6"/>
        <v>0.350310559006211</v>
      </c>
      <c r="V125" s="9">
        <v>44.2</v>
      </c>
      <c r="W125" s="9">
        <v>2.4</v>
      </c>
      <c r="X125" s="18">
        <f t="shared" si="7"/>
        <v>0.0360757427358799</v>
      </c>
      <c r="Y125" s="9">
        <v>160.6</v>
      </c>
      <c r="Z125" s="9">
        <v>5.2</v>
      </c>
      <c r="AA125" s="18">
        <f t="shared" si="8"/>
        <v>0.130781758957655</v>
      </c>
      <c r="AB125" s="9">
        <v>141.8</v>
      </c>
      <c r="AC125" s="9">
        <v>22.4</v>
      </c>
      <c r="AD125" s="18">
        <f t="shared" si="9"/>
        <v>0.11387728878895</v>
      </c>
      <c r="AE125" s="9">
        <v>8</v>
      </c>
      <c r="AF125" s="18">
        <f t="shared" si="10"/>
        <v>0.00993788819875776</v>
      </c>
    </row>
    <row r="126" spans="1:32">
      <c r="A126" s="7" t="s">
        <v>80</v>
      </c>
      <c r="B126" s="7" t="s">
        <v>36</v>
      </c>
      <c r="C126" s="9"/>
      <c r="D126" s="9">
        <f>D124+D125</f>
        <v>641.3</v>
      </c>
      <c r="E126" s="9">
        <f>E124+E125</f>
        <v>2458</v>
      </c>
      <c r="F126" s="9">
        <f>F124+F125</f>
        <v>2098</v>
      </c>
      <c r="G126" s="18">
        <f t="shared" si="0"/>
        <v>0.853539462978031</v>
      </c>
      <c r="H126" s="18">
        <f t="shared" si="1"/>
        <v>1.73212583412774</v>
      </c>
      <c r="I126" s="9">
        <f>I124+I125</f>
        <v>73.4</v>
      </c>
      <c r="J126" s="9">
        <f>J124+J125</f>
        <v>0.6</v>
      </c>
      <c r="K126" s="18">
        <f t="shared" si="2"/>
        <v>0.0298543886764826</v>
      </c>
      <c r="L126" s="9">
        <f>L124+L125</f>
        <v>34.8</v>
      </c>
      <c r="M126" s="9">
        <f>M124+M125</f>
        <v>17</v>
      </c>
      <c r="N126" s="18">
        <f t="shared" si="3"/>
        <v>0.0140606060606061</v>
      </c>
      <c r="O126" s="9">
        <f>O124+O125</f>
        <v>778.8</v>
      </c>
      <c r="P126" s="9">
        <f>P124+P125</f>
        <v>778.8</v>
      </c>
      <c r="Q126" s="18">
        <f t="shared" si="4"/>
        <v>0.240608007909046</v>
      </c>
      <c r="R126" s="9">
        <f>R124+R125</f>
        <v>1690.6</v>
      </c>
      <c r="S126" s="18">
        <f t="shared" si="5"/>
        <v>0.687794955248169</v>
      </c>
      <c r="T126" s="9">
        <f>T124+T125</f>
        <v>420.8</v>
      </c>
      <c r="U126" s="18">
        <f t="shared" si="6"/>
        <v>0.248905713947711</v>
      </c>
      <c r="V126" s="9">
        <f>V124+V125</f>
        <v>92.6</v>
      </c>
      <c r="W126" s="9">
        <f>W124+W125</f>
        <v>4.4</v>
      </c>
      <c r="X126" s="18">
        <f t="shared" si="7"/>
        <v>0.0376055880441845</v>
      </c>
      <c r="Y126" s="9">
        <f>Y124+Y125</f>
        <v>254.2</v>
      </c>
      <c r="Z126" s="9">
        <f>Z124+Z125</f>
        <v>9.2</v>
      </c>
      <c r="AA126" s="18">
        <f t="shared" si="8"/>
        <v>0.1030317769131</v>
      </c>
      <c r="AB126" s="9">
        <f>AB124+AB125</f>
        <v>261.6</v>
      </c>
      <c r="AC126" s="9">
        <f>AC124+AC125</f>
        <v>46</v>
      </c>
      <c r="AD126" s="18">
        <f t="shared" si="9"/>
        <v>0.104472843450479</v>
      </c>
      <c r="AE126" s="9">
        <f>AE124+AE125</f>
        <v>27.2</v>
      </c>
      <c r="AF126" s="18">
        <f t="shared" si="10"/>
        <v>0.0160889624985212</v>
      </c>
    </row>
    <row r="127" ht="34" spans="1:32">
      <c r="A127" s="7" t="s">
        <v>81</v>
      </c>
      <c r="B127" s="7" t="s">
        <v>33</v>
      </c>
      <c r="C127" s="9"/>
      <c r="D127" s="9">
        <v>361</v>
      </c>
      <c r="E127" s="9">
        <v>1231.8</v>
      </c>
      <c r="F127" s="9">
        <v>1033.8</v>
      </c>
      <c r="G127" s="18">
        <f t="shared" si="0"/>
        <v>0.839259620068193</v>
      </c>
      <c r="H127" s="18">
        <f t="shared" si="1"/>
        <v>1.7030373379764</v>
      </c>
      <c r="I127" s="9">
        <v>34</v>
      </c>
      <c r="J127" s="9">
        <v>0.6</v>
      </c>
      <c r="K127" s="18">
        <f t="shared" si="2"/>
        <v>0.0275884453099643</v>
      </c>
      <c r="L127" s="9">
        <v>7.4</v>
      </c>
      <c r="M127" s="9">
        <v>5.2</v>
      </c>
      <c r="N127" s="18">
        <f t="shared" si="3"/>
        <v>0.00598221503637834</v>
      </c>
      <c r="O127" s="9">
        <v>445.8</v>
      </c>
      <c r="P127" s="9">
        <v>445.8</v>
      </c>
      <c r="Q127" s="18">
        <f t="shared" si="4"/>
        <v>0.265736766809728</v>
      </c>
      <c r="R127" s="9">
        <v>857.2</v>
      </c>
      <c r="S127" s="18">
        <f t="shared" si="5"/>
        <v>0.695892190290632</v>
      </c>
      <c r="T127" s="9">
        <v>129.4</v>
      </c>
      <c r="U127" s="18">
        <f t="shared" si="6"/>
        <v>0.15095660289314</v>
      </c>
      <c r="V127" s="9">
        <v>50.6</v>
      </c>
      <c r="W127" s="9">
        <v>1.2</v>
      </c>
      <c r="X127" s="18">
        <f t="shared" si="7"/>
        <v>0.0410381184103812</v>
      </c>
      <c r="Y127" s="9">
        <v>88.4</v>
      </c>
      <c r="Z127" s="9">
        <v>6.6</v>
      </c>
      <c r="AA127" s="18">
        <f t="shared" si="8"/>
        <v>0.0713824289405685</v>
      </c>
      <c r="AB127" s="9">
        <v>126.6</v>
      </c>
      <c r="AC127" s="9">
        <v>22.8</v>
      </c>
      <c r="AD127" s="18">
        <f t="shared" si="9"/>
        <v>0.100908656145385</v>
      </c>
      <c r="AE127" s="9">
        <v>21.2</v>
      </c>
      <c r="AF127" s="18">
        <f t="shared" si="10"/>
        <v>0.024731684554363</v>
      </c>
    </row>
    <row r="128" ht="34" spans="1:32">
      <c r="A128" s="7" t="s">
        <v>81</v>
      </c>
      <c r="B128" s="7" t="s">
        <v>35</v>
      </c>
      <c r="C128" s="9"/>
      <c r="D128" s="9">
        <v>330.4</v>
      </c>
      <c r="E128" s="9">
        <v>1159.8</v>
      </c>
      <c r="F128" s="9">
        <v>981.6</v>
      </c>
      <c r="G128" s="18">
        <f t="shared" si="0"/>
        <v>0.84635281945163</v>
      </c>
      <c r="H128" s="18">
        <f t="shared" si="1"/>
        <v>1.76507742461288</v>
      </c>
      <c r="I128" s="9">
        <v>44.6</v>
      </c>
      <c r="J128" s="9">
        <v>0.2</v>
      </c>
      <c r="K128" s="18">
        <f t="shared" si="2"/>
        <v>0.038448275862069</v>
      </c>
      <c r="L128" s="9">
        <v>30.6</v>
      </c>
      <c r="M128" s="9">
        <v>9.4</v>
      </c>
      <c r="N128" s="18">
        <f t="shared" si="3"/>
        <v>0.0261717413616148</v>
      </c>
      <c r="O128" s="9">
        <v>314</v>
      </c>
      <c r="P128" s="9">
        <v>314.2</v>
      </c>
      <c r="Q128" s="18">
        <f t="shared" si="4"/>
        <v>0.213025780189959</v>
      </c>
      <c r="R128" s="9">
        <v>766.8</v>
      </c>
      <c r="S128" s="18">
        <f t="shared" si="5"/>
        <v>0.661148473874806</v>
      </c>
      <c r="T128" s="9">
        <v>252.8</v>
      </c>
      <c r="U128" s="18">
        <f t="shared" si="6"/>
        <v>0.329681794470527</v>
      </c>
      <c r="V128" s="9">
        <v>41</v>
      </c>
      <c r="W128" s="9">
        <v>1.2</v>
      </c>
      <c r="X128" s="18">
        <f t="shared" si="7"/>
        <v>0.0353143841515935</v>
      </c>
      <c r="Y128" s="9">
        <v>135.6</v>
      </c>
      <c r="Z128" s="9">
        <v>2.8</v>
      </c>
      <c r="AA128" s="18">
        <f t="shared" si="8"/>
        <v>0.116635128161018</v>
      </c>
      <c r="AB128" s="9">
        <v>137.8</v>
      </c>
      <c r="AC128" s="9">
        <v>21.8</v>
      </c>
      <c r="AD128" s="18">
        <f t="shared" si="9"/>
        <v>0.116621530128639</v>
      </c>
      <c r="AE128" s="9">
        <v>9.4</v>
      </c>
      <c r="AF128" s="18">
        <f t="shared" si="10"/>
        <v>0.0122587376108503</v>
      </c>
    </row>
    <row r="129" ht="34" spans="1:32">
      <c r="A129" s="7" t="s">
        <v>81</v>
      </c>
      <c r="B129" s="7" t="s">
        <v>36</v>
      </c>
      <c r="C129" s="9"/>
      <c r="D129" s="9">
        <f>D127+D128</f>
        <v>691.4</v>
      </c>
      <c r="E129" s="9">
        <f>E127+E128</f>
        <v>2391.6</v>
      </c>
      <c r="F129" s="9">
        <f>F127+F128</f>
        <v>2015.4</v>
      </c>
      <c r="G129" s="18">
        <f t="shared" si="0"/>
        <v>0.842699448068239</v>
      </c>
      <c r="H129" s="18">
        <f t="shared" si="1"/>
        <v>1.73325394462638</v>
      </c>
      <c r="I129" s="9">
        <f>I127+I128</f>
        <v>78.6</v>
      </c>
      <c r="J129" s="9">
        <f>J127+J128</f>
        <v>0.8</v>
      </c>
      <c r="K129" s="18">
        <f t="shared" si="2"/>
        <v>0.0328540377863234</v>
      </c>
      <c r="L129" s="9">
        <f>L127+L128</f>
        <v>38</v>
      </c>
      <c r="M129" s="9">
        <f>M127+M128</f>
        <v>14.6</v>
      </c>
      <c r="N129" s="18">
        <f t="shared" si="3"/>
        <v>0.0157925359487989</v>
      </c>
      <c r="O129" s="9">
        <f>O127+O128</f>
        <v>759.8</v>
      </c>
      <c r="P129" s="9">
        <f>P127+P128</f>
        <v>760</v>
      </c>
      <c r="Q129" s="18">
        <f t="shared" si="4"/>
        <v>0.241083893895164</v>
      </c>
      <c r="R129" s="9">
        <f>R127+R128</f>
        <v>1624</v>
      </c>
      <c r="S129" s="18">
        <f t="shared" si="5"/>
        <v>0.679043318280649</v>
      </c>
      <c r="T129" s="9">
        <f>T127+T128</f>
        <v>382.2</v>
      </c>
      <c r="U129" s="18">
        <f t="shared" si="6"/>
        <v>0.235344827586207</v>
      </c>
      <c r="V129" s="9">
        <f>V127+V128</f>
        <v>91.6</v>
      </c>
      <c r="W129" s="9">
        <f>W127+W128</f>
        <v>2.4</v>
      </c>
      <c r="X129" s="18">
        <f t="shared" si="7"/>
        <v>0.0382623224728488</v>
      </c>
      <c r="Y129" s="9">
        <f>Y127+Y128</f>
        <v>224</v>
      </c>
      <c r="Z129" s="9">
        <f>Z127+Z128</f>
        <v>9.4</v>
      </c>
      <c r="AA129" s="18">
        <f t="shared" si="8"/>
        <v>0.0932944606413994</v>
      </c>
      <c r="AB129" s="9">
        <f>AB127+AB128</f>
        <v>264.4</v>
      </c>
      <c r="AC129" s="9">
        <f>AC127+AC128</f>
        <v>44.6</v>
      </c>
      <c r="AD129" s="18">
        <f t="shared" si="9"/>
        <v>0.10852967736639</v>
      </c>
      <c r="AE129" s="9">
        <f>AE127+AE128</f>
        <v>30.6</v>
      </c>
      <c r="AF129" s="18">
        <f t="shared" si="10"/>
        <v>0.0188423645320197</v>
      </c>
    </row>
    <row r="130" ht="34" spans="1:32">
      <c r="A130" s="7" t="s">
        <v>82</v>
      </c>
      <c r="B130" s="7" t="s">
        <v>33</v>
      </c>
      <c r="C130" s="9"/>
      <c r="D130" s="9">
        <v>313.2</v>
      </c>
      <c r="E130" s="9">
        <v>1123.2</v>
      </c>
      <c r="F130" s="9">
        <v>943.4</v>
      </c>
      <c r="G130" s="18">
        <f t="shared" si="0"/>
        <v>0.839921652421652</v>
      </c>
      <c r="H130" s="18">
        <f t="shared" si="1"/>
        <v>1.74475302098792</v>
      </c>
      <c r="I130" s="9">
        <v>35</v>
      </c>
      <c r="J130" s="9">
        <v>0.8</v>
      </c>
      <c r="K130" s="18">
        <f t="shared" si="2"/>
        <v>0.0311387900355872</v>
      </c>
      <c r="L130" s="9">
        <v>5</v>
      </c>
      <c r="M130" s="9">
        <v>3.4</v>
      </c>
      <c r="N130" s="18">
        <f t="shared" si="3"/>
        <v>0.00443813243387183</v>
      </c>
      <c r="O130" s="9">
        <v>419.6</v>
      </c>
      <c r="P130" s="9">
        <v>419.6</v>
      </c>
      <c r="Q130" s="18">
        <f t="shared" si="4"/>
        <v>0.271973036038372</v>
      </c>
      <c r="R130" s="9">
        <v>789</v>
      </c>
      <c r="S130" s="18">
        <f t="shared" si="5"/>
        <v>0.702457264957265</v>
      </c>
      <c r="T130" s="9">
        <v>133.4</v>
      </c>
      <c r="U130" s="18">
        <f t="shared" si="6"/>
        <v>0.169074778200253</v>
      </c>
      <c r="V130" s="9">
        <v>50.8</v>
      </c>
      <c r="W130" s="9">
        <v>1.6</v>
      </c>
      <c r="X130" s="18">
        <f t="shared" si="7"/>
        <v>0.0451635846372688</v>
      </c>
      <c r="Y130" s="9">
        <v>76.2</v>
      </c>
      <c r="Z130" s="9">
        <v>5.6</v>
      </c>
      <c r="AA130" s="18">
        <f t="shared" si="8"/>
        <v>0.0675053153791637</v>
      </c>
      <c r="AB130" s="9">
        <v>119.6</v>
      </c>
      <c r="AC130" s="9">
        <v>24.4</v>
      </c>
      <c r="AD130" s="18">
        <f t="shared" si="9"/>
        <v>0.104217497385849</v>
      </c>
      <c r="AE130" s="9">
        <v>17.4</v>
      </c>
      <c r="AF130" s="18">
        <f t="shared" si="10"/>
        <v>0.0220532319391635</v>
      </c>
    </row>
    <row r="131" ht="34" spans="1:32">
      <c r="A131" s="7" t="s">
        <v>82</v>
      </c>
      <c r="B131" s="7" t="s">
        <v>35</v>
      </c>
      <c r="C131" s="9"/>
      <c r="D131" s="9">
        <v>312.8</v>
      </c>
      <c r="E131" s="9">
        <v>1211.2</v>
      </c>
      <c r="F131" s="9">
        <v>1007</v>
      </c>
      <c r="G131" s="18">
        <f t="shared" si="0"/>
        <v>0.831406869220608</v>
      </c>
      <c r="H131" s="18">
        <f t="shared" si="1"/>
        <v>1.71062562065541</v>
      </c>
      <c r="I131" s="9">
        <v>46</v>
      </c>
      <c r="J131" s="9">
        <v>0.6</v>
      </c>
      <c r="K131" s="18">
        <f t="shared" si="2"/>
        <v>0.0379600594157452</v>
      </c>
      <c r="L131" s="9">
        <v>22.4</v>
      </c>
      <c r="M131" s="9">
        <v>8</v>
      </c>
      <c r="N131" s="18">
        <f t="shared" si="3"/>
        <v>0.0183727034120735</v>
      </c>
      <c r="O131" s="9">
        <v>303.4</v>
      </c>
      <c r="P131" s="9">
        <v>303.4</v>
      </c>
      <c r="Q131" s="18">
        <f t="shared" si="4"/>
        <v>0.20031691535719</v>
      </c>
      <c r="R131" s="9">
        <v>773.4</v>
      </c>
      <c r="S131" s="18">
        <f t="shared" si="5"/>
        <v>0.638540290620872</v>
      </c>
      <c r="T131" s="9">
        <v>248</v>
      </c>
      <c r="U131" s="18">
        <f t="shared" si="6"/>
        <v>0.320662011895526</v>
      </c>
      <c r="V131" s="9">
        <v>46</v>
      </c>
      <c r="W131" s="9">
        <v>1.4</v>
      </c>
      <c r="X131" s="18">
        <f t="shared" si="7"/>
        <v>0.0379350156688108</v>
      </c>
      <c r="Y131" s="9">
        <v>144</v>
      </c>
      <c r="Z131" s="9">
        <v>3.6</v>
      </c>
      <c r="AA131" s="18">
        <f t="shared" si="8"/>
        <v>0.118538030951597</v>
      </c>
      <c r="AB131" s="9">
        <v>128</v>
      </c>
      <c r="AC131" s="9">
        <v>22.2</v>
      </c>
      <c r="AD131" s="18">
        <f t="shared" si="9"/>
        <v>0.103778174152748</v>
      </c>
      <c r="AE131" s="9">
        <v>11.4</v>
      </c>
      <c r="AF131" s="18">
        <f t="shared" si="10"/>
        <v>0.0147401086113266</v>
      </c>
    </row>
    <row r="132" ht="34" spans="1:32">
      <c r="A132" s="7" t="s">
        <v>82</v>
      </c>
      <c r="B132" s="7" t="s">
        <v>36</v>
      </c>
      <c r="C132" s="9"/>
      <c r="D132" s="9">
        <f>D130+D131</f>
        <v>626</v>
      </c>
      <c r="E132" s="9">
        <f>E130+E131</f>
        <v>2334.4</v>
      </c>
      <c r="F132" s="9">
        <f>F130+F131</f>
        <v>1950.4</v>
      </c>
      <c r="G132" s="18">
        <f t="shared" si="0"/>
        <v>0.835503769705278</v>
      </c>
      <c r="H132" s="18">
        <f t="shared" si="1"/>
        <v>1.72713289581624</v>
      </c>
      <c r="I132" s="9">
        <f>I130+I131</f>
        <v>81</v>
      </c>
      <c r="J132" s="9">
        <f>J130+J131</f>
        <v>1.4</v>
      </c>
      <c r="K132" s="18">
        <f t="shared" si="2"/>
        <v>0.0346776265091189</v>
      </c>
      <c r="L132" s="9">
        <f>L130+L131</f>
        <v>27.4</v>
      </c>
      <c r="M132" s="9">
        <f>M130+M131</f>
        <v>11.4</v>
      </c>
      <c r="N132" s="18">
        <f t="shared" si="3"/>
        <v>0.0116804501662546</v>
      </c>
      <c r="O132" s="9">
        <f>O130+O131</f>
        <v>723</v>
      </c>
      <c r="P132" s="9">
        <f>P130+P131</f>
        <v>723</v>
      </c>
      <c r="Q132" s="18">
        <f t="shared" si="4"/>
        <v>0.236475436645516</v>
      </c>
      <c r="R132" s="9">
        <f>R130+R131</f>
        <v>1562.4</v>
      </c>
      <c r="S132" s="18">
        <f t="shared" si="5"/>
        <v>0.669294037011652</v>
      </c>
      <c r="T132" s="9">
        <f>T130+T131</f>
        <v>381.4</v>
      </c>
      <c r="U132" s="18">
        <f t="shared" si="6"/>
        <v>0.244111623143881</v>
      </c>
      <c r="V132" s="9">
        <f>V130+V131</f>
        <v>96.8</v>
      </c>
      <c r="W132" s="9">
        <f>W130+W131</f>
        <v>3</v>
      </c>
      <c r="X132" s="18">
        <f t="shared" si="7"/>
        <v>0.0414135364079747</v>
      </c>
      <c r="Y132" s="9">
        <f>Y130+Y131</f>
        <v>220.2</v>
      </c>
      <c r="Z132" s="9">
        <f>Z130+Z131</f>
        <v>9.2</v>
      </c>
      <c r="AA132" s="18">
        <f t="shared" si="8"/>
        <v>0.093958013312852</v>
      </c>
      <c r="AB132" s="9">
        <f>AB130+AB131</f>
        <v>247.6</v>
      </c>
      <c r="AC132" s="9">
        <f>AC130+AC131</f>
        <v>46.6</v>
      </c>
      <c r="AD132" s="18">
        <f t="shared" si="9"/>
        <v>0.103989920201596</v>
      </c>
      <c r="AE132" s="9">
        <f>AE130+AE131</f>
        <v>28.8</v>
      </c>
      <c r="AF132" s="18">
        <f t="shared" si="10"/>
        <v>0.0184331797235023</v>
      </c>
    </row>
    <row r="133" ht="34" spans="1:32">
      <c r="A133" s="1" t="s">
        <v>83</v>
      </c>
      <c r="B133" s="7" t="s">
        <v>33</v>
      </c>
      <c r="C133" s="9"/>
      <c r="D133" s="9">
        <v>291.1</v>
      </c>
      <c r="E133" s="9">
        <v>1094.2</v>
      </c>
      <c r="F133" s="9">
        <v>924.4</v>
      </c>
      <c r="G133" s="18">
        <f t="shared" si="0"/>
        <v>0.844818131968561</v>
      </c>
      <c r="H133" s="18">
        <f t="shared" si="1"/>
        <v>1.6962353959325</v>
      </c>
      <c r="I133" s="9">
        <v>30.8</v>
      </c>
      <c r="J133" s="9">
        <v>0</v>
      </c>
      <c r="K133" s="18">
        <f t="shared" si="2"/>
        <v>0.0281484189362091</v>
      </c>
      <c r="L133" s="9">
        <v>4.8</v>
      </c>
      <c r="M133" s="9">
        <v>4.4</v>
      </c>
      <c r="N133" s="18">
        <f t="shared" si="3"/>
        <v>0.00436919716002185</v>
      </c>
      <c r="O133" s="9">
        <v>391.8</v>
      </c>
      <c r="P133" s="9">
        <v>391.8</v>
      </c>
      <c r="Q133" s="18">
        <f t="shared" si="4"/>
        <v>0.263660834454913</v>
      </c>
      <c r="R133" s="9">
        <v>773.2</v>
      </c>
      <c r="S133" s="18">
        <f t="shared" si="5"/>
        <v>0.706634984463535</v>
      </c>
      <c r="T133" s="9">
        <v>122.8</v>
      </c>
      <c r="U133" s="18">
        <f t="shared" si="6"/>
        <v>0.15882048629074</v>
      </c>
      <c r="V133" s="9">
        <v>39.4</v>
      </c>
      <c r="W133" s="9">
        <v>4.2</v>
      </c>
      <c r="X133" s="18">
        <f t="shared" si="7"/>
        <v>0.0358703568827385</v>
      </c>
      <c r="Y133" s="9">
        <v>72</v>
      </c>
      <c r="Z133" s="9">
        <v>5.6</v>
      </c>
      <c r="AA133" s="18">
        <f t="shared" si="8"/>
        <v>0.0654664484451719</v>
      </c>
      <c r="AB133" s="9">
        <v>114.8</v>
      </c>
      <c r="AC133" s="9">
        <v>18</v>
      </c>
      <c r="AD133" s="18">
        <f t="shared" si="9"/>
        <v>0.103218845531379</v>
      </c>
      <c r="AE133" s="9">
        <v>18.4</v>
      </c>
      <c r="AF133" s="18">
        <f t="shared" si="10"/>
        <v>0.0237972064148991</v>
      </c>
    </row>
    <row r="134" spans="1:32">
      <c r="A134" s="1" t="s">
        <v>83</v>
      </c>
      <c r="B134" s="7" t="s">
        <v>35</v>
      </c>
      <c r="C134" s="9"/>
      <c r="D134" s="9">
        <v>324.1</v>
      </c>
      <c r="E134" s="9">
        <v>1191</v>
      </c>
      <c r="F134" s="9">
        <v>1003</v>
      </c>
      <c r="G134" s="18">
        <f t="shared" si="0"/>
        <v>0.842149454240134</v>
      </c>
      <c r="H134" s="18">
        <f t="shared" si="1"/>
        <v>1.79062811565304</v>
      </c>
      <c r="I134" s="9">
        <v>48.2</v>
      </c>
      <c r="J134" s="9">
        <v>0.4</v>
      </c>
      <c r="K134" s="18">
        <f t="shared" si="2"/>
        <v>0.040456605673997</v>
      </c>
      <c r="L134" s="9">
        <v>27.6</v>
      </c>
      <c r="M134" s="9">
        <v>9.6</v>
      </c>
      <c r="N134" s="18">
        <f t="shared" si="3"/>
        <v>0.0229885057471264</v>
      </c>
      <c r="O134" s="9">
        <v>333.6</v>
      </c>
      <c r="P134" s="9">
        <v>333.6</v>
      </c>
      <c r="Q134" s="18">
        <f t="shared" si="4"/>
        <v>0.218811491538764</v>
      </c>
      <c r="R134" s="9">
        <v>784.8</v>
      </c>
      <c r="S134" s="18">
        <f t="shared" si="5"/>
        <v>0.658942065491184</v>
      </c>
      <c r="T134" s="9">
        <v>281.6</v>
      </c>
      <c r="U134" s="18">
        <f t="shared" si="6"/>
        <v>0.35881753312946</v>
      </c>
      <c r="V134" s="9">
        <v>44.8</v>
      </c>
      <c r="W134" s="9">
        <v>1.4</v>
      </c>
      <c r="X134" s="18">
        <f t="shared" si="7"/>
        <v>0.0375712848037571</v>
      </c>
      <c r="Y134" s="9">
        <v>120</v>
      </c>
      <c r="Z134" s="9">
        <v>2.4</v>
      </c>
      <c r="AA134" s="18">
        <f t="shared" si="8"/>
        <v>0.100553041729512</v>
      </c>
      <c r="AB134" s="9">
        <v>146</v>
      </c>
      <c r="AC134" s="9">
        <v>21.4</v>
      </c>
      <c r="AD134" s="18">
        <f t="shared" si="9"/>
        <v>0.12042230287034</v>
      </c>
      <c r="AE134" s="9">
        <v>9.4</v>
      </c>
      <c r="AF134" s="18">
        <f t="shared" si="10"/>
        <v>0.0119775739041794</v>
      </c>
    </row>
    <row r="135" spans="1:32">
      <c r="A135" s="1" t="s">
        <v>83</v>
      </c>
      <c r="B135" s="7" t="s">
        <v>36</v>
      </c>
      <c r="C135" s="9"/>
      <c r="D135" s="9">
        <f>D133+D134</f>
        <v>615.2</v>
      </c>
      <c r="E135" s="9">
        <f>E133+E134</f>
        <v>2285.2</v>
      </c>
      <c r="F135" s="9">
        <f>F133+F134</f>
        <v>1927.4</v>
      </c>
      <c r="G135" s="18">
        <f t="shared" si="0"/>
        <v>0.843427271136006</v>
      </c>
      <c r="H135" s="18">
        <f t="shared" si="1"/>
        <v>1.74535643872574</v>
      </c>
      <c r="I135" s="9">
        <f>I133+I134</f>
        <v>79</v>
      </c>
      <c r="J135" s="9">
        <f>J133+J134</f>
        <v>0.4</v>
      </c>
      <c r="K135" s="18">
        <f t="shared" si="2"/>
        <v>0.0345642282114106</v>
      </c>
      <c r="L135" s="9">
        <f>L133+L134</f>
        <v>32.4</v>
      </c>
      <c r="M135" s="9">
        <f>M133+M134</f>
        <v>14</v>
      </c>
      <c r="N135" s="18">
        <f t="shared" si="3"/>
        <v>0.0140918580375783</v>
      </c>
      <c r="O135" s="9">
        <f>O133+O134</f>
        <v>725.4</v>
      </c>
      <c r="P135" s="9">
        <f>P133+P134</f>
        <v>725.4</v>
      </c>
      <c r="Q135" s="18">
        <f t="shared" si="4"/>
        <v>0.240948648110011</v>
      </c>
      <c r="R135" s="9">
        <f>R133+R134</f>
        <v>1558</v>
      </c>
      <c r="S135" s="18">
        <f t="shared" si="5"/>
        <v>0.681778400140032</v>
      </c>
      <c r="T135" s="9">
        <f>T133+T134</f>
        <v>404.4</v>
      </c>
      <c r="U135" s="18">
        <f t="shared" si="6"/>
        <v>0.259563543003851</v>
      </c>
      <c r="V135" s="9">
        <f>V133+V134</f>
        <v>84.2</v>
      </c>
      <c r="W135" s="9">
        <f>W133+W134</f>
        <v>5.6</v>
      </c>
      <c r="X135" s="18">
        <f t="shared" si="7"/>
        <v>0.036755718526279</v>
      </c>
      <c r="Y135" s="9">
        <f>Y133+Y134</f>
        <v>192</v>
      </c>
      <c r="Z135" s="9">
        <f>Z133+Z134</f>
        <v>8</v>
      </c>
      <c r="AA135" s="18">
        <f t="shared" si="8"/>
        <v>0.0837257980115123</v>
      </c>
      <c r="AB135" s="9">
        <f>AB133+AB134</f>
        <v>260.8</v>
      </c>
      <c r="AC135" s="9">
        <f>AC133+AC134</f>
        <v>39.4</v>
      </c>
      <c r="AD135" s="18">
        <f t="shared" si="9"/>
        <v>0.112191344747483</v>
      </c>
      <c r="AE135" s="9">
        <f>AE133+AE134</f>
        <v>27.8</v>
      </c>
      <c r="AF135" s="18">
        <f t="shared" si="10"/>
        <v>0.0178433889602054</v>
      </c>
    </row>
    <row r="136" ht="34" spans="1:32">
      <c r="A136" s="1" t="s">
        <v>84</v>
      </c>
      <c r="B136" s="7" t="s">
        <v>33</v>
      </c>
      <c r="C136" s="9"/>
      <c r="D136" s="9">
        <v>345.4</v>
      </c>
      <c r="E136" s="9">
        <v>1145.6</v>
      </c>
      <c r="F136" s="9">
        <v>960.2</v>
      </c>
      <c r="G136" s="18">
        <f t="shared" si="0"/>
        <v>0.838163407821229</v>
      </c>
      <c r="H136" s="18">
        <f t="shared" si="1"/>
        <v>1.72089148094147</v>
      </c>
      <c r="I136" s="9">
        <v>31.4</v>
      </c>
      <c r="J136" s="9">
        <v>0.2</v>
      </c>
      <c r="K136" s="18">
        <f t="shared" si="2"/>
        <v>0.0274044335835224</v>
      </c>
      <c r="L136" s="9">
        <v>3.2</v>
      </c>
      <c r="M136" s="9">
        <v>5.6</v>
      </c>
      <c r="N136" s="18">
        <f t="shared" si="3"/>
        <v>0.00277970813064628</v>
      </c>
      <c r="O136" s="9">
        <v>422</v>
      </c>
      <c r="P136" s="9">
        <v>422</v>
      </c>
      <c r="Q136" s="18">
        <f t="shared" si="4"/>
        <v>0.269201326869099</v>
      </c>
      <c r="R136" s="9">
        <v>807</v>
      </c>
      <c r="S136" s="18">
        <f t="shared" si="5"/>
        <v>0.7044343575419</v>
      </c>
      <c r="T136" s="9">
        <v>122.6</v>
      </c>
      <c r="U136" s="18">
        <f t="shared" si="6"/>
        <v>0.151920693928129</v>
      </c>
      <c r="V136" s="9">
        <v>43.2</v>
      </c>
      <c r="W136" s="9">
        <v>2.2</v>
      </c>
      <c r="X136" s="18">
        <f t="shared" si="7"/>
        <v>0.0376372190277052</v>
      </c>
      <c r="Y136" s="9">
        <v>68.8</v>
      </c>
      <c r="Z136" s="9">
        <v>3.6</v>
      </c>
      <c r="AA136" s="18">
        <f t="shared" si="8"/>
        <v>0.0598677340758789</v>
      </c>
      <c r="AB136" s="9">
        <v>132.8</v>
      </c>
      <c r="AC136" s="9">
        <v>24.2</v>
      </c>
      <c r="AD136" s="18">
        <f t="shared" si="9"/>
        <v>0.113523679261412</v>
      </c>
      <c r="AE136" s="9">
        <v>21.4</v>
      </c>
      <c r="AF136" s="18">
        <f t="shared" si="10"/>
        <v>0.0265179677819083</v>
      </c>
    </row>
    <row r="137" spans="1:32">
      <c r="A137" s="1" t="s">
        <v>84</v>
      </c>
      <c r="B137" s="7" t="s">
        <v>35</v>
      </c>
      <c r="C137" s="9"/>
      <c r="D137" s="9">
        <v>367</v>
      </c>
      <c r="E137" s="9">
        <v>1235.8</v>
      </c>
      <c r="F137" s="9">
        <v>1032.4</v>
      </c>
      <c r="G137" s="18">
        <f t="shared" si="0"/>
        <v>0.835410260559961</v>
      </c>
      <c r="H137" s="18">
        <f t="shared" si="1"/>
        <v>1.7824486633088</v>
      </c>
      <c r="I137" s="9">
        <v>45.6</v>
      </c>
      <c r="J137" s="9">
        <v>0.2</v>
      </c>
      <c r="K137" s="18">
        <f t="shared" si="2"/>
        <v>0.0368932038834951</v>
      </c>
      <c r="L137" s="9">
        <v>26.2</v>
      </c>
      <c r="M137" s="9">
        <v>7.2</v>
      </c>
      <c r="N137" s="18">
        <f t="shared" si="3"/>
        <v>0.0210780370072405</v>
      </c>
      <c r="O137" s="9">
        <v>333.6</v>
      </c>
      <c r="P137" s="9">
        <v>333.6</v>
      </c>
      <c r="Q137" s="18">
        <f t="shared" si="4"/>
        <v>0.212565311584045</v>
      </c>
      <c r="R137" s="9">
        <v>800</v>
      </c>
      <c r="S137" s="18">
        <f t="shared" si="5"/>
        <v>0.647353940767114</v>
      </c>
      <c r="T137" s="9">
        <v>275</v>
      </c>
      <c r="U137" s="18">
        <f t="shared" si="6"/>
        <v>0.34375</v>
      </c>
      <c r="V137" s="9">
        <v>78.4</v>
      </c>
      <c r="W137" s="9">
        <v>1.4</v>
      </c>
      <c r="X137" s="18">
        <f t="shared" si="7"/>
        <v>0.0633688975105076</v>
      </c>
      <c r="Y137" s="9">
        <v>120.2</v>
      </c>
      <c r="Z137" s="9">
        <v>4.2</v>
      </c>
      <c r="AA137" s="18">
        <f t="shared" si="8"/>
        <v>0.0969354838709677</v>
      </c>
      <c r="AB137" s="9">
        <v>148.2</v>
      </c>
      <c r="AC137" s="9">
        <v>21</v>
      </c>
      <c r="AD137" s="18">
        <f t="shared" si="9"/>
        <v>0.117918523233609</v>
      </c>
      <c r="AE137" s="9">
        <v>13</v>
      </c>
      <c r="AF137" s="18">
        <f t="shared" si="10"/>
        <v>0.01625</v>
      </c>
    </row>
    <row r="138" spans="1:32">
      <c r="A138" s="1" t="s">
        <v>84</v>
      </c>
      <c r="B138" s="7" t="s">
        <v>36</v>
      </c>
      <c r="C138" s="9"/>
      <c r="D138" s="9">
        <f>D136+D137</f>
        <v>712.4</v>
      </c>
      <c r="E138" s="9">
        <f>E136+E137</f>
        <v>2381.4</v>
      </c>
      <c r="F138" s="9">
        <f>F136+F137</f>
        <v>1992.6</v>
      </c>
      <c r="G138" s="18">
        <f t="shared" si="0"/>
        <v>0.836734693877551</v>
      </c>
      <c r="H138" s="18">
        <f t="shared" si="1"/>
        <v>1.75278530563083</v>
      </c>
      <c r="I138" s="9">
        <f>I136+I137</f>
        <v>77</v>
      </c>
      <c r="J138" s="9">
        <f>J136+J137</f>
        <v>0.4</v>
      </c>
      <c r="K138" s="18">
        <f t="shared" si="2"/>
        <v>0.0323284910571836</v>
      </c>
      <c r="L138" s="9">
        <f>L136+L137</f>
        <v>29.4</v>
      </c>
      <c r="M138" s="9">
        <f>M136+M137</f>
        <v>12.8</v>
      </c>
      <c r="N138" s="18">
        <f t="shared" si="3"/>
        <v>0.0122796758833848</v>
      </c>
      <c r="O138" s="9">
        <f>O136+O137</f>
        <v>755.6</v>
      </c>
      <c r="P138" s="9">
        <f>P136+P137</f>
        <v>755.6</v>
      </c>
      <c r="Q138" s="18">
        <f t="shared" si="4"/>
        <v>0.240867070449474</v>
      </c>
      <c r="R138" s="9">
        <f>R136+R137</f>
        <v>1607</v>
      </c>
      <c r="S138" s="18">
        <f t="shared" si="5"/>
        <v>0.674813135130596</v>
      </c>
      <c r="T138" s="9">
        <f>T136+T137</f>
        <v>397.6</v>
      </c>
      <c r="U138" s="18">
        <f t="shared" si="6"/>
        <v>0.247417548226509</v>
      </c>
      <c r="V138" s="9">
        <f>V136+V137</f>
        <v>121.6</v>
      </c>
      <c r="W138" s="9">
        <f>W136+W137</f>
        <v>3.6</v>
      </c>
      <c r="X138" s="18">
        <f t="shared" si="7"/>
        <v>0.0509853249475891</v>
      </c>
      <c r="Y138" s="9">
        <f>Y136+Y137</f>
        <v>189</v>
      </c>
      <c r="Z138" s="9">
        <f>Z136+Z137</f>
        <v>7.8</v>
      </c>
      <c r="AA138" s="18">
        <f t="shared" si="8"/>
        <v>0.0791059768960321</v>
      </c>
      <c r="AB138" s="9">
        <f>AB136+AB137</f>
        <v>281</v>
      </c>
      <c r="AC138" s="9">
        <f>AC136+AC137</f>
        <v>45.2</v>
      </c>
      <c r="AD138" s="18">
        <f t="shared" si="9"/>
        <v>0.115799884612215</v>
      </c>
      <c r="AE138" s="9">
        <f>AE136+AE137</f>
        <v>34.4</v>
      </c>
      <c r="AF138" s="18">
        <f t="shared" si="10"/>
        <v>0.021406347230865</v>
      </c>
    </row>
    <row r="139" ht="34" spans="1:32">
      <c r="A139" s="1" t="s">
        <v>85</v>
      </c>
      <c r="B139" s="7" t="s">
        <v>33</v>
      </c>
      <c r="C139" s="9"/>
      <c r="D139" s="9">
        <v>318.4</v>
      </c>
      <c r="E139" s="9">
        <v>1138.6</v>
      </c>
      <c r="F139" s="9">
        <v>965.2</v>
      </c>
      <c r="G139" s="18">
        <f t="shared" si="0"/>
        <v>0.847707711224311</v>
      </c>
      <c r="H139" s="18">
        <f t="shared" si="1"/>
        <v>1.70990468296726</v>
      </c>
      <c r="I139" s="9">
        <v>28.4</v>
      </c>
      <c r="J139" s="9">
        <v>0.2</v>
      </c>
      <c r="K139" s="18">
        <f t="shared" si="2"/>
        <v>0.0249385317878469</v>
      </c>
      <c r="L139" s="9">
        <v>3.2</v>
      </c>
      <c r="M139" s="9">
        <v>6</v>
      </c>
      <c r="N139" s="18">
        <f t="shared" si="3"/>
        <v>0.0027957365018347</v>
      </c>
      <c r="O139" s="9">
        <v>434</v>
      </c>
      <c r="P139" s="9">
        <v>434</v>
      </c>
      <c r="Q139" s="18">
        <f t="shared" si="4"/>
        <v>0.27597609055068</v>
      </c>
      <c r="R139" s="9">
        <v>810.6</v>
      </c>
      <c r="S139" s="18">
        <f t="shared" si="5"/>
        <v>0.711926927806078</v>
      </c>
      <c r="T139" s="9">
        <v>118</v>
      </c>
      <c r="U139" s="18">
        <f t="shared" si="6"/>
        <v>0.145571181840612</v>
      </c>
      <c r="V139" s="9">
        <v>38.2</v>
      </c>
      <c r="W139" s="9">
        <v>3.8</v>
      </c>
      <c r="X139" s="18">
        <f t="shared" si="7"/>
        <v>0.0334383753501401</v>
      </c>
      <c r="Y139" s="9">
        <v>71.8</v>
      </c>
      <c r="Z139" s="9">
        <v>6.2</v>
      </c>
      <c r="AA139" s="18">
        <f t="shared" si="8"/>
        <v>0.0627183787561146</v>
      </c>
      <c r="AB139" s="9">
        <v>129.2</v>
      </c>
      <c r="AC139" s="9">
        <v>22</v>
      </c>
      <c r="AD139" s="18">
        <f t="shared" si="9"/>
        <v>0.111321730139583</v>
      </c>
      <c r="AE139" s="9">
        <v>17</v>
      </c>
      <c r="AF139" s="18">
        <f t="shared" si="10"/>
        <v>0.0209721194177153</v>
      </c>
    </row>
    <row r="140" ht="31" spans="1:32">
      <c r="A140" s="1" t="s">
        <v>85</v>
      </c>
      <c r="B140" s="7" t="s">
        <v>35</v>
      </c>
      <c r="C140" s="9"/>
      <c r="D140" s="9">
        <v>316.1</v>
      </c>
      <c r="E140" s="9">
        <v>1164.6</v>
      </c>
      <c r="F140" s="9">
        <v>973.6</v>
      </c>
      <c r="G140" s="18">
        <f t="shared" si="0"/>
        <v>0.835995191482054</v>
      </c>
      <c r="H140" s="18">
        <f t="shared" si="1"/>
        <v>1.80176663927691</v>
      </c>
      <c r="I140" s="9">
        <v>42.6</v>
      </c>
      <c r="J140" s="9">
        <v>0.4</v>
      </c>
      <c r="K140" s="18">
        <f t="shared" si="2"/>
        <v>0.0365665236051502</v>
      </c>
      <c r="L140" s="9">
        <v>17.4</v>
      </c>
      <c r="M140" s="9">
        <v>8.2</v>
      </c>
      <c r="N140" s="18">
        <f t="shared" si="3"/>
        <v>0.0148362892223738</v>
      </c>
      <c r="O140" s="9">
        <v>328.8</v>
      </c>
      <c r="P140" s="9">
        <v>328.8</v>
      </c>
      <c r="Q140" s="18">
        <f t="shared" si="4"/>
        <v>0.220168742466854</v>
      </c>
      <c r="R140" s="9">
        <v>776.6</v>
      </c>
      <c r="S140" s="18">
        <f t="shared" si="5"/>
        <v>0.666838399450455</v>
      </c>
      <c r="T140" s="9">
        <v>268.2</v>
      </c>
      <c r="U140" s="18">
        <f t="shared" si="6"/>
        <v>0.345351532320371</v>
      </c>
      <c r="V140" s="9">
        <v>39.8</v>
      </c>
      <c r="W140" s="9">
        <v>1.8</v>
      </c>
      <c r="X140" s="18">
        <f t="shared" si="7"/>
        <v>0.034122085048011</v>
      </c>
      <c r="Y140" s="9">
        <v>129</v>
      </c>
      <c r="Z140" s="9">
        <v>2.4</v>
      </c>
      <c r="AA140" s="18">
        <f t="shared" si="8"/>
        <v>0.110539845758355</v>
      </c>
      <c r="AB140" s="9">
        <v>138.8</v>
      </c>
      <c r="AC140" s="9">
        <v>21.4</v>
      </c>
      <c r="AD140" s="18">
        <f t="shared" si="9"/>
        <v>0.117032040472175</v>
      </c>
      <c r="AE140" s="9">
        <v>13</v>
      </c>
      <c r="AF140" s="18">
        <f t="shared" si="10"/>
        <v>0.0167396343033737</v>
      </c>
    </row>
    <row r="141" ht="31" spans="1:32">
      <c r="A141" s="1" t="s">
        <v>85</v>
      </c>
      <c r="B141" s="7" t="s">
        <v>36</v>
      </c>
      <c r="C141" s="9"/>
      <c r="D141" s="9">
        <f>D139+D140</f>
        <v>634.5</v>
      </c>
      <c r="E141" s="9">
        <f>E139+E140</f>
        <v>2303.2</v>
      </c>
      <c r="F141" s="9">
        <f>F139+F140</f>
        <v>1938.8</v>
      </c>
      <c r="G141" s="18">
        <f t="shared" si="0"/>
        <v>0.841785342132685</v>
      </c>
      <c r="H141" s="18">
        <f t="shared" si="1"/>
        <v>1.75603466061481</v>
      </c>
      <c r="I141" s="9">
        <f>I139+I140</f>
        <v>71</v>
      </c>
      <c r="J141" s="9">
        <f>J139+J140</f>
        <v>0.6</v>
      </c>
      <c r="K141" s="18">
        <f t="shared" si="2"/>
        <v>0.0308186474520358</v>
      </c>
      <c r="L141" s="9">
        <f>L139+L140</f>
        <v>20.6</v>
      </c>
      <c r="M141" s="9">
        <f>M139+M140</f>
        <v>14.2</v>
      </c>
      <c r="N141" s="18">
        <f t="shared" si="3"/>
        <v>0.0088892724605161</v>
      </c>
      <c r="O141" s="9">
        <f>O139+O140</f>
        <v>762.8</v>
      </c>
      <c r="P141" s="9">
        <f>P139+P140</f>
        <v>762.8</v>
      </c>
      <c r="Q141" s="18">
        <f t="shared" si="4"/>
        <v>0.248793215916504</v>
      </c>
      <c r="R141" s="9">
        <f>R139+R140</f>
        <v>1587.2</v>
      </c>
      <c r="S141" s="18">
        <f t="shared" si="5"/>
        <v>0.6891281695033</v>
      </c>
      <c r="T141" s="9">
        <f>T139+T140</f>
        <v>386.2</v>
      </c>
      <c r="U141" s="18">
        <f t="shared" si="6"/>
        <v>0.243321572580645</v>
      </c>
      <c r="V141" s="9">
        <f>V139+V140</f>
        <v>78</v>
      </c>
      <c r="W141" s="9">
        <f>W139+W140</f>
        <v>5.6</v>
      </c>
      <c r="X141" s="18">
        <f t="shared" si="7"/>
        <v>0.0337837837837838</v>
      </c>
      <c r="Y141" s="9">
        <f>Y139+Y140</f>
        <v>200.8</v>
      </c>
      <c r="Z141" s="9">
        <f>Z139+Z140</f>
        <v>8.6</v>
      </c>
      <c r="AA141" s="18">
        <f t="shared" si="8"/>
        <v>0.0868587248031837</v>
      </c>
      <c r="AB141" s="9">
        <f>AB139+AB140</f>
        <v>268</v>
      </c>
      <c r="AC141" s="9">
        <f>AC139+AC140</f>
        <v>43.4</v>
      </c>
      <c r="AD141" s="18">
        <f t="shared" si="9"/>
        <v>0.114207789994034</v>
      </c>
      <c r="AE141" s="9">
        <f>AE139+AE140</f>
        <v>30</v>
      </c>
      <c r="AF141" s="18">
        <f t="shared" si="10"/>
        <v>0.0189012096774194</v>
      </c>
    </row>
    <row r="142" ht="34" spans="1:32">
      <c r="A142" s="1" t="s">
        <v>86</v>
      </c>
      <c r="B142" s="7" t="s">
        <v>33</v>
      </c>
      <c r="C142" s="9"/>
      <c r="D142" s="9">
        <v>339.8</v>
      </c>
      <c r="E142" s="9">
        <v>1162</v>
      </c>
      <c r="F142" s="9">
        <v>993.2</v>
      </c>
      <c r="G142" s="18">
        <f t="shared" si="0"/>
        <v>0.85473321858864</v>
      </c>
      <c r="H142" s="18">
        <f t="shared" si="1"/>
        <v>1.68264196536448</v>
      </c>
      <c r="I142" s="9">
        <v>25.6</v>
      </c>
      <c r="J142" s="9">
        <v>0.2</v>
      </c>
      <c r="K142" s="18">
        <f t="shared" si="2"/>
        <v>0.0220271898124247</v>
      </c>
      <c r="L142" s="9">
        <v>2.6</v>
      </c>
      <c r="M142" s="9">
        <v>5.4</v>
      </c>
      <c r="N142" s="18">
        <f t="shared" si="3"/>
        <v>0.0022271714922049</v>
      </c>
      <c r="O142" s="9">
        <v>418.6</v>
      </c>
      <c r="P142" s="9">
        <v>418.6</v>
      </c>
      <c r="Q142" s="18">
        <f t="shared" si="4"/>
        <v>0.264836138175376</v>
      </c>
      <c r="R142" s="9">
        <v>840.4</v>
      </c>
      <c r="S142" s="18">
        <f t="shared" si="5"/>
        <v>0.723235800344234</v>
      </c>
      <c r="T142" s="9">
        <v>121.8</v>
      </c>
      <c r="U142" s="18">
        <f t="shared" si="6"/>
        <v>0.144930985245121</v>
      </c>
      <c r="V142" s="9">
        <v>39.8</v>
      </c>
      <c r="W142" s="9">
        <v>2</v>
      </c>
      <c r="X142" s="18">
        <f t="shared" si="7"/>
        <v>0.034192439862543</v>
      </c>
      <c r="Y142" s="9">
        <v>75</v>
      </c>
      <c r="Z142" s="9">
        <v>5.8</v>
      </c>
      <c r="AA142" s="18">
        <f t="shared" si="8"/>
        <v>0.0642233259119712</v>
      </c>
      <c r="AB142" s="9">
        <v>128.6</v>
      </c>
      <c r="AC142" s="9">
        <v>20.6</v>
      </c>
      <c r="AD142" s="18">
        <f t="shared" si="9"/>
        <v>0.10874344664299</v>
      </c>
      <c r="AE142" s="9">
        <v>18.8</v>
      </c>
      <c r="AF142" s="18">
        <f t="shared" si="10"/>
        <v>0.0223702998572109</v>
      </c>
    </row>
    <row r="143" ht="31" spans="1:32">
      <c r="A143" s="1" t="s">
        <v>86</v>
      </c>
      <c r="B143" s="7" t="s">
        <v>35</v>
      </c>
      <c r="C143" s="9"/>
      <c r="D143" s="9">
        <v>337.4</v>
      </c>
      <c r="E143" s="9">
        <v>1182.4</v>
      </c>
      <c r="F143" s="9">
        <v>965.6</v>
      </c>
      <c r="G143" s="18">
        <f t="shared" si="0"/>
        <v>0.816644113667118</v>
      </c>
      <c r="H143" s="18">
        <f t="shared" si="1"/>
        <v>1.79805302402651</v>
      </c>
      <c r="I143" s="9">
        <v>39.4</v>
      </c>
      <c r="J143" s="9">
        <v>0.4</v>
      </c>
      <c r="K143" s="18">
        <f t="shared" si="2"/>
        <v>0.033310787960771</v>
      </c>
      <c r="L143" s="9">
        <v>25.6</v>
      </c>
      <c r="M143" s="9">
        <v>9.6</v>
      </c>
      <c r="N143" s="18">
        <f t="shared" si="3"/>
        <v>0.0214765100671141</v>
      </c>
      <c r="O143" s="9">
        <v>338</v>
      </c>
      <c r="P143" s="9">
        <v>338</v>
      </c>
      <c r="Q143" s="18">
        <f t="shared" si="4"/>
        <v>0.222309918442515</v>
      </c>
      <c r="R143" s="9">
        <v>738.2</v>
      </c>
      <c r="S143" s="18">
        <f t="shared" si="5"/>
        <v>0.624323410013532</v>
      </c>
      <c r="T143" s="9">
        <v>246.8</v>
      </c>
      <c r="U143" s="18">
        <f t="shared" si="6"/>
        <v>0.334326740720672</v>
      </c>
      <c r="V143" s="9">
        <v>44</v>
      </c>
      <c r="W143" s="9">
        <v>1.6</v>
      </c>
      <c r="X143" s="18">
        <f t="shared" si="7"/>
        <v>0.0371621621621622</v>
      </c>
      <c r="Y143" s="9">
        <v>109.4</v>
      </c>
      <c r="Z143" s="9">
        <v>2.6</v>
      </c>
      <c r="AA143" s="18">
        <f t="shared" si="8"/>
        <v>0.0923206751054852</v>
      </c>
      <c r="AB143" s="9">
        <v>153.6</v>
      </c>
      <c r="AC143" s="9">
        <v>18.8</v>
      </c>
      <c r="AD143" s="18">
        <f t="shared" si="9"/>
        <v>0.127872127872128</v>
      </c>
      <c r="AE143" s="9">
        <v>41.2</v>
      </c>
      <c r="AF143" s="18">
        <f t="shared" si="10"/>
        <v>0.0558114332159306</v>
      </c>
    </row>
    <row r="144" ht="31" spans="1:39">
      <c r="A144" s="1" t="s">
        <v>86</v>
      </c>
      <c r="B144" s="7" t="s">
        <v>36</v>
      </c>
      <c r="C144" s="9"/>
      <c r="D144" s="9">
        <f>D142+D143</f>
        <v>677.2</v>
      </c>
      <c r="E144" s="9">
        <f>E142+E143</f>
        <v>2344.4</v>
      </c>
      <c r="F144" s="9">
        <f>F142+F143</f>
        <v>1958.8</v>
      </c>
      <c r="G144" s="18">
        <f t="shared" si="0"/>
        <v>0.835522948302338</v>
      </c>
      <c r="H144" s="18">
        <f t="shared" si="1"/>
        <v>1.73953440882173</v>
      </c>
      <c r="I144" s="9">
        <f>I142+I143</f>
        <v>65</v>
      </c>
      <c r="J144" s="9">
        <f>J142+J143</f>
        <v>0.6</v>
      </c>
      <c r="K144" s="18">
        <f t="shared" si="2"/>
        <v>0.0277185501066098</v>
      </c>
      <c r="L144" s="9">
        <f>L142+L143</f>
        <v>28.2</v>
      </c>
      <c r="M144" s="9">
        <f>M142+M143</f>
        <v>15</v>
      </c>
      <c r="N144" s="18">
        <f t="shared" si="3"/>
        <v>0.0119521912350598</v>
      </c>
      <c r="O144" s="9">
        <f>O142+O143</f>
        <v>756.6</v>
      </c>
      <c r="P144" s="9">
        <f>P142+P143</f>
        <v>756.6</v>
      </c>
      <c r="Q144" s="18">
        <f t="shared" si="4"/>
        <v>0.2439858110287</v>
      </c>
      <c r="R144" s="9">
        <f>R142+R143</f>
        <v>1578.6</v>
      </c>
      <c r="S144" s="18">
        <f t="shared" si="5"/>
        <v>0.673349257805835</v>
      </c>
      <c r="T144" s="9">
        <f>T142+T143</f>
        <v>368.6</v>
      </c>
      <c r="U144" s="18">
        <f t="shared" si="6"/>
        <v>0.233498036234638</v>
      </c>
      <c r="V144" s="9">
        <f>V142+V143</f>
        <v>83.8</v>
      </c>
      <c r="W144" s="9">
        <f>W142+W143</f>
        <v>3.6</v>
      </c>
      <c r="X144" s="18">
        <f t="shared" si="7"/>
        <v>0.0356899488926746</v>
      </c>
      <c r="Y144" s="9">
        <f>Y142+Y143</f>
        <v>184.4</v>
      </c>
      <c r="Z144" s="9">
        <f>Z142+Z143</f>
        <v>8.4</v>
      </c>
      <c r="AA144" s="18">
        <f t="shared" si="8"/>
        <v>0.0783747024821489</v>
      </c>
      <c r="AB144" s="9">
        <f>AB142+AB143</f>
        <v>282.2</v>
      </c>
      <c r="AC144" s="9">
        <f>AC142+AC143</f>
        <v>39.4</v>
      </c>
      <c r="AD144" s="18">
        <f t="shared" si="9"/>
        <v>0.1183824146321</v>
      </c>
      <c r="AE144" s="9">
        <f>AE142+AE143</f>
        <v>60</v>
      </c>
      <c r="AF144" s="18">
        <f t="shared" si="10"/>
        <v>0.0380083618396047</v>
      </c>
      <c r="AH144" s="2" t="s">
        <v>159</v>
      </c>
      <c r="AM144" s="2"/>
    </row>
    <row r="145" ht="34" spans="1:32">
      <c r="A145" s="1" t="s">
        <v>87</v>
      </c>
      <c r="B145" s="7" t="s">
        <v>33</v>
      </c>
      <c r="C145" s="9"/>
      <c r="D145" s="9">
        <v>344.4</v>
      </c>
      <c r="E145" s="9">
        <v>1182.6</v>
      </c>
      <c r="F145" s="9">
        <v>995.6</v>
      </c>
      <c r="G145" s="18">
        <f t="shared" si="0"/>
        <v>0.841873837307627</v>
      </c>
      <c r="H145" s="18">
        <f t="shared" si="1"/>
        <v>1.69023704298915</v>
      </c>
      <c r="I145" s="9">
        <v>22.4</v>
      </c>
      <c r="J145" s="9">
        <v>0.6</v>
      </c>
      <c r="K145" s="18">
        <f t="shared" si="2"/>
        <v>0.0189317106152806</v>
      </c>
      <c r="L145" s="9">
        <v>3.4</v>
      </c>
      <c r="M145" s="9">
        <v>2.8</v>
      </c>
      <c r="N145" s="18">
        <f t="shared" si="3"/>
        <v>0.00286823013328834</v>
      </c>
      <c r="O145" s="9">
        <v>412</v>
      </c>
      <c r="P145" s="9">
        <v>412</v>
      </c>
      <c r="Q145" s="18">
        <f t="shared" si="4"/>
        <v>0.258372005518625</v>
      </c>
      <c r="R145" s="9">
        <v>846.6</v>
      </c>
      <c r="S145" s="18">
        <f t="shared" si="5"/>
        <v>0.715880263825469</v>
      </c>
      <c r="T145" s="9">
        <v>135</v>
      </c>
      <c r="U145" s="18">
        <f t="shared" si="6"/>
        <v>0.15946137491141</v>
      </c>
      <c r="V145" s="9">
        <v>39.8</v>
      </c>
      <c r="W145" s="9">
        <v>2.2</v>
      </c>
      <c r="X145" s="18">
        <f t="shared" si="7"/>
        <v>0.0335921674544227</v>
      </c>
      <c r="Y145" s="9">
        <v>72.6</v>
      </c>
      <c r="Z145" s="9">
        <v>5.2</v>
      </c>
      <c r="AA145" s="18">
        <f t="shared" si="8"/>
        <v>0.061121400909244</v>
      </c>
      <c r="AB145" s="9">
        <v>134.2</v>
      </c>
      <c r="AC145" s="9">
        <v>22.8</v>
      </c>
      <c r="AD145" s="18">
        <f t="shared" si="9"/>
        <v>0.111332337813174</v>
      </c>
      <c r="AE145" s="9">
        <v>16.8</v>
      </c>
      <c r="AF145" s="18">
        <f t="shared" si="10"/>
        <v>0.0198440822111977</v>
      </c>
    </row>
    <row r="146" ht="31" spans="1:32">
      <c r="A146" s="1" t="s">
        <v>87</v>
      </c>
      <c r="B146" s="7" t="s">
        <v>35</v>
      </c>
      <c r="C146" s="9"/>
      <c r="D146" s="9">
        <v>362.1</v>
      </c>
      <c r="E146" s="9">
        <v>1275.8</v>
      </c>
      <c r="F146" s="9">
        <v>1065.4</v>
      </c>
      <c r="G146" s="18">
        <f t="shared" si="0"/>
        <v>0.835083868944976</v>
      </c>
      <c r="H146" s="18">
        <f t="shared" si="1"/>
        <v>1.76140416744885</v>
      </c>
      <c r="I146" s="9">
        <v>35.2</v>
      </c>
      <c r="J146" s="9">
        <v>0.2</v>
      </c>
      <c r="K146" s="18">
        <f t="shared" si="2"/>
        <v>0.0275862068965517</v>
      </c>
      <c r="L146" s="9">
        <v>25.2</v>
      </c>
      <c r="M146" s="9">
        <v>8.2</v>
      </c>
      <c r="N146" s="18">
        <f t="shared" si="3"/>
        <v>0.0196261682242991</v>
      </c>
      <c r="O146" s="9">
        <v>343.8</v>
      </c>
      <c r="P146" s="9">
        <v>343.8</v>
      </c>
      <c r="Q146" s="18">
        <f t="shared" si="4"/>
        <v>0.212274635712522</v>
      </c>
      <c r="R146" s="9">
        <v>847.8</v>
      </c>
      <c r="S146" s="18">
        <f t="shared" si="5"/>
        <v>0.664524220097194</v>
      </c>
      <c r="T146" s="9">
        <v>283.4</v>
      </c>
      <c r="U146" s="18">
        <f t="shared" si="6"/>
        <v>0.334276952111347</v>
      </c>
      <c r="V146" s="9">
        <v>43.2</v>
      </c>
      <c r="W146" s="9">
        <v>2</v>
      </c>
      <c r="X146" s="18">
        <f t="shared" si="7"/>
        <v>0.0338081076850837</v>
      </c>
      <c r="Y146" s="9">
        <v>145.6</v>
      </c>
      <c r="Z146" s="9">
        <v>4.8</v>
      </c>
      <c r="AA146" s="18">
        <f t="shared" si="8"/>
        <v>0.113696704669686</v>
      </c>
      <c r="AB146" s="9">
        <v>145</v>
      </c>
      <c r="AC146" s="9">
        <v>18.6</v>
      </c>
      <c r="AD146" s="18">
        <f t="shared" si="9"/>
        <v>0.112021013597033</v>
      </c>
      <c r="AE146" s="9">
        <v>7.4</v>
      </c>
      <c r="AF146" s="18">
        <f t="shared" si="10"/>
        <v>0.00872847369662656</v>
      </c>
    </row>
    <row r="147" ht="31" spans="1:32">
      <c r="A147" s="1" t="s">
        <v>87</v>
      </c>
      <c r="B147" s="7" t="s">
        <v>36</v>
      </c>
      <c r="C147" s="9"/>
      <c r="D147" s="9">
        <f>D145+D146</f>
        <v>706.5</v>
      </c>
      <c r="E147" s="9">
        <f>E145+E146</f>
        <v>2458.4</v>
      </c>
      <c r="F147" s="9">
        <f>F145+F146</f>
        <v>2061</v>
      </c>
      <c r="G147" s="18">
        <f t="shared" si="0"/>
        <v>0.838350146436707</v>
      </c>
      <c r="H147" s="18">
        <f t="shared" si="1"/>
        <v>1.727025715672</v>
      </c>
      <c r="I147" s="9">
        <f>I145+I146</f>
        <v>57.6</v>
      </c>
      <c r="J147" s="9">
        <f>J145+J146</f>
        <v>0.8</v>
      </c>
      <c r="K147" s="18">
        <f t="shared" si="2"/>
        <v>0.0234222511385817</v>
      </c>
      <c r="L147" s="9">
        <f>L145+L146</f>
        <v>28.6</v>
      </c>
      <c r="M147" s="9">
        <f>M145+M146</f>
        <v>11</v>
      </c>
      <c r="N147" s="18">
        <f t="shared" si="3"/>
        <v>0.0115817607515996</v>
      </c>
      <c r="O147" s="9">
        <f>O145+O146</f>
        <v>755.8</v>
      </c>
      <c r="P147" s="9">
        <f>P145+P146</f>
        <v>755.8</v>
      </c>
      <c r="Q147" s="18">
        <f t="shared" si="4"/>
        <v>0.235144048285732</v>
      </c>
      <c r="R147" s="9">
        <f>R145+R146</f>
        <v>1694.4</v>
      </c>
      <c r="S147" s="18">
        <f t="shared" si="5"/>
        <v>0.689228766677514</v>
      </c>
      <c r="T147" s="9">
        <f>T145+T146</f>
        <v>418.4</v>
      </c>
      <c r="U147" s="18">
        <f t="shared" si="6"/>
        <v>0.246931067044381</v>
      </c>
      <c r="V147" s="9">
        <f>V145+V146</f>
        <v>83</v>
      </c>
      <c r="W147" s="9">
        <f>W145+W146</f>
        <v>4.2</v>
      </c>
      <c r="X147" s="18">
        <f t="shared" si="7"/>
        <v>0.0337042150572566</v>
      </c>
      <c r="Y147" s="9">
        <f>Y145+Y146</f>
        <v>218.2</v>
      </c>
      <c r="Z147" s="9">
        <f>Z145+Z146</f>
        <v>10</v>
      </c>
      <c r="AA147" s="18">
        <f t="shared" si="8"/>
        <v>0.0883973424080376</v>
      </c>
      <c r="AB147" s="9">
        <f>AB145+AB146</f>
        <v>279.2</v>
      </c>
      <c r="AC147" s="9">
        <f>AC145+AC146</f>
        <v>41.4</v>
      </c>
      <c r="AD147" s="18">
        <f t="shared" si="9"/>
        <v>0.111688935114809</v>
      </c>
      <c r="AE147" s="9">
        <f>AE145+AE146</f>
        <v>24.2</v>
      </c>
      <c r="AF147" s="18">
        <f t="shared" si="10"/>
        <v>0.0142823418319169</v>
      </c>
    </row>
    <row r="148" ht="34" spans="1:32">
      <c r="A148" s="1" t="s">
        <v>88</v>
      </c>
      <c r="B148" s="7" t="s">
        <v>33</v>
      </c>
      <c r="D148">
        <f>WEB来源数据!C147</f>
        <v>346.8</v>
      </c>
      <c r="E148">
        <f>WEB来源数据!D147</f>
        <v>1359.8</v>
      </c>
      <c r="F148" s="44">
        <v>1101.4</v>
      </c>
      <c r="G148" s="18">
        <f t="shared" si="0"/>
        <v>0.809972054713929</v>
      </c>
      <c r="H148" s="18">
        <f t="shared" si="1"/>
        <v>1.61213001634284</v>
      </c>
      <c r="I148" s="44">
        <v>25.2</v>
      </c>
      <c r="J148" s="44">
        <v>0.8</v>
      </c>
      <c r="K148" s="18">
        <f t="shared" si="2"/>
        <v>0.0185212406291342</v>
      </c>
      <c r="L148" s="44">
        <v>8.2</v>
      </c>
      <c r="M148" s="44">
        <v>4.4</v>
      </c>
      <c r="N148" s="18">
        <f t="shared" si="3"/>
        <v>0.00601084884914235</v>
      </c>
      <c r="O148" s="44">
        <v>435.2</v>
      </c>
      <c r="P148" s="44">
        <v>435.2</v>
      </c>
      <c r="Q148" s="18">
        <f t="shared" si="4"/>
        <v>0.242451253481894</v>
      </c>
      <c r="R148" s="44">
        <v>886.4</v>
      </c>
      <c r="S148" s="18">
        <f t="shared" si="5"/>
        <v>0.651860567730549</v>
      </c>
      <c r="T148" s="44">
        <v>147.8</v>
      </c>
      <c r="U148" s="18">
        <f t="shared" si="6"/>
        <v>0.166741877256318</v>
      </c>
      <c r="V148" s="44">
        <v>39.4</v>
      </c>
      <c r="W148" s="44">
        <v>2.6</v>
      </c>
      <c r="X148" s="18">
        <f t="shared" si="7"/>
        <v>0.028919553728714</v>
      </c>
      <c r="Y148" s="44">
        <v>88</v>
      </c>
      <c r="Z148" s="44">
        <v>5.4</v>
      </c>
      <c r="AA148" s="18">
        <f t="shared" si="8"/>
        <v>0.0644594198652212</v>
      </c>
      <c r="AB148" s="44">
        <v>130.4</v>
      </c>
      <c r="AC148" s="44">
        <v>24.2</v>
      </c>
      <c r="AD148" s="18">
        <f t="shared" si="9"/>
        <v>0.0942196531791908</v>
      </c>
      <c r="AE148" s="44">
        <v>15</v>
      </c>
      <c r="AF148" s="18">
        <f t="shared" si="10"/>
        <v>0.0169223826714801</v>
      </c>
    </row>
    <row r="149" spans="1:32">
      <c r="A149" s="1" t="s">
        <v>88</v>
      </c>
      <c r="B149" s="7" t="s">
        <v>35</v>
      </c>
      <c r="D149">
        <f>WEB来源数据!C148</f>
        <v>372.1</v>
      </c>
      <c r="E149">
        <f>WEB来源数据!D148</f>
        <v>1376.4</v>
      </c>
      <c r="F149" s="44">
        <v>1124</v>
      </c>
      <c r="G149" s="18">
        <f t="shared" si="0"/>
        <v>0.816623074687591</v>
      </c>
      <c r="H149" s="18">
        <f t="shared" si="1"/>
        <v>1.76334519572954</v>
      </c>
      <c r="I149" s="44">
        <v>37</v>
      </c>
      <c r="J149" s="44">
        <v>0.6</v>
      </c>
      <c r="K149" s="18">
        <f t="shared" si="2"/>
        <v>0.0268700072621641</v>
      </c>
      <c r="L149" s="44">
        <v>25.2</v>
      </c>
      <c r="M149" s="44">
        <v>10.4</v>
      </c>
      <c r="N149" s="18">
        <f t="shared" si="3"/>
        <v>0.0181713296798385</v>
      </c>
      <c r="O149" s="44">
        <v>356.4</v>
      </c>
      <c r="P149" s="44">
        <v>356.4</v>
      </c>
      <c r="Q149" s="18">
        <f t="shared" si="4"/>
        <v>0.205678670360111</v>
      </c>
      <c r="R149" s="44">
        <v>861.2</v>
      </c>
      <c r="S149" s="18">
        <f t="shared" si="5"/>
        <v>0.625690206335368</v>
      </c>
      <c r="T149" s="44">
        <v>302.2</v>
      </c>
      <c r="U149" s="18">
        <f t="shared" si="6"/>
        <v>0.350905712958662</v>
      </c>
      <c r="V149" s="44">
        <v>56.2</v>
      </c>
      <c r="W149" s="44">
        <v>2</v>
      </c>
      <c r="X149" s="18">
        <f t="shared" si="7"/>
        <v>0.0407719094602438</v>
      </c>
      <c r="Y149" s="44">
        <v>172.6</v>
      </c>
      <c r="Z149" s="44">
        <v>4</v>
      </c>
      <c r="AA149" s="18">
        <f t="shared" si="8"/>
        <v>0.125036221385106</v>
      </c>
      <c r="AB149" s="44">
        <v>159.2</v>
      </c>
      <c r="AC149" s="44">
        <v>23.6</v>
      </c>
      <c r="AD149" s="18">
        <f t="shared" si="9"/>
        <v>0.113714285714286</v>
      </c>
      <c r="AE149" s="44">
        <v>12</v>
      </c>
      <c r="AF149" s="18">
        <f t="shared" si="10"/>
        <v>0.013934045517882</v>
      </c>
    </row>
    <row r="150" spans="1:32">
      <c r="A150" s="1" t="s">
        <v>88</v>
      </c>
      <c r="B150" s="7" t="s">
        <v>36</v>
      </c>
      <c r="D150">
        <f>WEB来源数据!C149</f>
        <v>718.9</v>
      </c>
      <c r="E150">
        <f>WEB来源数据!D149</f>
        <v>2736.2</v>
      </c>
      <c r="F150" s="44">
        <v>2225.4</v>
      </c>
      <c r="G150" s="18">
        <f t="shared" si="0"/>
        <v>0.813317739931292</v>
      </c>
      <c r="H150" s="18">
        <f t="shared" si="1"/>
        <v>1.68850543722477</v>
      </c>
      <c r="I150" s="44">
        <v>62.2</v>
      </c>
      <c r="J150" s="44">
        <v>1.4</v>
      </c>
      <c r="K150" s="18">
        <f t="shared" si="2"/>
        <v>0.0227206312098188</v>
      </c>
      <c r="L150" s="44">
        <v>33.4</v>
      </c>
      <c r="M150" s="44">
        <v>14.8</v>
      </c>
      <c r="N150" s="18">
        <f t="shared" si="3"/>
        <v>0.0121410396219557</v>
      </c>
      <c r="O150" s="44">
        <v>791.6</v>
      </c>
      <c r="P150" s="44">
        <v>791.6</v>
      </c>
      <c r="Q150" s="18">
        <f t="shared" si="4"/>
        <v>0.224389137706219</v>
      </c>
      <c r="R150" s="44">
        <v>1747.6</v>
      </c>
      <c r="S150" s="18">
        <f t="shared" si="5"/>
        <v>0.638696001754258</v>
      </c>
      <c r="T150" s="44">
        <v>450</v>
      </c>
      <c r="U150" s="18">
        <f t="shared" si="6"/>
        <v>0.257495994506752</v>
      </c>
      <c r="V150" s="44">
        <v>95.6</v>
      </c>
      <c r="W150" s="44">
        <v>4.6</v>
      </c>
      <c r="X150" s="18">
        <f t="shared" si="7"/>
        <v>0.0348803269118506</v>
      </c>
      <c r="Y150" s="44">
        <v>260.6</v>
      </c>
      <c r="Z150" s="44">
        <v>9.4</v>
      </c>
      <c r="AA150" s="18">
        <f t="shared" si="8"/>
        <v>0.0949155011655012</v>
      </c>
      <c r="AB150" s="44">
        <v>289.6</v>
      </c>
      <c r="AC150" s="44">
        <v>47.8</v>
      </c>
      <c r="AD150" s="18">
        <f t="shared" si="9"/>
        <v>0.104022988505747</v>
      </c>
      <c r="AE150" s="44">
        <v>27</v>
      </c>
      <c r="AF150" s="18">
        <f t="shared" si="10"/>
        <v>0.0154497596704051</v>
      </c>
    </row>
    <row r="151" ht="34" spans="1:32">
      <c r="A151" s="1" t="s">
        <v>89</v>
      </c>
      <c r="B151" s="7" t="s">
        <v>33</v>
      </c>
      <c r="D151">
        <f>WEB来源数据!C150</f>
        <v>372.3</v>
      </c>
      <c r="E151">
        <f>WEB来源数据!D150</f>
        <v>1348.8</v>
      </c>
      <c r="F151" s="44">
        <v>1024.2</v>
      </c>
      <c r="G151" s="18">
        <f t="shared" si="0"/>
        <v>0.759341637010676</v>
      </c>
      <c r="H151" s="18">
        <f t="shared" si="1"/>
        <v>1.57215387619606</v>
      </c>
      <c r="I151" s="44">
        <v>24.6</v>
      </c>
      <c r="J151" s="44">
        <v>0.4</v>
      </c>
      <c r="K151" s="18">
        <f t="shared" si="2"/>
        <v>0.0182330269789505</v>
      </c>
      <c r="L151" s="44">
        <v>5.2</v>
      </c>
      <c r="M151" s="44">
        <v>5.4</v>
      </c>
      <c r="N151" s="18">
        <f t="shared" si="3"/>
        <v>0.00383990547924974</v>
      </c>
      <c r="O151" s="44">
        <v>439.6</v>
      </c>
      <c r="P151" s="44">
        <v>439.6</v>
      </c>
      <c r="Q151" s="18">
        <f t="shared" si="4"/>
        <v>0.2458063073138</v>
      </c>
      <c r="R151" s="44">
        <v>692.6</v>
      </c>
      <c r="S151" s="18">
        <f t="shared" si="5"/>
        <v>0.513493475682088</v>
      </c>
      <c r="T151" s="44">
        <v>143</v>
      </c>
      <c r="U151" s="18">
        <f t="shared" si="6"/>
        <v>0.206468380017326</v>
      </c>
      <c r="V151" s="44">
        <v>42.2</v>
      </c>
      <c r="W151" s="44">
        <v>2.4</v>
      </c>
      <c r="X151" s="18">
        <f t="shared" si="7"/>
        <v>0.0312314979277679</v>
      </c>
      <c r="Y151" s="44">
        <v>100.4</v>
      </c>
      <c r="Z151" s="44">
        <v>3</v>
      </c>
      <c r="AA151" s="18">
        <f t="shared" si="8"/>
        <v>0.0742713419144844</v>
      </c>
      <c r="AB151" s="44">
        <v>145.6</v>
      </c>
      <c r="AC151" s="44">
        <v>19.8</v>
      </c>
      <c r="AD151" s="18">
        <f t="shared" si="9"/>
        <v>0.106386087973111</v>
      </c>
      <c r="AE151" s="44">
        <v>17</v>
      </c>
      <c r="AF151" s="18">
        <f t="shared" si="10"/>
        <v>0.0245451920300318</v>
      </c>
    </row>
    <row r="152" spans="1:32">
      <c r="A152" s="1" t="s">
        <v>89</v>
      </c>
      <c r="B152" s="7" t="s">
        <v>35</v>
      </c>
      <c r="D152">
        <f>WEB来源数据!C151</f>
        <v>388.7</v>
      </c>
      <c r="E152">
        <f>WEB来源数据!D151</f>
        <v>1466.4</v>
      </c>
      <c r="F152" s="44">
        <v>1111.6</v>
      </c>
      <c r="G152" s="18">
        <f t="shared" si="0"/>
        <v>0.758046917621386</v>
      </c>
      <c r="H152" s="18">
        <f t="shared" si="1"/>
        <v>1.69503418495862</v>
      </c>
      <c r="I152" s="44">
        <v>32.6</v>
      </c>
      <c r="J152" s="44">
        <v>0</v>
      </c>
      <c r="K152" s="18">
        <f t="shared" si="2"/>
        <v>0.0222313147845063</v>
      </c>
      <c r="L152" s="44">
        <v>22</v>
      </c>
      <c r="M152" s="44">
        <v>9.8</v>
      </c>
      <c r="N152" s="18">
        <f t="shared" si="3"/>
        <v>0.014903129657228</v>
      </c>
      <c r="O152" s="44">
        <v>383.8</v>
      </c>
      <c r="P152" s="44">
        <v>383.8</v>
      </c>
      <c r="Q152" s="18">
        <f t="shared" si="4"/>
        <v>0.20743703383418</v>
      </c>
      <c r="R152" s="44">
        <v>704.6</v>
      </c>
      <c r="S152" s="18">
        <f t="shared" si="5"/>
        <v>0.480496453900709</v>
      </c>
      <c r="T152" s="44">
        <v>335.2</v>
      </c>
      <c r="U152" s="18">
        <f t="shared" si="6"/>
        <v>0.475730911155265</v>
      </c>
      <c r="V152" s="44">
        <v>43.4</v>
      </c>
      <c r="W152" s="44">
        <v>1.6</v>
      </c>
      <c r="X152" s="18">
        <f t="shared" si="7"/>
        <v>0.0295640326975477</v>
      </c>
      <c r="Y152" s="44">
        <v>185.8</v>
      </c>
      <c r="Z152" s="44">
        <v>3.8</v>
      </c>
      <c r="AA152" s="18">
        <f t="shared" si="8"/>
        <v>0.126377363623997</v>
      </c>
      <c r="AB152" s="44">
        <v>165.8</v>
      </c>
      <c r="AC152" s="44">
        <v>19.2</v>
      </c>
      <c r="AD152" s="18">
        <f t="shared" si="9"/>
        <v>0.111604738826064</v>
      </c>
      <c r="AE152" s="44">
        <v>11</v>
      </c>
      <c r="AF152" s="18">
        <f t="shared" si="10"/>
        <v>0.0156116945784842</v>
      </c>
    </row>
    <row r="153" spans="1:32">
      <c r="A153" s="1" t="s">
        <v>89</v>
      </c>
      <c r="B153" s="7" t="s">
        <v>36</v>
      </c>
      <c r="D153">
        <f>WEB来源数据!C152</f>
        <v>761</v>
      </c>
      <c r="E153">
        <f>WEB来源数据!D152</f>
        <v>2815.2</v>
      </c>
      <c r="F153" s="44">
        <v>2135.8</v>
      </c>
      <c r="G153" s="18">
        <f t="shared" si="0"/>
        <v>0.758667235009946</v>
      </c>
      <c r="H153" s="18">
        <f t="shared" si="1"/>
        <v>1.63610824983613</v>
      </c>
      <c r="I153" s="44">
        <v>57.2</v>
      </c>
      <c r="J153" s="44">
        <v>0.4</v>
      </c>
      <c r="K153" s="18">
        <f t="shared" si="2"/>
        <v>0.0203153857081972</v>
      </c>
      <c r="L153" s="44">
        <v>27.2</v>
      </c>
      <c r="M153" s="44">
        <v>15.2</v>
      </c>
      <c r="N153" s="18">
        <f t="shared" si="3"/>
        <v>0.00960994912379876</v>
      </c>
      <c r="O153" s="44">
        <v>823.4</v>
      </c>
      <c r="P153" s="44">
        <v>823.4</v>
      </c>
      <c r="Q153" s="18">
        <f t="shared" si="4"/>
        <v>0.22629582806574</v>
      </c>
      <c r="R153" s="44">
        <v>1397.2</v>
      </c>
      <c r="S153" s="18">
        <f t="shared" si="5"/>
        <v>0.496305768684285</v>
      </c>
      <c r="T153" s="44">
        <v>478.2</v>
      </c>
      <c r="U153" s="18">
        <f t="shared" si="6"/>
        <v>0.342255940452333</v>
      </c>
      <c r="V153" s="44">
        <v>85.6</v>
      </c>
      <c r="W153" s="44">
        <v>4</v>
      </c>
      <c r="X153" s="18">
        <f t="shared" si="7"/>
        <v>0.0303632236095346</v>
      </c>
      <c r="Y153" s="44">
        <v>286.2</v>
      </c>
      <c r="Z153" s="44">
        <v>6.8</v>
      </c>
      <c r="AA153" s="18">
        <f t="shared" si="8"/>
        <v>0.101417434443657</v>
      </c>
      <c r="AB153" s="44">
        <v>311.4</v>
      </c>
      <c r="AC153" s="44">
        <v>39</v>
      </c>
      <c r="AD153" s="18">
        <f t="shared" si="9"/>
        <v>0.10910237544671</v>
      </c>
      <c r="AE153" s="44">
        <v>28</v>
      </c>
      <c r="AF153" s="18">
        <f t="shared" si="10"/>
        <v>0.0200400801603206</v>
      </c>
    </row>
    <row r="154" ht="34" spans="1:32">
      <c r="A154" s="1" t="s">
        <v>90</v>
      </c>
      <c r="B154" s="7" t="s">
        <v>33</v>
      </c>
      <c r="D154">
        <f>WEB来源数据!C153</f>
        <v>462.9</v>
      </c>
      <c r="E154">
        <f>WEB来源数据!D153</f>
        <v>1591.2</v>
      </c>
      <c r="F154" s="44">
        <v>1338.4</v>
      </c>
      <c r="G154" s="18">
        <f t="shared" si="0"/>
        <v>0.841126194067371</v>
      </c>
      <c r="H154" s="18">
        <f t="shared" si="1"/>
        <v>1.749252839211</v>
      </c>
      <c r="I154" s="44">
        <v>32</v>
      </c>
      <c r="J154" s="44">
        <v>0.2</v>
      </c>
      <c r="K154" s="18">
        <f t="shared" si="2"/>
        <v>0.0201080809350258</v>
      </c>
      <c r="L154" s="44">
        <v>7.2</v>
      </c>
      <c r="M154" s="44">
        <v>8</v>
      </c>
      <c r="N154" s="18">
        <f t="shared" si="3"/>
        <v>0.00450225112556278</v>
      </c>
      <c r="O154" s="44">
        <v>647.8</v>
      </c>
      <c r="P154" s="44">
        <v>648</v>
      </c>
      <c r="Q154" s="18">
        <f t="shared" si="4"/>
        <v>0.289299749910682</v>
      </c>
      <c r="R154" s="44">
        <v>1104.8</v>
      </c>
      <c r="S154" s="18">
        <f t="shared" si="5"/>
        <v>0.694318753142283</v>
      </c>
      <c r="T154" s="44">
        <v>171.2</v>
      </c>
      <c r="U154" s="18">
        <f t="shared" si="6"/>
        <v>0.154960173787111</v>
      </c>
      <c r="V154" s="44">
        <v>51.4</v>
      </c>
      <c r="W154" s="44">
        <v>3.4</v>
      </c>
      <c r="X154" s="18">
        <f t="shared" si="7"/>
        <v>0.0322337890380033</v>
      </c>
      <c r="Y154" s="44">
        <v>119.8</v>
      </c>
      <c r="Z154" s="44">
        <v>6.4</v>
      </c>
      <c r="AA154" s="18">
        <f t="shared" si="8"/>
        <v>0.0749874812218327</v>
      </c>
      <c r="AB154" s="44">
        <v>187</v>
      </c>
      <c r="AC154" s="44">
        <v>29</v>
      </c>
      <c r="AD154" s="18">
        <f t="shared" si="9"/>
        <v>0.115417849648192</v>
      </c>
      <c r="AE154" s="44">
        <v>20</v>
      </c>
      <c r="AF154" s="18">
        <f t="shared" si="10"/>
        <v>0.0181028240405503</v>
      </c>
    </row>
    <row r="155" ht="31" spans="1:32">
      <c r="A155" s="1" t="s">
        <v>90</v>
      </c>
      <c r="B155" s="7" t="s">
        <v>35</v>
      </c>
      <c r="D155">
        <f>WEB来源数据!C154</f>
        <v>353.4</v>
      </c>
      <c r="E155">
        <f>WEB来源数据!D154</f>
        <v>1293</v>
      </c>
      <c r="F155" s="44">
        <v>1073.2</v>
      </c>
      <c r="G155" s="18">
        <f t="shared" si="0"/>
        <v>0.83000773395205</v>
      </c>
      <c r="H155" s="18">
        <f t="shared" si="1"/>
        <v>1.78624673872531</v>
      </c>
      <c r="I155" s="44">
        <v>36.2</v>
      </c>
      <c r="J155" s="44">
        <v>0</v>
      </c>
      <c r="K155" s="18">
        <f t="shared" si="2"/>
        <v>0.0279969064191802</v>
      </c>
      <c r="L155" s="44">
        <v>26.2</v>
      </c>
      <c r="M155" s="44">
        <v>6.6</v>
      </c>
      <c r="N155" s="18">
        <f t="shared" si="3"/>
        <v>0.0201600492459218</v>
      </c>
      <c r="O155" s="44">
        <v>359.2</v>
      </c>
      <c r="P155" s="44">
        <v>359.2</v>
      </c>
      <c r="Q155" s="18">
        <f t="shared" si="4"/>
        <v>0.217407093572207</v>
      </c>
      <c r="R155" s="44">
        <v>843.4</v>
      </c>
      <c r="S155" s="18">
        <f t="shared" si="5"/>
        <v>0.652281515854602</v>
      </c>
      <c r="T155" s="44">
        <v>277.4</v>
      </c>
      <c r="U155" s="18">
        <f t="shared" si="6"/>
        <v>0.328906805786104</v>
      </c>
      <c r="V155" s="44">
        <v>43.2</v>
      </c>
      <c r="W155" s="44">
        <v>0.8</v>
      </c>
      <c r="X155" s="18">
        <f t="shared" si="7"/>
        <v>0.0333900139125058</v>
      </c>
      <c r="Y155" s="44">
        <v>168.8</v>
      </c>
      <c r="Z155" s="44">
        <v>3.4</v>
      </c>
      <c r="AA155" s="18">
        <f t="shared" si="8"/>
        <v>0.130206726319037</v>
      </c>
      <c r="AB155" s="44">
        <v>152.8</v>
      </c>
      <c r="AC155" s="44">
        <v>20.2</v>
      </c>
      <c r="AD155" s="18">
        <f t="shared" si="9"/>
        <v>0.116356990557417</v>
      </c>
      <c r="AE155" s="44">
        <v>9.8</v>
      </c>
      <c r="AF155" s="18">
        <f t="shared" si="10"/>
        <v>0.0116196348114774</v>
      </c>
    </row>
    <row r="156" ht="31" spans="1:32">
      <c r="A156" s="1" t="s">
        <v>90</v>
      </c>
      <c r="B156" s="7" t="s">
        <v>36</v>
      </c>
      <c r="D156">
        <f>WEB来源数据!C155</f>
        <v>816.3</v>
      </c>
      <c r="E156">
        <f>WEB来源数据!D155</f>
        <v>2884.2</v>
      </c>
      <c r="F156" s="44">
        <v>2411.6</v>
      </c>
      <c r="G156" s="18">
        <f t="shared" si="0"/>
        <v>0.836141737743568</v>
      </c>
      <c r="H156" s="18">
        <f t="shared" si="1"/>
        <v>1.76571570741416</v>
      </c>
      <c r="I156" s="44">
        <v>68.2</v>
      </c>
      <c r="J156" s="44">
        <v>0.2</v>
      </c>
      <c r="K156" s="18">
        <f t="shared" si="2"/>
        <v>0.0236444321175981</v>
      </c>
      <c r="L156" s="44">
        <v>33.4</v>
      </c>
      <c r="M156" s="44">
        <v>14.6</v>
      </c>
      <c r="N156" s="18">
        <f t="shared" si="3"/>
        <v>0.0115220091072168</v>
      </c>
      <c r="O156" s="44">
        <v>1007</v>
      </c>
      <c r="P156" s="44">
        <v>1007.2</v>
      </c>
      <c r="Q156" s="18">
        <f t="shared" si="4"/>
        <v>0.258775761936578</v>
      </c>
      <c r="R156" s="44">
        <v>1948.2</v>
      </c>
      <c r="S156" s="18">
        <f t="shared" si="5"/>
        <v>0.675473268150614</v>
      </c>
      <c r="T156" s="44">
        <v>448.6</v>
      </c>
      <c r="U156" s="18">
        <f t="shared" si="6"/>
        <v>0.230263833282004</v>
      </c>
      <c r="V156" s="44">
        <v>94.6</v>
      </c>
      <c r="W156" s="44">
        <v>4.2</v>
      </c>
      <c r="X156" s="18">
        <f t="shared" si="7"/>
        <v>0.0327516964409362</v>
      </c>
      <c r="Y156" s="44">
        <v>288.6</v>
      </c>
      <c r="Z156" s="44">
        <v>9.8</v>
      </c>
      <c r="AA156" s="18">
        <f t="shared" si="8"/>
        <v>0.0997235659986178</v>
      </c>
      <c r="AB156" s="44">
        <v>339.8</v>
      </c>
      <c r="AC156" s="44">
        <v>49.2</v>
      </c>
      <c r="AD156" s="18">
        <f t="shared" si="9"/>
        <v>0.115838276402809</v>
      </c>
      <c r="AE156" s="44">
        <v>29.8</v>
      </c>
      <c r="AF156" s="18">
        <f t="shared" si="10"/>
        <v>0.0152961708243507</v>
      </c>
    </row>
    <row r="157" ht="34" spans="1:32">
      <c r="A157" s="1" t="s">
        <v>91</v>
      </c>
      <c r="B157" s="7" t="s">
        <v>33</v>
      </c>
      <c r="D157">
        <f>WEB来源数据!C156</f>
        <v>526.9</v>
      </c>
      <c r="E157">
        <f>WEB来源数据!D156</f>
        <v>1730.8</v>
      </c>
      <c r="F157" s="44">
        <v>1443</v>
      </c>
      <c r="G157" s="18">
        <f t="shared" si="0"/>
        <v>0.833718511670904</v>
      </c>
      <c r="H157" s="18">
        <f t="shared" si="1"/>
        <v>1.77602217602218</v>
      </c>
      <c r="I157" s="44">
        <v>34.6</v>
      </c>
      <c r="J157" s="44">
        <v>0.6</v>
      </c>
      <c r="K157" s="18">
        <f t="shared" si="2"/>
        <v>0.0199838281159755</v>
      </c>
      <c r="L157" s="44">
        <v>6.4</v>
      </c>
      <c r="M157" s="44">
        <v>9.6</v>
      </c>
      <c r="N157" s="18">
        <f t="shared" si="3"/>
        <v>0.00367731555964146</v>
      </c>
      <c r="O157" s="44">
        <v>730.8</v>
      </c>
      <c r="P157" s="44">
        <v>730.8</v>
      </c>
      <c r="Q157" s="18">
        <f t="shared" si="4"/>
        <v>0.29688007799805</v>
      </c>
      <c r="R157" s="44">
        <v>1200.8</v>
      </c>
      <c r="S157" s="18">
        <f t="shared" si="5"/>
        <v>0.693783221631615</v>
      </c>
      <c r="T157" s="44">
        <v>172.8</v>
      </c>
      <c r="U157" s="18">
        <f t="shared" si="6"/>
        <v>0.143904063957362</v>
      </c>
      <c r="V157" s="44">
        <v>63</v>
      </c>
      <c r="W157" s="44">
        <v>3</v>
      </c>
      <c r="X157" s="18">
        <f t="shared" si="7"/>
        <v>0.0363363709770446</v>
      </c>
      <c r="Y157" s="44">
        <v>116.8</v>
      </c>
      <c r="Z157" s="44">
        <v>9.8</v>
      </c>
      <c r="AA157" s="18">
        <f t="shared" si="8"/>
        <v>0.0671032977134322</v>
      </c>
      <c r="AB157" s="44">
        <v>219.8</v>
      </c>
      <c r="AC157" s="44">
        <v>40.4</v>
      </c>
      <c r="AD157" s="18">
        <f t="shared" si="9"/>
        <v>0.124096657633243</v>
      </c>
      <c r="AE157" s="44">
        <v>17.8</v>
      </c>
      <c r="AF157" s="18">
        <f t="shared" si="10"/>
        <v>0.0148234510326449</v>
      </c>
    </row>
    <row r="158" ht="31" spans="1:32">
      <c r="A158" s="1" t="s">
        <v>91</v>
      </c>
      <c r="B158" s="7" t="s">
        <v>35</v>
      </c>
      <c r="D158">
        <f>WEB来源数据!C157</f>
        <v>377</v>
      </c>
      <c r="E158">
        <f>WEB来源数据!D157</f>
        <v>1344</v>
      </c>
      <c r="F158" s="44">
        <v>1131.2</v>
      </c>
      <c r="G158" s="18">
        <f t="shared" si="0"/>
        <v>0.841666666666667</v>
      </c>
      <c r="H158" s="18">
        <f t="shared" si="1"/>
        <v>1.81223479490806</v>
      </c>
      <c r="I158" s="44">
        <v>43.6</v>
      </c>
      <c r="J158" s="44">
        <v>0.6</v>
      </c>
      <c r="K158" s="18">
        <f t="shared" si="2"/>
        <v>0.0324260002974862</v>
      </c>
      <c r="L158" s="44">
        <v>21.8</v>
      </c>
      <c r="M158" s="44">
        <v>9.2</v>
      </c>
      <c r="N158" s="18">
        <f t="shared" si="3"/>
        <v>0.0161099615725687</v>
      </c>
      <c r="O158" s="44">
        <v>397.6</v>
      </c>
      <c r="P158" s="44">
        <v>397.6</v>
      </c>
      <c r="Q158" s="18">
        <f t="shared" si="4"/>
        <v>0.228295819935691</v>
      </c>
      <c r="R158" s="44">
        <v>915.4</v>
      </c>
      <c r="S158" s="18">
        <f t="shared" si="5"/>
        <v>0.68110119047619</v>
      </c>
      <c r="T158" s="44">
        <v>291</v>
      </c>
      <c r="U158" s="18">
        <f t="shared" si="6"/>
        <v>0.31789381691064</v>
      </c>
      <c r="V158" s="44">
        <v>49.4</v>
      </c>
      <c r="W158" s="44">
        <v>1.6</v>
      </c>
      <c r="X158" s="18">
        <f t="shared" si="7"/>
        <v>0.0367122473246136</v>
      </c>
      <c r="Y158" s="44">
        <v>161.6</v>
      </c>
      <c r="Z158" s="44">
        <v>3.4</v>
      </c>
      <c r="AA158" s="18">
        <f t="shared" si="8"/>
        <v>0.119934689030726</v>
      </c>
      <c r="AB158" s="44">
        <v>157.4</v>
      </c>
      <c r="AC158" s="44">
        <v>21.4</v>
      </c>
      <c r="AD158" s="18">
        <f t="shared" si="9"/>
        <v>0.115277574337191</v>
      </c>
      <c r="AE158" s="44">
        <v>12.2</v>
      </c>
      <c r="AF158" s="18">
        <f t="shared" si="10"/>
        <v>0.013327507100721</v>
      </c>
    </row>
    <row r="159" ht="31" spans="1:32">
      <c r="A159" s="1" t="s">
        <v>91</v>
      </c>
      <c r="B159" s="7" t="s">
        <v>36</v>
      </c>
      <c r="D159">
        <f>WEB来源数据!C158</f>
        <v>903.9</v>
      </c>
      <c r="E159">
        <f>WEB来源数据!D158</f>
        <v>3074.8</v>
      </c>
      <c r="F159" s="44">
        <v>2574.2</v>
      </c>
      <c r="G159" s="18">
        <f t="shared" si="0"/>
        <v>0.837192662937427</v>
      </c>
      <c r="H159" s="18">
        <f t="shared" si="1"/>
        <v>1.791935358558</v>
      </c>
      <c r="I159" s="44">
        <v>78.2</v>
      </c>
      <c r="J159" s="44">
        <v>1.2</v>
      </c>
      <c r="K159" s="18">
        <f t="shared" si="2"/>
        <v>0.0254226267880364</v>
      </c>
      <c r="L159" s="44">
        <v>28.2</v>
      </c>
      <c r="M159" s="44">
        <v>18.8</v>
      </c>
      <c r="N159" s="18">
        <f t="shared" si="3"/>
        <v>0.0091155934833204</v>
      </c>
      <c r="O159" s="44">
        <v>1128.4</v>
      </c>
      <c r="P159" s="44">
        <v>1128.4</v>
      </c>
      <c r="Q159" s="18">
        <f t="shared" si="4"/>
        <v>0.268462124095927</v>
      </c>
      <c r="R159" s="44">
        <v>2116.2</v>
      </c>
      <c r="S159" s="18">
        <f t="shared" si="5"/>
        <v>0.688239885521009</v>
      </c>
      <c r="T159" s="44">
        <v>463.8</v>
      </c>
      <c r="U159" s="18">
        <f t="shared" si="6"/>
        <v>0.219166430394103</v>
      </c>
      <c r="V159" s="44">
        <v>112.4</v>
      </c>
      <c r="W159" s="44">
        <v>4.6</v>
      </c>
      <c r="X159" s="18">
        <f t="shared" si="7"/>
        <v>0.0365006170033123</v>
      </c>
      <c r="Y159" s="44">
        <v>278.4</v>
      </c>
      <c r="Z159" s="44">
        <v>13.2</v>
      </c>
      <c r="AA159" s="18">
        <f t="shared" si="8"/>
        <v>0.0901554404145078</v>
      </c>
      <c r="AB159" s="44">
        <v>377.2</v>
      </c>
      <c r="AC159" s="44">
        <v>61.8</v>
      </c>
      <c r="AD159" s="18">
        <f t="shared" si="9"/>
        <v>0.120257603774788</v>
      </c>
      <c r="AE159" s="44">
        <v>30</v>
      </c>
      <c r="AF159" s="18">
        <f t="shared" si="10"/>
        <v>0.0141763538417919</v>
      </c>
    </row>
    <row r="160" customFormat="1" ht="34" spans="1:32">
      <c r="A160" s="1" t="s">
        <v>92</v>
      </c>
      <c r="B160" s="7" t="s">
        <v>33</v>
      </c>
      <c r="D160">
        <f>WEB来源数据!C159</f>
        <v>443.7</v>
      </c>
      <c r="E160">
        <f>WEB来源数据!D159</f>
        <v>1489.8</v>
      </c>
      <c r="F160" s="44">
        <v>1213</v>
      </c>
      <c r="G160" s="18">
        <f t="shared" ref="G160:G174" si="11">IFERROR(F160/E160,0)</f>
        <v>0.814203248758223</v>
      </c>
      <c r="H160" s="18">
        <f t="shared" ref="H160:H174" si="12">IFERROR(SUM(I160:J160,L160:M160,O160:P160,R160,T160,V160:W160,Y160:Z160,AB160:AC160,AE160)/F160,0)</f>
        <v>2.2085737840066</v>
      </c>
      <c r="I160" s="44">
        <v>30</v>
      </c>
      <c r="J160" s="44">
        <v>0</v>
      </c>
      <c r="K160" s="18">
        <f t="shared" ref="K160:K174" si="13">IFERROR(I160/(E160+J160),0)</f>
        <v>0.0201369311316955</v>
      </c>
      <c r="L160" s="44">
        <v>5.8</v>
      </c>
      <c r="M160" s="44">
        <v>5.8</v>
      </c>
      <c r="N160" s="18">
        <f t="shared" ref="N160:N174" si="14">IFERROR(L160/(E160+M160),0)</f>
        <v>0.00387804225728804</v>
      </c>
      <c r="O160" s="44">
        <v>541.2</v>
      </c>
      <c r="P160" s="44">
        <v>541.2</v>
      </c>
      <c r="Q160" s="18">
        <f t="shared" ref="Q160:Q174" si="15">IFERROR(O160/(E160+P160),0)</f>
        <v>0.266469719350074</v>
      </c>
      <c r="R160" s="44">
        <v>1003.8</v>
      </c>
      <c r="S160" s="18">
        <f t="shared" ref="S160:S174" si="16">IFERROR(R160/E160,0)</f>
        <v>0.673781715666532</v>
      </c>
      <c r="T160" s="44">
        <v>150.4</v>
      </c>
      <c r="U160" s="18">
        <f t="shared" ref="U160:U174" si="17">IFERROR(T160/R160,0)</f>
        <v>0.149830643554493</v>
      </c>
      <c r="V160" s="44">
        <v>55</v>
      </c>
      <c r="W160" s="44">
        <v>3.8</v>
      </c>
      <c r="X160" s="18">
        <f t="shared" ref="X160:X174" si="18">IFERROR(V160/(E160+W160),0)</f>
        <v>0.0368237814675951</v>
      </c>
      <c r="Y160" s="44">
        <v>105.6</v>
      </c>
      <c r="Z160" s="44">
        <v>7.6</v>
      </c>
      <c r="AA160" s="18">
        <f t="shared" ref="AA160:AA174" si="19">IFERROR(Y160/(E160+Z160),0)</f>
        <v>0.0705222385468145</v>
      </c>
      <c r="AB160" s="44">
        <v>181</v>
      </c>
      <c r="AC160" s="44">
        <v>28.4</v>
      </c>
      <c r="AD160" s="18">
        <f t="shared" ref="AD160:AD174" si="20">IFERROR(AB160/(E160+AC160),0)</f>
        <v>0.11922012910025</v>
      </c>
      <c r="AE160" s="44">
        <v>19.4</v>
      </c>
      <c r="AF160" s="18">
        <f t="shared" ref="AF160:AF174" si="21">IFERROR(AE160/R160,0)</f>
        <v>0.0193265590755131</v>
      </c>
    </row>
    <row r="161" customFormat="1" spans="1:32">
      <c r="A161" s="1" t="s">
        <v>92</v>
      </c>
      <c r="B161" s="7" t="s">
        <v>35</v>
      </c>
      <c r="D161">
        <f>WEB来源数据!C160</f>
        <v>478.9</v>
      </c>
      <c r="E161">
        <f>WEB来源数据!D160</f>
        <v>1612.4</v>
      </c>
      <c r="F161" s="44">
        <v>1344.4</v>
      </c>
      <c r="G161" s="18">
        <f t="shared" si="11"/>
        <v>0.833788141900273</v>
      </c>
      <c r="H161" s="18">
        <f t="shared" si="12"/>
        <v>2.17703064564118</v>
      </c>
      <c r="I161" s="44">
        <v>46.4</v>
      </c>
      <c r="J161" s="44">
        <v>0.2</v>
      </c>
      <c r="K161" s="18">
        <f t="shared" si="13"/>
        <v>0.0287734094009674</v>
      </c>
      <c r="L161" s="44">
        <v>29.6</v>
      </c>
      <c r="M161" s="44">
        <v>8</v>
      </c>
      <c r="N161" s="18">
        <f t="shared" si="14"/>
        <v>0.0182670945445569</v>
      </c>
      <c r="O161" s="44">
        <v>466</v>
      </c>
      <c r="P161" s="44">
        <v>466</v>
      </c>
      <c r="Q161" s="18">
        <f t="shared" si="15"/>
        <v>0.224210931485758</v>
      </c>
      <c r="R161" s="44">
        <v>1092.6</v>
      </c>
      <c r="S161" s="18">
        <f t="shared" si="16"/>
        <v>0.677623418506574</v>
      </c>
      <c r="T161" s="44">
        <v>358.2</v>
      </c>
      <c r="U161" s="18">
        <f t="shared" si="17"/>
        <v>0.327841845140033</v>
      </c>
      <c r="V161" s="44">
        <v>55</v>
      </c>
      <c r="W161" s="44">
        <v>2.4</v>
      </c>
      <c r="X161" s="18">
        <f t="shared" si="18"/>
        <v>0.0340599455040872</v>
      </c>
      <c r="Y161" s="44">
        <v>179.6</v>
      </c>
      <c r="Z161" s="44">
        <v>4.2</v>
      </c>
      <c r="AA161" s="18">
        <f t="shared" si="19"/>
        <v>0.111097364839787</v>
      </c>
      <c r="AB161" s="44">
        <v>181.4</v>
      </c>
      <c r="AC161" s="44">
        <v>25.8</v>
      </c>
      <c r="AD161" s="18">
        <f t="shared" si="20"/>
        <v>0.110731290440728</v>
      </c>
      <c r="AE161" s="44">
        <v>11.4</v>
      </c>
      <c r="AF161" s="18">
        <f t="shared" si="21"/>
        <v>0.0104338275672707</v>
      </c>
    </row>
    <row r="162" customFormat="1" spans="1:32">
      <c r="A162" s="1" t="s">
        <v>92</v>
      </c>
      <c r="B162" s="7" t="s">
        <v>36</v>
      </c>
      <c r="D162">
        <f>SUM(D160:D161)</f>
        <v>922.6</v>
      </c>
      <c r="E162">
        <f>SUM(E160:E161)</f>
        <v>3102.2</v>
      </c>
      <c r="F162" s="44">
        <f>SUM(F160:F161)</f>
        <v>2557.4</v>
      </c>
      <c r="G162" s="18">
        <f t="shared" si="11"/>
        <v>0.824382696151119</v>
      </c>
      <c r="H162" s="18">
        <f t="shared" si="12"/>
        <v>2.19199186673966</v>
      </c>
      <c r="I162" s="44">
        <f>SUM(I160:I161)</f>
        <v>76.4</v>
      </c>
      <c r="J162" s="44">
        <f>SUM(J160:J161)</f>
        <v>0.2</v>
      </c>
      <c r="K162" s="18">
        <f t="shared" si="13"/>
        <v>0.0246260959257349</v>
      </c>
      <c r="L162" s="44">
        <f>SUM(L160:L161)</f>
        <v>35.4</v>
      </c>
      <c r="M162" s="44">
        <f>SUM(M160:M161)</f>
        <v>13.8</v>
      </c>
      <c r="N162" s="18">
        <f t="shared" si="14"/>
        <v>0.0113607188703466</v>
      </c>
      <c r="O162" s="44">
        <f>SUM(O160:O161)</f>
        <v>1007.2</v>
      </c>
      <c r="P162" s="44">
        <f>SUM(P160:P161)</f>
        <v>1007.2</v>
      </c>
      <c r="Q162" s="18">
        <f t="shared" si="15"/>
        <v>0.245096607777291</v>
      </c>
      <c r="R162" s="44">
        <f>SUM(R160:R161)</f>
        <v>2096.4</v>
      </c>
      <c r="S162" s="18">
        <f t="shared" si="16"/>
        <v>0.675778479788537</v>
      </c>
      <c r="T162" s="44">
        <f>SUM(T160:T161)</f>
        <v>508.6</v>
      </c>
      <c r="U162" s="18">
        <f t="shared" si="17"/>
        <v>0.242606372829613</v>
      </c>
      <c r="V162" s="44">
        <f>SUM(V160:V161)</f>
        <v>110</v>
      </c>
      <c r="W162" s="44">
        <f>SUM(W160:W161)</f>
        <v>6.2</v>
      </c>
      <c r="X162" s="18">
        <f t="shared" si="18"/>
        <v>0.0353879809548321</v>
      </c>
      <c r="Y162" s="44">
        <f>SUM(Y160:Y161)</f>
        <v>285.2</v>
      </c>
      <c r="Z162" s="44">
        <f>SUM(Z160:Z161)</f>
        <v>11.8</v>
      </c>
      <c r="AA162" s="18">
        <f t="shared" si="19"/>
        <v>0.0915863840719332</v>
      </c>
      <c r="AB162" s="44">
        <f>SUM(AB160:AB161)</f>
        <v>362.4</v>
      </c>
      <c r="AC162" s="44">
        <f>SUM(AC160:AC161)</f>
        <v>54.2</v>
      </c>
      <c r="AD162" s="18">
        <f t="shared" si="20"/>
        <v>0.11481434545685</v>
      </c>
      <c r="AE162" s="44">
        <f>SUM(AE160:AE161)</f>
        <v>30.8</v>
      </c>
      <c r="AF162" s="18">
        <f t="shared" si="21"/>
        <v>0.0146918526998664</v>
      </c>
    </row>
    <row r="163" customFormat="1" ht="34" spans="1:32">
      <c r="A163" s="1" t="s">
        <v>93</v>
      </c>
      <c r="B163" s="7" t="s">
        <v>33</v>
      </c>
      <c r="D163">
        <f>WEB来源数据!C162</f>
        <v>409.8</v>
      </c>
      <c r="E163">
        <f>WEB来源数据!D162</f>
        <v>1458</v>
      </c>
      <c r="F163" s="44">
        <v>1183.4</v>
      </c>
      <c r="G163" s="18">
        <f t="shared" si="11"/>
        <v>0.811659807956104</v>
      </c>
      <c r="H163" s="18">
        <f t="shared" si="12"/>
        <v>2.1696805813757</v>
      </c>
      <c r="I163" s="44">
        <v>28.6</v>
      </c>
      <c r="J163" s="44">
        <v>0.8</v>
      </c>
      <c r="K163" s="18">
        <f t="shared" si="13"/>
        <v>0.0196051549218536</v>
      </c>
      <c r="L163" s="44">
        <v>3.8</v>
      </c>
      <c r="M163" s="44">
        <v>5.8</v>
      </c>
      <c r="N163" s="18">
        <f t="shared" si="14"/>
        <v>0.00259598305779478</v>
      </c>
      <c r="O163" s="44">
        <v>511.8</v>
      </c>
      <c r="P163" s="44">
        <v>512</v>
      </c>
      <c r="Q163" s="18">
        <f t="shared" si="15"/>
        <v>0.259796954314721</v>
      </c>
      <c r="R163" s="44">
        <v>972</v>
      </c>
      <c r="S163" s="18">
        <f t="shared" si="16"/>
        <v>0.666666666666667</v>
      </c>
      <c r="T163" s="44">
        <v>143</v>
      </c>
      <c r="U163" s="18">
        <f t="shared" si="17"/>
        <v>0.147119341563786</v>
      </c>
      <c r="V163" s="44">
        <v>50.2</v>
      </c>
      <c r="W163" s="44">
        <v>3.8</v>
      </c>
      <c r="X163" s="18">
        <f t="shared" si="18"/>
        <v>0.0343412231495417</v>
      </c>
      <c r="Y163" s="44">
        <v>106.4</v>
      </c>
      <c r="Z163" s="44">
        <v>5.4</v>
      </c>
      <c r="AA163" s="18">
        <f t="shared" si="19"/>
        <v>0.0727073937406041</v>
      </c>
      <c r="AB163" s="44">
        <v>181</v>
      </c>
      <c r="AC163" s="44">
        <v>27.2</v>
      </c>
      <c r="AD163" s="18">
        <f t="shared" si="20"/>
        <v>0.121869108537571</v>
      </c>
      <c r="AE163" s="44">
        <v>15.8</v>
      </c>
      <c r="AF163" s="18">
        <f t="shared" si="21"/>
        <v>0.0162551440329218</v>
      </c>
    </row>
    <row r="164" customFormat="1" spans="1:32">
      <c r="A164" s="1" t="s">
        <v>93</v>
      </c>
      <c r="B164" s="7" t="s">
        <v>35</v>
      </c>
      <c r="D164">
        <f>WEB来源数据!C163</f>
        <v>441.2</v>
      </c>
      <c r="E164">
        <f>WEB来源数据!D163</f>
        <v>1598.4</v>
      </c>
      <c r="F164" s="44">
        <v>1270.2</v>
      </c>
      <c r="G164" s="18">
        <f t="shared" si="11"/>
        <v>0.79466966966967</v>
      </c>
      <c r="H164" s="18">
        <f t="shared" si="12"/>
        <v>2.20170051960321</v>
      </c>
      <c r="I164" s="44">
        <v>44.6</v>
      </c>
      <c r="J164" s="44">
        <v>0.4</v>
      </c>
      <c r="K164" s="18">
        <f t="shared" si="13"/>
        <v>0.0278959219414561</v>
      </c>
      <c r="L164" s="44">
        <v>23.2</v>
      </c>
      <c r="M164" s="44">
        <v>11.6</v>
      </c>
      <c r="N164" s="18">
        <f t="shared" si="14"/>
        <v>0.0144099378881988</v>
      </c>
      <c r="O164" s="44">
        <v>433.2</v>
      </c>
      <c r="P164" s="44">
        <v>433.2</v>
      </c>
      <c r="Q164" s="18">
        <f t="shared" si="15"/>
        <v>0.213230950974601</v>
      </c>
      <c r="R164" s="44">
        <v>1029.4</v>
      </c>
      <c r="S164" s="18">
        <f t="shared" si="16"/>
        <v>0.644019019019019</v>
      </c>
      <c r="T164" s="44">
        <v>328</v>
      </c>
      <c r="U164" s="18">
        <f t="shared" si="17"/>
        <v>0.318632212939576</v>
      </c>
      <c r="V164" s="44">
        <v>67.8</v>
      </c>
      <c r="W164" s="44">
        <v>2.8</v>
      </c>
      <c r="X164" s="18">
        <f t="shared" si="18"/>
        <v>0.0423432425680739</v>
      </c>
      <c r="Y164" s="44">
        <v>180.8</v>
      </c>
      <c r="Z164" s="44">
        <v>4.6</v>
      </c>
      <c r="AA164" s="18">
        <f t="shared" si="19"/>
        <v>0.112788521522146</v>
      </c>
      <c r="AB164" s="44">
        <v>192.8</v>
      </c>
      <c r="AC164" s="44">
        <v>29.4</v>
      </c>
      <c r="AD164" s="18">
        <f t="shared" si="20"/>
        <v>0.118442069050252</v>
      </c>
      <c r="AE164" s="44">
        <v>14.8</v>
      </c>
      <c r="AF164" s="18">
        <f t="shared" si="21"/>
        <v>0.0143773071692248</v>
      </c>
    </row>
    <row r="165" customFormat="1" spans="1:32">
      <c r="A165" s="1" t="s">
        <v>93</v>
      </c>
      <c r="B165" s="7" t="s">
        <v>36</v>
      </c>
      <c r="D165">
        <f>SUM(D163:D164)</f>
        <v>851</v>
      </c>
      <c r="E165">
        <f>SUM(E163:E164)</f>
        <v>3056.4</v>
      </c>
      <c r="F165" s="44">
        <f>SUM(F163:F164)</f>
        <v>2453.6</v>
      </c>
      <c r="G165" s="18">
        <f t="shared" si="11"/>
        <v>0.802774505954718</v>
      </c>
      <c r="H165" s="18">
        <f t="shared" si="12"/>
        <v>2.18625692859472</v>
      </c>
      <c r="I165" s="44">
        <f>SUM(I163:I164)</f>
        <v>73.2</v>
      </c>
      <c r="J165" s="44">
        <f>SUM(J163:J164)</f>
        <v>1.2</v>
      </c>
      <c r="K165" s="18">
        <f t="shared" si="13"/>
        <v>0.0239403453689168</v>
      </c>
      <c r="L165" s="44">
        <f>SUM(L163:L164)</f>
        <v>27</v>
      </c>
      <c r="M165" s="44">
        <f>SUM(M163:M164)</f>
        <v>17.4</v>
      </c>
      <c r="N165" s="18">
        <f t="shared" si="14"/>
        <v>0.00878391567440952</v>
      </c>
      <c r="O165" s="44">
        <f>SUM(O163:O164)</f>
        <v>945</v>
      </c>
      <c r="P165" s="44">
        <f>SUM(P163:P164)</f>
        <v>945.2</v>
      </c>
      <c r="Q165" s="18">
        <f t="shared" si="15"/>
        <v>0.236155537784886</v>
      </c>
      <c r="R165" s="44">
        <f>SUM(R163:R164)</f>
        <v>2001.4</v>
      </c>
      <c r="S165" s="18">
        <f t="shared" si="16"/>
        <v>0.654822667190158</v>
      </c>
      <c r="T165" s="44">
        <f>SUM(T163:T164)</f>
        <v>471</v>
      </c>
      <c r="U165" s="18">
        <f t="shared" si="17"/>
        <v>0.23533526531428</v>
      </c>
      <c r="V165" s="44">
        <f>SUM(V163:V164)</f>
        <v>118</v>
      </c>
      <c r="W165" s="44">
        <f>SUM(W163:W164)</f>
        <v>6.6</v>
      </c>
      <c r="X165" s="18">
        <f t="shared" si="18"/>
        <v>0.0385243225595821</v>
      </c>
      <c r="Y165" s="44">
        <f>SUM(Y163:Y164)</f>
        <v>287.2</v>
      </c>
      <c r="Z165" s="44">
        <f>SUM(Z163:Z164)</f>
        <v>10</v>
      </c>
      <c r="AA165" s="18">
        <f t="shared" si="19"/>
        <v>0.0936603182885468</v>
      </c>
      <c r="AB165" s="44">
        <f>SUM(AB163:AB164)</f>
        <v>373.8</v>
      </c>
      <c r="AC165" s="44">
        <f>SUM(AC163:AC164)</f>
        <v>56.6</v>
      </c>
      <c r="AD165" s="18">
        <f t="shared" si="20"/>
        <v>0.120077096048828</v>
      </c>
      <c r="AE165" s="44">
        <f>SUM(AE163:AE164)</f>
        <v>30.6</v>
      </c>
      <c r="AF165" s="18">
        <f t="shared" si="21"/>
        <v>0.0152892974917558</v>
      </c>
    </row>
    <row r="166" customFormat="1" ht="34" spans="1:32">
      <c r="A166" s="1" t="s">
        <v>94</v>
      </c>
      <c r="B166" s="7" t="s">
        <v>33</v>
      </c>
      <c r="D166">
        <f>WEB来源数据!C165</f>
        <v>480</v>
      </c>
      <c r="E166">
        <f>WEB来源数据!D165</f>
        <v>1633.4</v>
      </c>
      <c r="F166" s="44">
        <v>1314.8</v>
      </c>
      <c r="G166" s="18">
        <f t="shared" si="11"/>
        <v>0.804946736867883</v>
      </c>
      <c r="H166" s="18">
        <f t="shared" si="12"/>
        <v>2.21493763310009</v>
      </c>
      <c r="I166" s="44">
        <v>41</v>
      </c>
      <c r="J166" s="44">
        <v>0.2</v>
      </c>
      <c r="K166" s="18">
        <f t="shared" si="13"/>
        <v>0.0250979431929481</v>
      </c>
      <c r="L166" s="44">
        <v>6.6</v>
      </c>
      <c r="M166" s="44">
        <v>5.6</v>
      </c>
      <c r="N166" s="18">
        <f t="shared" si="14"/>
        <v>0.00402684563758389</v>
      </c>
      <c r="O166" s="44">
        <v>582.6</v>
      </c>
      <c r="P166" s="44">
        <v>582.8</v>
      </c>
      <c r="Q166" s="18">
        <f t="shared" si="15"/>
        <v>0.262882411334717</v>
      </c>
      <c r="R166" s="44">
        <v>1056.6</v>
      </c>
      <c r="S166" s="18">
        <f t="shared" si="16"/>
        <v>0.64687155626301</v>
      </c>
      <c r="T166" s="44">
        <v>167</v>
      </c>
      <c r="U166" s="18">
        <f t="shared" si="17"/>
        <v>0.158054135907628</v>
      </c>
      <c r="V166" s="44">
        <v>61.8</v>
      </c>
      <c r="W166" s="44">
        <v>3</v>
      </c>
      <c r="X166" s="18">
        <f t="shared" si="18"/>
        <v>0.0377658274260572</v>
      </c>
      <c r="Y166" s="44">
        <v>122.2</v>
      </c>
      <c r="Z166" s="44">
        <v>7.2</v>
      </c>
      <c r="AA166" s="18">
        <f t="shared" si="19"/>
        <v>0.0744849445324881</v>
      </c>
      <c r="AB166" s="44">
        <v>221.2</v>
      </c>
      <c r="AC166" s="44">
        <v>33</v>
      </c>
      <c r="AD166" s="18">
        <f t="shared" si="20"/>
        <v>0.132741238598176</v>
      </c>
      <c r="AE166" s="44">
        <v>21.4</v>
      </c>
      <c r="AF166" s="18">
        <f t="shared" si="21"/>
        <v>0.0202536437630134</v>
      </c>
    </row>
    <row r="167" customFormat="1" ht="31" spans="1:32">
      <c r="A167" s="1" t="s">
        <v>94</v>
      </c>
      <c r="B167" s="7" t="s">
        <v>35</v>
      </c>
      <c r="D167">
        <f>WEB来源数据!C166</f>
        <v>429.2</v>
      </c>
      <c r="E167">
        <f>WEB来源数据!D166</f>
        <v>1514.4</v>
      </c>
      <c r="F167" s="44">
        <v>1235.8</v>
      </c>
      <c r="G167" s="18">
        <f t="shared" si="11"/>
        <v>0.816032752245114</v>
      </c>
      <c r="H167" s="18">
        <f t="shared" si="12"/>
        <v>2.21411231590872</v>
      </c>
      <c r="I167" s="44">
        <v>41.2</v>
      </c>
      <c r="J167" s="44">
        <v>0.8</v>
      </c>
      <c r="K167" s="18">
        <f t="shared" si="13"/>
        <v>0.0271911298838437</v>
      </c>
      <c r="L167" s="44">
        <v>19</v>
      </c>
      <c r="M167" s="44">
        <v>8.6</v>
      </c>
      <c r="N167" s="18">
        <f t="shared" si="14"/>
        <v>0.0124753775443204</v>
      </c>
      <c r="O167" s="44">
        <v>436</v>
      </c>
      <c r="P167" s="44">
        <v>436</v>
      </c>
      <c r="Q167" s="18">
        <f t="shared" si="15"/>
        <v>0.223543888433142</v>
      </c>
      <c r="R167" s="44">
        <v>986.6</v>
      </c>
      <c r="S167" s="18">
        <f t="shared" si="16"/>
        <v>0.651479133650291</v>
      </c>
      <c r="T167" s="44">
        <v>309.6</v>
      </c>
      <c r="U167" s="18">
        <f t="shared" si="17"/>
        <v>0.313804986823434</v>
      </c>
      <c r="V167" s="44">
        <v>61</v>
      </c>
      <c r="W167" s="44">
        <v>1.4</v>
      </c>
      <c r="X167" s="18">
        <f t="shared" si="18"/>
        <v>0.0402427760918327</v>
      </c>
      <c r="Y167" s="44">
        <v>184.2</v>
      </c>
      <c r="Z167" s="44">
        <v>6.6</v>
      </c>
      <c r="AA167" s="18">
        <f t="shared" si="19"/>
        <v>0.121104536489152</v>
      </c>
      <c r="AB167" s="44">
        <v>195.8</v>
      </c>
      <c r="AC167" s="44">
        <v>34</v>
      </c>
      <c r="AD167" s="18">
        <f t="shared" si="20"/>
        <v>0.126453112890726</v>
      </c>
      <c r="AE167" s="44">
        <v>15.4</v>
      </c>
      <c r="AF167" s="18">
        <f t="shared" si="21"/>
        <v>0.015609162781269</v>
      </c>
    </row>
    <row r="168" customFormat="1" ht="31" spans="1:32">
      <c r="A168" s="1" t="s">
        <v>94</v>
      </c>
      <c r="B168" s="7" t="s">
        <v>36</v>
      </c>
      <c r="D168">
        <f>SUM(D166:D167)</f>
        <v>909.2</v>
      </c>
      <c r="E168">
        <f>SUM(E166:E167)</f>
        <v>3147.8</v>
      </c>
      <c r="F168" s="44">
        <f>SUM(F166:F167)</f>
        <v>2550.6</v>
      </c>
      <c r="G168" s="18">
        <f t="shared" si="11"/>
        <v>0.810280195692229</v>
      </c>
      <c r="H168" s="18">
        <f t="shared" si="12"/>
        <v>2.21453775582216</v>
      </c>
      <c r="I168" s="44">
        <f>SUM(I166:I167)</f>
        <v>82.2</v>
      </c>
      <c r="J168" s="44">
        <f>SUM(J166:J167)</f>
        <v>1</v>
      </c>
      <c r="K168" s="18">
        <f t="shared" si="13"/>
        <v>0.0261051829268293</v>
      </c>
      <c r="L168" s="44">
        <f>SUM(L166:L167)</f>
        <v>25.6</v>
      </c>
      <c r="M168" s="44">
        <f>SUM(M166:M167)</f>
        <v>14.2</v>
      </c>
      <c r="N168" s="18">
        <f t="shared" si="14"/>
        <v>0.00809614168247944</v>
      </c>
      <c r="O168" s="44">
        <f>SUM(O166:O167)</f>
        <v>1018.6</v>
      </c>
      <c r="P168" s="44">
        <f>SUM(P166:P167)</f>
        <v>1018.8</v>
      </c>
      <c r="Q168" s="18">
        <f t="shared" si="15"/>
        <v>0.244467911486584</v>
      </c>
      <c r="R168" s="44">
        <f>SUM(R166:R167)</f>
        <v>2043.2</v>
      </c>
      <c r="S168" s="18">
        <f t="shared" si="16"/>
        <v>0.649088252112586</v>
      </c>
      <c r="T168" s="44">
        <f>SUM(T166:T167)</f>
        <v>476.6</v>
      </c>
      <c r="U168" s="18">
        <f t="shared" si="17"/>
        <v>0.233261550509006</v>
      </c>
      <c r="V168" s="44">
        <f>SUM(V166:V167)</f>
        <v>122.8</v>
      </c>
      <c r="W168" s="44">
        <f>SUM(W166:W167)</f>
        <v>4.4</v>
      </c>
      <c r="X168" s="18">
        <f t="shared" si="18"/>
        <v>0.0389569189772223</v>
      </c>
      <c r="Y168" s="44">
        <f>SUM(Y166:Y167)</f>
        <v>306.4</v>
      </c>
      <c r="Z168" s="44">
        <f>SUM(Z166:Z167)</f>
        <v>13.8</v>
      </c>
      <c r="AA168" s="18">
        <f t="shared" si="19"/>
        <v>0.096912955465587</v>
      </c>
      <c r="AB168" s="44">
        <f>SUM(AB166:AB167)</f>
        <v>417</v>
      </c>
      <c r="AC168" s="44">
        <f>SUM(AC166:AC167)</f>
        <v>67</v>
      </c>
      <c r="AD168" s="18">
        <f t="shared" si="20"/>
        <v>0.129712579320642</v>
      </c>
      <c r="AE168" s="44">
        <f>SUM(AE166:AE167)</f>
        <v>36.8</v>
      </c>
      <c r="AF168" s="18">
        <f t="shared" si="21"/>
        <v>0.0180109631949883</v>
      </c>
    </row>
    <row r="169" customFormat="1" ht="34" spans="1:32">
      <c r="A169" s="1" t="s">
        <v>95</v>
      </c>
      <c r="B169" s="7" t="s">
        <v>33</v>
      </c>
      <c r="D169">
        <f>WEB来源数据!C168</f>
        <v>442.8</v>
      </c>
      <c r="E169">
        <f>WEB来源数据!D168</f>
        <v>1701</v>
      </c>
      <c r="F169" s="44">
        <v>1266.2</v>
      </c>
      <c r="G169" s="18">
        <f t="shared" si="11"/>
        <v>0.744385655496767</v>
      </c>
      <c r="H169" s="18">
        <f t="shared" si="12"/>
        <v>2.17422208181962</v>
      </c>
      <c r="I169" s="44">
        <v>33</v>
      </c>
      <c r="J169" s="44">
        <v>0.6</v>
      </c>
      <c r="K169" s="18">
        <f t="shared" si="13"/>
        <v>0.0193935119887165</v>
      </c>
      <c r="L169" s="44">
        <v>6</v>
      </c>
      <c r="M169" s="44">
        <v>5.4</v>
      </c>
      <c r="N169" s="18">
        <f t="shared" si="14"/>
        <v>0.00351617440225035</v>
      </c>
      <c r="O169" s="44">
        <v>548.2</v>
      </c>
      <c r="P169" s="44">
        <v>548.2</v>
      </c>
      <c r="Q169" s="18">
        <f t="shared" si="15"/>
        <v>0.243731104392673</v>
      </c>
      <c r="R169" s="44">
        <v>1009.8</v>
      </c>
      <c r="S169" s="18">
        <f t="shared" si="16"/>
        <v>0.593650793650794</v>
      </c>
      <c r="T169" s="44">
        <v>144.2</v>
      </c>
      <c r="U169" s="18">
        <f t="shared" si="17"/>
        <v>0.14280055456526</v>
      </c>
      <c r="V169" s="44">
        <v>65.4</v>
      </c>
      <c r="W169" s="44">
        <v>2.8</v>
      </c>
      <c r="X169" s="18">
        <f t="shared" si="18"/>
        <v>0.0383847869468247</v>
      </c>
      <c r="Y169" s="44">
        <v>108.2</v>
      </c>
      <c r="Z169" s="44">
        <v>5.8</v>
      </c>
      <c r="AA169" s="18">
        <f t="shared" si="19"/>
        <v>0.0633934848839934</v>
      </c>
      <c r="AB169" s="44">
        <v>215.2</v>
      </c>
      <c r="AC169" s="44">
        <v>32.8</v>
      </c>
      <c r="AD169" s="18">
        <f t="shared" si="20"/>
        <v>0.124120429115238</v>
      </c>
      <c r="AE169" s="44">
        <v>27.4</v>
      </c>
      <c r="AF169" s="18">
        <f t="shared" si="21"/>
        <v>0.0271340859576154</v>
      </c>
    </row>
    <row r="170" customFormat="1" ht="31" spans="1:32">
      <c r="A170" s="1" t="s">
        <v>95</v>
      </c>
      <c r="B170" s="7" t="s">
        <v>35</v>
      </c>
      <c r="D170">
        <f>WEB来源数据!C169</f>
        <v>382.8</v>
      </c>
      <c r="E170">
        <f>WEB来源数据!D169</f>
        <v>1382.6</v>
      </c>
      <c r="F170" s="44">
        <v>1093.8</v>
      </c>
      <c r="G170" s="18">
        <f t="shared" si="11"/>
        <v>0.791118183133227</v>
      </c>
      <c r="H170" s="18">
        <f t="shared" si="12"/>
        <v>2.21557871640154</v>
      </c>
      <c r="I170" s="44">
        <v>28.4</v>
      </c>
      <c r="J170" s="44">
        <v>0.4</v>
      </c>
      <c r="K170" s="18">
        <f t="shared" si="13"/>
        <v>0.0205350686912509</v>
      </c>
      <c r="L170" s="44">
        <v>23.2</v>
      </c>
      <c r="M170" s="44">
        <v>9.6</v>
      </c>
      <c r="N170" s="18">
        <f t="shared" si="14"/>
        <v>0.0166642723746588</v>
      </c>
      <c r="O170" s="44">
        <v>387.2</v>
      </c>
      <c r="P170" s="44">
        <v>387.2</v>
      </c>
      <c r="Q170" s="18">
        <f t="shared" si="15"/>
        <v>0.218781783252345</v>
      </c>
      <c r="R170" s="44">
        <v>872.8</v>
      </c>
      <c r="S170" s="18">
        <f t="shared" si="16"/>
        <v>0.631274410530884</v>
      </c>
      <c r="T170" s="44">
        <v>279.4</v>
      </c>
      <c r="U170" s="18">
        <f t="shared" si="17"/>
        <v>0.320119156736939</v>
      </c>
      <c r="V170" s="44">
        <v>61.4</v>
      </c>
      <c r="W170" s="44">
        <v>1.8</v>
      </c>
      <c r="X170" s="18">
        <f t="shared" si="18"/>
        <v>0.0443513435423288</v>
      </c>
      <c r="Y170" s="44">
        <v>156.6</v>
      </c>
      <c r="Z170" s="44">
        <v>3.4</v>
      </c>
      <c r="AA170" s="18">
        <f t="shared" si="19"/>
        <v>0.112987012987013</v>
      </c>
      <c r="AB170" s="44">
        <v>170.2</v>
      </c>
      <c r="AC170" s="44">
        <v>27.6</v>
      </c>
      <c r="AD170" s="18">
        <f t="shared" si="20"/>
        <v>0.120692100411289</v>
      </c>
      <c r="AE170" s="44">
        <v>14.2</v>
      </c>
      <c r="AF170" s="18">
        <f t="shared" si="21"/>
        <v>0.016269477543538</v>
      </c>
    </row>
    <row r="171" customFormat="1" ht="31" spans="1:32">
      <c r="A171" s="1" t="s">
        <v>95</v>
      </c>
      <c r="B171" s="7" t="s">
        <v>36</v>
      </c>
      <c r="D171">
        <f>SUM(D169:D170)</f>
        <v>825.6</v>
      </c>
      <c r="E171">
        <f>SUM(E169:E170)</f>
        <v>3083.6</v>
      </c>
      <c r="F171" s="44">
        <f>SUM(F169:F170)</f>
        <v>2360</v>
      </c>
      <c r="G171" s="18">
        <f t="shared" si="11"/>
        <v>0.765339213905824</v>
      </c>
      <c r="H171" s="18">
        <f t="shared" si="12"/>
        <v>2.19338983050847</v>
      </c>
      <c r="I171" s="44">
        <f>SUM(I169:I170)</f>
        <v>61.4</v>
      </c>
      <c r="J171" s="44">
        <f>SUM(J169:J170)</f>
        <v>1</v>
      </c>
      <c r="K171" s="18">
        <f t="shared" si="13"/>
        <v>0.0199053361862154</v>
      </c>
      <c r="L171" s="44">
        <f>SUM(L169:L170)</f>
        <v>29.2</v>
      </c>
      <c r="M171" s="44">
        <f>SUM(M169:M170)</f>
        <v>15</v>
      </c>
      <c r="N171" s="18">
        <f t="shared" si="14"/>
        <v>0.00942361066288001</v>
      </c>
      <c r="O171" s="44">
        <f>SUM(O169:O170)</f>
        <v>935.4</v>
      </c>
      <c r="P171" s="44">
        <f>SUM(P169:P170)</f>
        <v>935.4</v>
      </c>
      <c r="Q171" s="18">
        <f t="shared" si="15"/>
        <v>0.232744463796964</v>
      </c>
      <c r="R171" s="44">
        <f>SUM(R169:R170)</f>
        <v>1882.6</v>
      </c>
      <c r="S171" s="18">
        <f t="shared" si="16"/>
        <v>0.610520171228434</v>
      </c>
      <c r="T171" s="44">
        <f>SUM(T169:T170)</f>
        <v>423.6</v>
      </c>
      <c r="U171" s="18">
        <f t="shared" si="17"/>
        <v>0.225007967704239</v>
      </c>
      <c r="V171" s="44">
        <f>SUM(V169:V170)</f>
        <v>126.8</v>
      </c>
      <c r="W171" s="44">
        <f>SUM(W169:W170)</f>
        <v>4.6</v>
      </c>
      <c r="X171" s="18">
        <f t="shared" si="18"/>
        <v>0.041059516870669</v>
      </c>
      <c r="Y171" s="44">
        <f>SUM(Y169:Y170)</f>
        <v>264.8</v>
      </c>
      <c r="Z171" s="44">
        <f>SUM(Z169:Z170)</f>
        <v>9.2</v>
      </c>
      <c r="AA171" s="18">
        <f t="shared" si="19"/>
        <v>0.0856182100362132</v>
      </c>
      <c r="AB171" s="44">
        <f>SUM(AB169:AB170)</f>
        <v>385.4</v>
      </c>
      <c r="AC171" s="44">
        <f>SUM(AC169:AC170)</f>
        <v>60.4</v>
      </c>
      <c r="AD171" s="18">
        <f t="shared" si="20"/>
        <v>0.122582697201018</v>
      </c>
      <c r="AE171" s="44">
        <f>SUM(AE169:AE170)</f>
        <v>41.6</v>
      </c>
      <c r="AF171" s="18">
        <f t="shared" si="21"/>
        <v>0.0220970997556571</v>
      </c>
    </row>
    <row r="172" customFormat="1" ht="34" spans="1:32">
      <c r="A172" s="1" t="s">
        <v>96</v>
      </c>
      <c r="B172" s="7" t="s">
        <v>33</v>
      </c>
      <c r="D172">
        <f>WEB来源数据!C171</f>
        <v>430.8</v>
      </c>
      <c r="E172">
        <f>WEB来源数据!D171</f>
        <v>1703.6</v>
      </c>
      <c r="F172" s="44">
        <v>1334.2</v>
      </c>
      <c r="G172" s="18">
        <f t="shared" si="11"/>
        <v>0.783165062221179</v>
      </c>
      <c r="H172" s="18">
        <f t="shared" si="12"/>
        <v>2.16654174786389</v>
      </c>
      <c r="I172" s="44">
        <v>34.6</v>
      </c>
      <c r="J172" s="44">
        <v>1.2</v>
      </c>
      <c r="K172" s="18">
        <f t="shared" si="13"/>
        <v>0.0202956358517128</v>
      </c>
      <c r="L172" s="44">
        <v>6.2</v>
      </c>
      <c r="M172" s="44">
        <v>7.6</v>
      </c>
      <c r="N172" s="18">
        <f t="shared" si="14"/>
        <v>0.0036231884057971</v>
      </c>
      <c r="O172" s="44">
        <v>561.2</v>
      </c>
      <c r="P172" s="44">
        <v>561.2</v>
      </c>
      <c r="Q172" s="18">
        <f t="shared" si="15"/>
        <v>0.247792299540798</v>
      </c>
      <c r="R172" s="44">
        <v>1078.6</v>
      </c>
      <c r="S172" s="18">
        <f t="shared" si="16"/>
        <v>0.633129842686077</v>
      </c>
      <c r="T172" s="44">
        <v>162.8</v>
      </c>
      <c r="U172" s="18">
        <f t="shared" si="17"/>
        <v>0.150936399035787</v>
      </c>
      <c r="V172" s="44">
        <v>68.8</v>
      </c>
      <c r="W172" s="44">
        <v>3.6</v>
      </c>
      <c r="X172" s="18">
        <f t="shared" si="18"/>
        <v>0.0402999062792877</v>
      </c>
      <c r="Y172" s="44">
        <v>119.4</v>
      </c>
      <c r="Z172" s="44">
        <v>4.6</v>
      </c>
      <c r="AA172" s="18">
        <f t="shared" si="19"/>
        <v>0.0698981383912891</v>
      </c>
      <c r="AB172" s="44">
        <v>222</v>
      </c>
      <c r="AC172" s="44">
        <v>32.2</v>
      </c>
      <c r="AD172" s="18">
        <f t="shared" si="20"/>
        <v>0.127894918769443</v>
      </c>
      <c r="AE172" s="44">
        <v>26.6</v>
      </c>
      <c r="AF172" s="18">
        <f t="shared" si="21"/>
        <v>0.0246615983682551</v>
      </c>
    </row>
    <row r="173" customFormat="1" ht="31" spans="1:32">
      <c r="A173" s="1" t="s">
        <v>96</v>
      </c>
      <c r="B173" s="7" t="s">
        <v>35</v>
      </c>
      <c r="D173">
        <f>WEB来源数据!C172</f>
        <v>326.2</v>
      </c>
      <c r="E173">
        <f>WEB来源数据!D172</f>
        <v>1495.4</v>
      </c>
      <c r="F173" s="44">
        <v>1210.6</v>
      </c>
      <c r="G173" s="18">
        <f t="shared" si="11"/>
        <v>0.809549284472382</v>
      </c>
      <c r="H173" s="18">
        <f t="shared" si="12"/>
        <v>2.1483561870147</v>
      </c>
      <c r="I173" s="44">
        <v>42</v>
      </c>
      <c r="J173" s="44">
        <v>0.4</v>
      </c>
      <c r="K173" s="18">
        <f t="shared" si="13"/>
        <v>0.0280786201363819</v>
      </c>
      <c r="L173" s="44">
        <v>15.8</v>
      </c>
      <c r="M173" s="44">
        <v>8.2</v>
      </c>
      <c r="N173" s="18">
        <f t="shared" si="14"/>
        <v>0.0105081138600692</v>
      </c>
      <c r="O173" s="44">
        <v>420.8</v>
      </c>
      <c r="P173" s="44">
        <v>420.8</v>
      </c>
      <c r="Q173" s="18">
        <f t="shared" si="15"/>
        <v>0.21960129422816</v>
      </c>
      <c r="R173" s="44">
        <v>950</v>
      </c>
      <c r="S173" s="18">
        <f t="shared" si="16"/>
        <v>0.635281530025411</v>
      </c>
      <c r="T173" s="44">
        <v>265.4</v>
      </c>
      <c r="U173" s="18">
        <f t="shared" si="17"/>
        <v>0.279368421052632</v>
      </c>
      <c r="V173" s="44">
        <v>54.8</v>
      </c>
      <c r="W173" s="44">
        <v>3.2</v>
      </c>
      <c r="X173" s="18">
        <f t="shared" si="18"/>
        <v>0.0365674629654344</v>
      </c>
      <c r="Y173" s="44">
        <v>193.4</v>
      </c>
      <c r="Z173" s="44">
        <v>4.4</v>
      </c>
      <c r="AA173" s="18">
        <f t="shared" si="19"/>
        <v>0.128950526736898</v>
      </c>
      <c r="AB173" s="44">
        <v>184.4</v>
      </c>
      <c r="AC173" s="44">
        <v>24.2</v>
      </c>
      <c r="AD173" s="18">
        <f t="shared" si="20"/>
        <v>0.121347723085022</v>
      </c>
      <c r="AE173" s="44">
        <v>13</v>
      </c>
      <c r="AF173" s="18">
        <f t="shared" si="21"/>
        <v>0.0136842105263158</v>
      </c>
    </row>
    <row r="174" customFormat="1" ht="31" spans="1:32">
      <c r="A174" s="1" t="s">
        <v>96</v>
      </c>
      <c r="B174" s="7" t="s">
        <v>36</v>
      </c>
      <c r="D174">
        <f>SUM(D172:D173)</f>
        <v>757</v>
      </c>
      <c r="E174">
        <f>SUM(E172:E173)</f>
        <v>3199</v>
      </c>
      <c r="F174" s="44">
        <f>SUM(F172:F173)</f>
        <v>2544.8</v>
      </c>
      <c r="G174" s="18">
        <f t="shared" si="11"/>
        <v>0.79549859331041</v>
      </c>
      <c r="H174" s="18">
        <f t="shared" si="12"/>
        <v>2.15789060044011</v>
      </c>
      <c r="I174" s="44">
        <f>SUM(I172:I173)</f>
        <v>76.6</v>
      </c>
      <c r="J174" s="44">
        <f>SUM(J172:J173)</f>
        <v>1.6</v>
      </c>
      <c r="K174" s="18">
        <f t="shared" si="13"/>
        <v>0.023933012560145</v>
      </c>
      <c r="L174" s="44">
        <f>SUM(L172:L173)</f>
        <v>22</v>
      </c>
      <c r="M174" s="44">
        <f>SUM(M172:M173)</f>
        <v>15.8</v>
      </c>
      <c r="N174" s="18">
        <f t="shared" si="14"/>
        <v>0.00684334950852308</v>
      </c>
      <c r="O174" s="44">
        <f>SUM(O172:O173)</f>
        <v>982</v>
      </c>
      <c r="P174" s="44">
        <f>SUM(P172:P173)</f>
        <v>982</v>
      </c>
      <c r="Q174" s="18">
        <f t="shared" si="15"/>
        <v>0.234872040181775</v>
      </c>
      <c r="R174" s="44">
        <f>SUM(R172:R173)</f>
        <v>2028.6</v>
      </c>
      <c r="S174" s="18">
        <f t="shared" si="16"/>
        <v>0.634135667396061</v>
      </c>
      <c r="T174" s="44">
        <f>SUM(T172:T173)</f>
        <v>428.2</v>
      </c>
      <c r="U174" s="18">
        <f t="shared" si="17"/>
        <v>0.211081534062901</v>
      </c>
      <c r="V174" s="44">
        <f>SUM(V172:V173)</f>
        <v>123.6</v>
      </c>
      <c r="W174" s="44">
        <f>SUM(W172:W173)</f>
        <v>6.8</v>
      </c>
      <c r="X174" s="18">
        <f t="shared" si="18"/>
        <v>0.0385551188470896</v>
      </c>
      <c r="Y174" s="44">
        <f>SUM(Y172:Y173)</f>
        <v>312.8</v>
      </c>
      <c r="Z174" s="44">
        <f>SUM(Z172:Z173)</f>
        <v>9</v>
      </c>
      <c r="AA174" s="18">
        <f t="shared" si="19"/>
        <v>0.0975062344139651</v>
      </c>
      <c r="AB174" s="44">
        <f>SUM(AB172:AB173)</f>
        <v>406.4</v>
      </c>
      <c r="AC174" s="44">
        <f>SUM(AC172:AC173)</f>
        <v>56.4</v>
      </c>
      <c r="AD174" s="18">
        <f t="shared" si="20"/>
        <v>0.124838729495607</v>
      </c>
      <c r="AE174" s="44">
        <f>SUM(AE172:AE173)</f>
        <v>39.6</v>
      </c>
      <c r="AF174" s="18">
        <f t="shared" si="21"/>
        <v>0.0195208518189885</v>
      </c>
    </row>
  </sheetData>
  <mergeCells count="10">
    <mergeCell ref="E2:H2"/>
    <mergeCell ref="I2:K2"/>
    <mergeCell ref="L2:N2"/>
    <mergeCell ref="O2:Q2"/>
    <mergeCell ref="R2:S2"/>
    <mergeCell ref="T2:U2"/>
    <mergeCell ref="V2:X2"/>
    <mergeCell ref="Y2:AA2"/>
    <mergeCell ref="AB2:AD2"/>
    <mergeCell ref="AE2:AF2"/>
  </mergeCell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5"/>
  <sheetViews>
    <sheetView topLeftCell="A164" workbookViewId="0">
      <selection activeCell="D172" sqref="D172"/>
    </sheetView>
  </sheetViews>
  <sheetFormatPr defaultColWidth="11" defaultRowHeight="17.6"/>
  <cols>
    <col min="2" max="3" width="11" customWidth="1"/>
    <col min="4" max="4" width="14" customWidth="1"/>
    <col min="5" max="5" width="17" customWidth="1"/>
    <col min="8" max="8" width="9" customWidth="1"/>
    <col min="9" max="9" width="16" customWidth="1"/>
  </cols>
  <sheetData>
    <row r="1" spans="1:12">
      <c r="A1" s="1"/>
      <c r="C1" s="2" t="s">
        <v>0</v>
      </c>
      <c r="D1" s="2" t="s">
        <v>0</v>
      </c>
      <c r="E1" s="2" t="s">
        <v>1</v>
      </c>
      <c r="F1" s="2" t="s">
        <v>1</v>
      </c>
      <c r="G1" s="2" t="s">
        <v>2</v>
      </c>
      <c r="H1" s="2" t="s">
        <v>2</v>
      </c>
      <c r="I1" s="2" t="s">
        <v>3</v>
      </c>
      <c r="J1" s="2" t="s">
        <v>3</v>
      </c>
      <c r="K1" s="2" t="s">
        <v>2</v>
      </c>
      <c r="L1" s="2" t="s">
        <v>2</v>
      </c>
    </row>
    <row r="2" spans="1:12">
      <c r="A2" s="3"/>
      <c r="B2" s="4"/>
      <c r="C2" s="5" t="s">
        <v>7</v>
      </c>
      <c r="D2" s="5"/>
      <c r="E2" s="10" t="s">
        <v>9</v>
      </c>
      <c r="F2" s="10"/>
      <c r="G2" s="10"/>
      <c r="H2" s="10"/>
      <c r="I2" s="14" t="s">
        <v>10</v>
      </c>
      <c r="J2" s="14"/>
      <c r="K2" s="14"/>
      <c r="L2" s="14"/>
    </row>
    <row r="3" ht="18" spans="1:14">
      <c r="A3" s="3" t="s">
        <v>160</v>
      </c>
      <c r="B3" s="4" t="s">
        <v>13</v>
      </c>
      <c r="C3" s="6" t="s">
        <v>14</v>
      </c>
      <c r="D3" s="6" t="s">
        <v>15</v>
      </c>
      <c r="E3" s="11" t="s">
        <v>22</v>
      </c>
      <c r="F3" s="11" t="s">
        <v>23</v>
      </c>
      <c r="G3" s="11" t="s">
        <v>24</v>
      </c>
      <c r="H3" s="11" t="s">
        <v>25</v>
      </c>
      <c r="I3" s="15" t="s">
        <v>26</v>
      </c>
      <c r="J3" s="15" t="s">
        <v>27</v>
      </c>
      <c r="K3" s="15" t="s">
        <v>24</v>
      </c>
      <c r="L3" s="15" t="s">
        <v>25</v>
      </c>
      <c r="M3" s="2" t="s">
        <v>161</v>
      </c>
      <c r="N3" s="2" t="s">
        <v>162</v>
      </c>
    </row>
    <row r="4" spans="1:14">
      <c r="A4" s="1" t="s">
        <v>163</v>
      </c>
      <c r="B4" s="7" t="s">
        <v>164</v>
      </c>
      <c r="C4" s="8">
        <v>289</v>
      </c>
      <c r="D4" s="8">
        <v>199</v>
      </c>
      <c r="E4" s="12"/>
      <c r="F4" s="12"/>
      <c r="G4" s="2"/>
      <c r="I4" s="9">
        <v>8113</v>
      </c>
      <c r="J4" s="9">
        <v>7</v>
      </c>
      <c r="K4" s="2"/>
      <c r="M4" s="2"/>
      <c r="N4" s="2">
        <v>165</v>
      </c>
    </row>
    <row r="5" ht="16" customHeight="1" spans="1:12">
      <c r="A5" s="1" t="s">
        <v>163</v>
      </c>
      <c r="B5" s="7" t="s">
        <v>35</v>
      </c>
      <c r="C5" s="9">
        <v>279</v>
      </c>
      <c r="D5" s="8">
        <v>109</v>
      </c>
      <c r="E5" s="12"/>
      <c r="F5" s="12"/>
      <c r="G5" s="2"/>
      <c r="I5" s="9">
        <v>965</v>
      </c>
      <c r="J5" s="9">
        <v>13</v>
      </c>
      <c r="K5" s="2">
        <v>0</v>
      </c>
      <c r="L5" s="2">
        <v>180</v>
      </c>
    </row>
    <row r="6" ht="16" customHeight="1" spans="1:11">
      <c r="A6" s="1" t="s">
        <v>163</v>
      </c>
      <c r="B6" s="7" t="s">
        <v>36</v>
      </c>
      <c r="C6" s="9">
        <f>C4+C5</f>
        <v>568</v>
      </c>
      <c r="D6" s="9">
        <f>D4+D5</f>
        <v>308</v>
      </c>
      <c r="E6" s="13">
        <v>85</v>
      </c>
      <c r="F6" s="13">
        <v>35</v>
      </c>
      <c r="G6" s="2"/>
      <c r="I6" s="9">
        <v>9078</v>
      </c>
      <c r="J6" s="9">
        <v>20</v>
      </c>
      <c r="K6" s="2"/>
    </row>
    <row r="7" spans="1:14">
      <c r="A7" s="1" t="s">
        <v>165</v>
      </c>
      <c r="B7" s="7" t="s">
        <v>164</v>
      </c>
      <c r="C7" s="8">
        <v>268</v>
      </c>
      <c r="D7" s="8">
        <v>177</v>
      </c>
      <c r="E7" s="12"/>
      <c r="F7" s="12"/>
      <c r="G7" s="2"/>
      <c r="I7" s="9">
        <v>27329</v>
      </c>
      <c r="J7" s="9">
        <v>23</v>
      </c>
      <c r="K7" s="2"/>
      <c r="M7" s="2"/>
      <c r="N7" s="2">
        <v>165</v>
      </c>
    </row>
    <row r="8" ht="16" customHeight="1" spans="1:12">
      <c r="A8" s="1" t="s">
        <v>165</v>
      </c>
      <c r="B8" s="7" t="s">
        <v>35</v>
      </c>
      <c r="C8" s="9">
        <v>209</v>
      </c>
      <c r="D8" s="8">
        <v>78</v>
      </c>
      <c r="E8" s="12"/>
      <c r="F8" s="12"/>
      <c r="G8" s="2"/>
      <c r="I8" s="9">
        <v>1059</v>
      </c>
      <c r="J8" s="9">
        <v>9</v>
      </c>
      <c r="K8" s="2">
        <v>0</v>
      </c>
      <c r="L8" s="2">
        <v>181</v>
      </c>
    </row>
    <row r="9" ht="16" customHeight="1" spans="1:11">
      <c r="A9" s="1" t="s">
        <v>165</v>
      </c>
      <c r="B9" s="7" t="s">
        <v>36</v>
      </c>
      <c r="C9" s="9">
        <f>C7+C8</f>
        <v>477</v>
      </c>
      <c r="D9" s="9">
        <f>D7+D8</f>
        <v>255</v>
      </c>
      <c r="E9" s="13">
        <v>76</v>
      </c>
      <c r="F9" s="13">
        <v>38</v>
      </c>
      <c r="G9" s="2"/>
      <c r="I9" s="9">
        <v>28388</v>
      </c>
      <c r="J9" s="9">
        <v>32</v>
      </c>
      <c r="K9" s="2"/>
    </row>
    <row r="10" spans="1:14">
      <c r="A10" s="1" t="s">
        <v>166</v>
      </c>
      <c r="B10" s="7" t="s">
        <v>164</v>
      </c>
      <c r="C10" s="8">
        <v>240</v>
      </c>
      <c r="D10" s="8">
        <v>171</v>
      </c>
      <c r="E10" s="12"/>
      <c r="F10" s="12"/>
      <c r="G10" s="2"/>
      <c r="I10" s="9">
        <v>41908</v>
      </c>
      <c r="J10" s="9">
        <v>43</v>
      </c>
      <c r="K10" s="2"/>
      <c r="M10" s="2"/>
      <c r="N10" s="2">
        <v>166</v>
      </c>
    </row>
    <row r="11" ht="16" customHeight="1" spans="1:12">
      <c r="A11" s="1" t="s">
        <v>166</v>
      </c>
      <c r="B11" s="7" t="s">
        <v>35</v>
      </c>
      <c r="C11" s="9">
        <v>228</v>
      </c>
      <c r="D11" s="8">
        <v>114</v>
      </c>
      <c r="E11" s="12"/>
      <c r="F11" s="12"/>
      <c r="G11" s="2"/>
      <c r="I11" s="9">
        <v>2902</v>
      </c>
      <c r="J11" s="9">
        <v>12</v>
      </c>
      <c r="K11" s="2">
        <v>0</v>
      </c>
      <c r="L11" s="2">
        <v>185</v>
      </c>
    </row>
    <row r="12" ht="16" customHeight="1" spans="1:11">
      <c r="A12" s="1" t="s">
        <v>166</v>
      </c>
      <c r="B12" s="7" t="s">
        <v>36</v>
      </c>
      <c r="C12" s="9">
        <f>C10+C11</f>
        <v>468</v>
      </c>
      <c r="D12" s="9">
        <f>D10+D11</f>
        <v>285</v>
      </c>
      <c r="E12" s="13">
        <v>68</v>
      </c>
      <c r="F12" s="13">
        <v>38</v>
      </c>
      <c r="G12" s="2"/>
      <c r="I12" s="9">
        <v>44810</v>
      </c>
      <c r="J12" s="9">
        <v>55</v>
      </c>
      <c r="K12" s="2"/>
    </row>
    <row r="13" spans="1:14">
      <c r="A13" s="1" t="s">
        <v>167</v>
      </c>
      <c r="B13" s="7" t="s">
        <v>164</v>
      </c>
      <c r="C13" s="8">
        <v>204</v>
      </c>
      <c r="D13" s="8">
        <v>145</v>
      </c>
      <c r="E13" s="12"/>
      <c r="F13" s="12"/>
      <c r="G13" s="2"/>
      <c r="I13" s="9">
        <v>20872</v>
      </c>
      <c r="J13" s="9">
        <v>28</v>
      </c>
      <c r="K13" s="2"/>
      <c r="M13" s="2"/>
      <c r="N13" s="2">
        <v>168</v>
      </c>
    </row>
    <row r="14" ht="16" customHeight="1" spans="1:12">
      <c r="A14" s="1" t="s">
        <v>167</v>
      </c>
      <c r="B14" s="7" t="s">
        <v>35</v>
      </c>
      <c r="C14" s="9">
        <v>196</v>
      </c>
      <c r="D14" s="8">
        <v>83</v>
      </c>
      <c r="E14" s="12"/>
      <c r="F14" s="12"/>
      <c r="G14" s="2"/>
      <c r="I14" s="9">
        <v>613</v>
      </c>
      <c r="J14" s="9">
        <v>4</v>
      </c>
      <c r="K14" s="2">
        <v>0</v>
      </c>
      <c r="L14" s="2">
        <v>182</v>
      </c>
    </row>
    <row r="15" ht="16" customHeight="1" spans="1:11">
      <c r="A15" s="1" t="s">
        <v>167</v>
      </c>
      <c r="B15" s="7" t="s">
        <v>36</v>
      </c>
      <c r="C15" s="9">
        <f>C13+C14</f>
        <v>400</v>
      </c>
      <c r="D15" s="9">
        <f>D13+D14</f>
        <v>228</v>
      </c>
      <c r="E15" s="13">
        <v>59</v>
      </c>
      <c r="F15" s="13">
        <v>33</v>
      </c>
      <c r="G15" s="2"/>
      <c r="I15" s="9">
        <v>21485</v>
      </c>
      <c r="J15" s="9">
        <v>32</v>
      </c>
      <c r="K15" s="2"/>
    </row>
    <row r="16" spans="1:14">
      <c r="A16" s="1" t="s">
        <v>168</v>
      </c>
      <c r="B16" s="7" t="s">
        <v>164</v>
      </c>
      <c r="C16" s="8">
        <v>146</v>
      </c>
      <c r="D16" s="8">
        <v>145</v>
      </c>
      <c r="E16" s="12"/>
      <c r="F16" s="12"/>
      <c r="G16" s="2"/>
      <c r="I16" s="9">
        <v>14088</v>
      </c>
      <c r="J16" s="9">
        <v>26</v>
      </c>
      <c r="K16" s="2"/>
      <c r="M16" s="2"/>
      <c r="N16" s="2">
        <v>173</v>
      </c>
    </row>
    <row r="17" ht="16" customHeight="1" spans="1:12">
      <c r="A17" s="1" t="s">
        <v>168</v>
      </c>
      <c r="B17" s="7" t="s">
        <v>35</v>
      </c>
      <c r="C17" s="9">
        <v>206</v>
      </c>
      <c r="D17" s="8">
        <v>75</v>
      </c>
      <c r="E17" s="12"/>
      <c r="F17" s="12"/>
      <c r="G17" s="2"/>
      <c r="I17" s="9">
        <v>739</v>
      </c>
      <c r="J17" s="9">
        <v>1</v>
      </c>
      <c r="K17" s="2">
        <v>0</v>
      </c>
      <c r="L17" s="2">
        <v>191</v>
      </c>
    </row>
    <row r="18" ht="16" customHeight="1" spans="1:11">
      <c r="A18" s="1" t="s">
        <v>168</v>
      </c>
      <c r="B18" s="7" t="s">
        <v>36</v>
      </c>
      <c r="C18" s="9">
        <f>C16+C17</f>
        <v>352</v>
      </c>
      <c r="D18" s="9">
        <f>D16+D17</f>
        <v>220</v>
      </c>
      <c r="E18" s="13">
        <v>61</v>
      </c>
      <c r="F18" s="13">
        <v>38</v>
      </c>
      <c r="G18" s="2"/>
      <c r="I18" s="9">
        <v>14827</v>
      </c>
      <c r="J18" s="9">
        <v>27</v>
      </c>
      <c r="K18" s="2"/>
    </row>
    <row r="19" spans="1:14">
      <c r="A19" s="1" t="s">
        <v>169</v>
      </c>
      <c r="B19" s="7" t="s">
        <v>164</v>
      </c>
      <c r="C19">
        <v>249</v>
      </c>
      <c r="D19">
        <v>121</v>
      </c>
      <c r="E19" s="12"/>
      <c r="F19" s="12"/>
      <c r="G19" s="2"/>
      <c r="I19" s="9">
        <v>13622</v>
      </c>
      <c r="J19" s="9">
        <v>15</v>
      </c>
      <c r="K19" s="2"/>
      <c r="M19" s="2"/>
      <c r="N19" s="2">
        <v>176</v>
      </c>
    </row>
    <row r="20" ht="16" customHeight="1" spans="1:12">
      <c r="A20" s="1" t="s">
        <v>169</v>
      </c>
      <c r="B20" s="7" t="s">
        <v>35</v>
      </c>
      <c r="C20" s="9">
        <v>346</v>
      </c>
      <c r="D20">
        <v>107</v>
      </c>
      <c r="E20" s="12"/>
      <c r="F20" s="12"/>
      <c r="G20" s="2"/>
      <c r="I20" s="9">
        <v>2724</v>
      </c>
      <c r="J20" s="9">
        <v>9</v>
      </c>
      <c r="K20" s="2">
        <v>0</v>
      </c>
      <c r="L20" s="2">
        <v>190</v>
      </c>
    </row>
    <row r="21" ht="16" customHeight="1" spans="1:11">
      <c r="A21" s="1" t="s">
        <v>169</v>
      </c>
      <c r="B21" s="7" t="s">
        <v>36</v>
      </c>
      <c r="C21" s="9">
        <f>C19+C20</f>
        <v>595</v>
      </c>
      <c r="D21" s="9">
        <f>D19+D20</f>
        <v>228</v>
      </c>
      <c r="E21" s="13">
        <v>70</v>
      </c>
      <c r="F21" s="13">
        <v>35</v>
      </c>
      <c r="G21" s="2"/>
      <c r="I21" s="9">
        <v>16346</v>
      </c>
      <c r="J21" s="9">
        <v>24</v>
      </c>
      <c r="K21" s="2"/>
    </row>
    <row r="22" spans="1:14">
      <c r="A22" s="1" t="s">
        <v>170</v>
      </c>
      <c r="B22" s="7" t="s">
        <v>164</v>
      </c>
      <c r="C22" s="8">
        <v>269</v>
      </c>
      <c r="D22" s="8">
        <v>126</v>
      </c>
      <c r="E22" s="12"/>
      <c r="F22" s="12"/>
      <c r="G22" s="2"/>
      <c r="I22" s="9">
        <v>7580</v>
      </c>
      <c r="J22" s="9">
        <v>10</v>
      </c>
      <c r="K22" s="2"/>
      <c r="M22" s="2"/>
      <c r="N22" s="2">
        <v>174</v>
      </c>
    </row>
    <row r="23" ht="16" customHeight="1" spans="1:12">
      <c r="A23" s="1" t="s">
        <v>170</v>
      </c>
      <c r="B23" s="7" t="s">
        <v>35</v>
      </c>
      <c r="C23" s="9">
        <v>293</v>
      </c>
      <c r="D23" s="8">
        <v>94</v>
      </c>
      <c r="E23" s="12"/>
      <c r="F23" s="12"/>
      <c r="G23" s="2"/>
      <c r="I23" s="9">
        <v>1356</v>
      </c>
      <c r="J23" s="9">
        <v>8</v>
      </c>
      <c r="K23" s="2">
        <v>0</v>
      </c>
      <c r="L23" s="2">
        <v>194</v>
      </c>
    </row>
    <row r="24" ht="16" customHeight="1" spans="1:11">
      <c r="A24" s="1" t="s">
        <v>170</v>
      </c>
      <c r="B24" s="7" t="s">
        <v>36</v>
      </c>
      <c r="C24" s="9">
        <f>C22+C23</f>
        <v>562</v>
      </c>
      <c r="D24" s="9">
        <f>D22+D23</f>
        <v>220</v>
      </c>
      <c r="E24" s="13">
        <v>69</v>
      </c>
      <c r="F24" s="13">
        <v>41</v>
      </c>
      <c r="G24" s="2"/>
      <c r="I24" s="9">
        <v>8936</v>
      </c>
      <c r="J24" s="9">
        <v>18</v>
      </c>
      <c r="K24" s="2"/>
    </row>
    <row r="25" spans="1:14">
      <c r="A25" s="1" t="s">
        <v>171</v>
      </c>
      <c r="B25" s="7" t="s">
        <v>164</v>
      </c>
      <c r="C25" s="8">
        <v>224</v>
      </c>
      <c r="D25" s="8">
        <v>136</v>
      </c>
      <c r="E25" s="12"/>
      <c r="F25" s="12"/>
      <c r="G25" s="2"/>
      <c r="I25" s="9">
        <v>7252</v>
      </c>
      <c r="J25" s="9">
        <v>16</v>
      </c>
      <c r="K25" s="2"/>
      <c r="M25" s="2"/>
      <c r="N25" s="2">
        <v>174</v>
      </c>
    </row>
    <row r="26" ht="16" customHeight="1" spans="1:12">
      <c r="A26" s="1" t="s">
        <v>171</v>
      </c>
      <c r="B26" s="7" t="s">
        <v>35</v>
      </c>
      <c r="C26" s="9">
        <v>233</v>
      </c>
      <c r="D26" s="8">
        <v>79</v>
      </c>
      <c r="E26" s="12"/>
      <c r="F26" s="12"/>
      <c r="G26" s="2"/>
      <c r="I26" s="9">
        <v>728</v>
      </c>
      <c r="J26" s="9">
        <v>5</v>
      </c>
      <c r="K26" s="2">
        <v>0</v>
      </c>
      <c r="L26" s="2">
        <v>194</v>
      </c>
    </row>
    <row r="27" ht="16" customHeight="1" spans="1:11">
      <c r="A27" s="1" t="s">
        <v>171</v>
      </c>
      <c r="B27" s="7" t="s">
        <v>36</v>
      </c>
      <c r="C27" s="9">
        <f>C25+C26</f>
        <v>457</v>
      </c>
      <c r="D27" s="9">
        <f>D25+D26</f>
        <v>215</v>
      </c>
      <c r="E27" s="13">
        <v>69</v>
      </c>
      <c r="F27" s="13">
        <v>28</v>
      </c>
      <c r="G27" s="2"/>
      <c r="I27" s="9">
        <v>7980</v>
      </c>
      <c r="J27" s="9">
        <v>21</v>
      </c>
      <c r="K27" s="2"/>
    </row>
    <row r="28" spans="1:14">
      <c r="A28" s="1" t="s">
        <v>172</v>
      </c>
      <c r="B28" s="7" t="s">
        <v>164</v>
      </c>
      <c r="C28">
        <v>197</v>
      </c>
      <c r="D28">
        <v>144</v>
      </c>
      <c r="E28" s="12"/>
      <c r="F28" s="12"/>
      <c r="G28" s="2"/>
      <c r="I28" s="9">
        <v>6047</v>
      </c>
      <c r="J28" s="9">
        <v>12</v>
      </c>
      <c r="K28" s="2"/>
      <c r="M28" s="2"/>
      <c r="N28" s="2">
        <v>188</v>
      </c>
    </row>
    <row r="29" ht="16" customHeight="1" spans="1:12">
      <c r="A29" s="1" t="s">
        <v>172</v>
      </c>
      <c r="B29" s="7" t="s">
        <v>35</v>
      </c>
      <c r="C29" s="9">
        <v>230</v>
      </c>
      <c r="D29">
        <v>107</v>
      </c>
      <c r="E29" s="12"/>
      <c r="F29" s="12"/>
      <c r="G29" s="2"/>
      <c r="I29" s="9">
        <v>690</v>
      </c>
      <c r="J29" s="9">
        <v>12</v>
      </c>
      <c r="K29" s="2">
        <v>0</v>
      </c>
      <c r="L29" s="2">
        <v>209</v>
      </c>
    </row>
    <row r="30" ht="16" customHeight="1" spans="1:11">
      <c r="A30" s="1" t="s">
        <v>172</v>
      </c>
      <c r="B30" s="7" t="s">
        <v>36</v>
      </c>
      <c r="C30" s="9">
        <f>C28+C29</f>
        <v>427</v>
      </c>
      <c r="D30" s="9">
        <f>D28+D29</f>
        <v>251</v>
      </c>
      <c r="E30" s="13">
        <v>59</v>
      </c>
      <c r="F30" s="13">
        <v>40</v>
      </c>
      <c r="G30" s="2"/>
      <c r="I30" s="9">
        <v>6737</v>
      </c>
      <c r="J30" s="9">
        <v>24</v>
      </c>
      <c r="K30" s="2"/>
    </row>
    <row r="31" spans="1:14">
      <c r="A31" s="1" t="s">
        <v>173</v>
      </c>
      <c r="B31" s="7" t="s">
        <v>164</v>
      </c>
      <c r="C31" s="8">
        <v>183</v>
      </c>
      <c r="D31" s="8">
        <v>161</v>
      </c>
      <c r="E31" s="12"/>
      <c r="F31" s="12"/>
      <c r="G31" s="2"/>
      <c r="I31" s="9">
        <v>5409</v>
      </c>
      <c r="J31" s="9">
        <v>8</v>
      </c>
      <c r="K31" s="2"/>
      <c r="M31" s="2"/>
      <c r="N31" s="2">
        <v>190</v>
      </c>
    </row>
    <row r="32" ht="16" customHeight="1" spans="1:12">
      <c r="A32" s="1" t="s">
        <v>173</v>
      </c>
      <c r="B32" s="7" t="s">
        <v>35</v>
      </c>
      <c r="C32" s="9">
        <v>185</v>
      </c>
      <c r="D32" s="8">
        <v>87</v>
      </c>
      <c r="E32" s="12"/>
      <c r="F32" s="12"/>
      <c r="G32" s="2"/>
      <c r="I32" s="9">
        <v>733</v>
      </c>
      <c r="J32" s="9">
        <v>5</v>
      </c>
      <c r="K32" s="2">
        <v>0</v>
      </c>
      <c r="L32" s="2">
        <v>209</v>
      </c>
    </row>
    <row r="33" ht="16" customHeight="1" spans="1:11">
      <c r="A33" s="1" t="s">
        <v>173</v>
      </c>
      <c r="B33" s="7" t="s">
        <v>36</v>
      </c>
      <c r="C33" s="9">
        <f>C31+C32</f>
        <v>368</v>
      </c>
      <c r="D33" s="9">
        <f>D31+D32</f>
        <v>248</v>
      </c>
      <c r="E33" s="13">
        <v>70</v>
      </c>
      <c r="F33" s="13">
        <v>39</v>
      </c>
      <c r="G33" s="2"/>
      <c r="I33" s="9">
        <v>6142</v>
      </c>
      <c r="J33" s="9">
        <v>13</v>
      </c>
      <c r="K33" s="2"/>
    </row>
    <row r="34" spans="1:14">
      <c r="A34" s="1" t="s">
        <v>174</v>
      </c>
      <c r="B34" s="7" t="s">
        <v>164</v>
      </c>
      <c r="C34" s="8">
        <v>243</v>
      </c>
      <c r="D34" s="8">
        <v>130</v>
      </c>
      <c r="E34" s="12"/>
      <c r="F34" s="12"/>
      <c r="G34" s="2"/>
      <c r="I34" s="9">
        <v>4295</v>
      </c>
      <c r="J34" s="9">
        <v>9</v>
      </c>
      <c r="K34" s="2"/>
      <c r="M34" s="2"/>
      <c r="N34" s="2">
        <v>192</v>
      </c>
    </row>
    <row r="35" ht="16" customHeight="1" spans="1:12">
      <c r="A35" s="1" t="s">
        <v>174</v>
      </c>
      <c r="B35" s="7" t="s">
        <v>35</v>
      </c>
      <c r="C35" s="9">
        <v>165</v>
      </c>
      <c r="D35" s="8">
        <v>83</v>
      </c>
      <c r="E35" s="12"/>
      <c r="F35" s="12"/>
      <c r="G35" s="2"/>
      <c r="I35" s="9">
        <v>632</v>
      </c>
      <c r="J35" s="9">
        <v>8</v>
      </c>
      <c r="K35" s="2">
        <v>0</v>
      </c>
      <c r="L35" s="2">
        <v>209</v>
      </c>
    </row>
    <row r="36" ht="16" customHeight="1" spans="1:11">
      <c r="A36" s="1" t="s">
        <v>174</v>
      </c>
      <c r="B36" s="7" t="s">
        <v>36</v>
      </c>
      <c r="C36" s="9">
        <f>C34+C35</f>
        <v>408</v>
      </c>
      <c r="D36" s="9">
        <f>D34+D35</f>
        <v>213</v>
      </c>
      <c r="E36" s="13">
        <v>54</v>
      </c>
      <c r="F36" s="13">
        <v>30</v>
      </c>
      <c r="G36" s="2"/>
      <c r="I36" s="9">
        <v>4927</v>
      </c>
      <c r="J36" s="9">
        <v>17</v>
      </c>
      <c r="K36" s="2"/>
    </row>
    <row r="37" spans="1:14">
      <c r="A37" s="1" t="s">
        <v>175</v>
      </c>
      <c r="B37" s="7" t="s">
        <v>164</v>
      </c>
      <c r="C37">
        <v>192</v>
      </c>
      <c r="D37">
        <v>122</v>
      </c>
      <c r="E37" s="12"/>
      <c r="F37" s="12"/>
      <c r="G37" s="2"/>
      <c r="I37" s="9">
        <v>4783</v>
      </c>
      <c r="J37" s="9">
        <v>4</v>
      </c>
      <c r="K37" s="2"/>
      <c r="M37" s="2"/>
      <c r="N37" s="2">
        <v>195</v>
      </c>
    </row>
    <row r="38" ht="16" customHeight="1" spans="1:12">
      <c r="A38" s="1" t="s">
        <v>175</v>
      </c>
      <c r="B38" s="7" t="s">
        <v>35</v>
      </c>
      <c r="C38" s="9">
        <v>211</v>
      </c>
      <c r="D38">
        <v>85</v>
      </c>
      <c r="E38" s="12"/>
      <c r="F38" s="12"/>
      <c r="G38" s="2"/>
      <c r="I38" s="9">
        <v>610</v>
      </c>
      <c r="J38" s="9">
        <v>6</v>
      </c>
      <c r="K38" s="2">
        <v>0</v>
      </c>
      <c r="L38" s="2">
        <v>210</v>
      </c>
    </row>
    <row r="39" ht="16" customHeight="1" spans="1:11">
      <c r="A39" s="1" t="s">
        <v>175</v>
      </c>
      <c r="B39" s="7" t="s">
        <v>36</v>
      </c>
      <c r="C39" s="9">
        <f>C37+C38</f>
        <v>403</v>
      </c>
      <c r="D39" s="9">
        <f>D37+D38</f>
        <v>207</v>
      </c>
      <c r="E39" s="13">
        <v>70</v>
      </c>
      <c r="F39" s="13">
        <v>35</v>
      </c>
      <c r="G39" s="2"/>
      <c r="I39" s="9">
        <v>5393</v>
      </c>
      <c r="J39" s="9">
        <v>10</v>
      </c>
      <c r="K39" s="2"/>
    </row>
    <row r="40" spans="1:14">
      <c r="A40" s="1" t="s">
        <v>176</v>
      </c>
      <c r="B40" s="7" t="s">
        <v>164</v>
      </c>
      <c r="C40" s="8">
        <v>249</v>
      </c>
      <c r="D40" s="8">
        <v>117</v>
      </c>
      <c r="E40" s="12"/>
      <c r="F40" s="12"/>
      <c r="G40" s="2"/>
      <c r="I40" s="9">
        <v>4154</v>
      </c>
      <c r="J40" s="9">
        <v>8</v>
      </c>
      <c r="K40" s="2"/>
      <c r="N40" s="2">
        <v>195</v>
      </c>
    </row>
    <row r="41" ht="16" customHeight="1" spans="1:12">
      <c r="A41" s="1" t="s">
        <v>176</v>
      </c>
      <c r="B41" s="7" t="s">
        <v>35</v>
      </c>
      <c r="C41" s="9">
        <v>260</v>
      </c>
      <c r="D41" s="8">
        <v>106</v>
      </c>
      <c r="E41" s="12"/>
      <c r="F41" s="12"/>
      <c r="G41" s="2"/>
      <c r="I41" s="9">
        <v>802</v>
      </c>
      <c r="J41" s="9">
        <v>9</v>
      </c>
      <c r="K41" s="2">
        <v>0</v>
      </c>
      <c r="L41" s="2">
        <v>210</v>
      </c>
    </row>
    <row r="42" ht="16" customHeight="1" spans="1:11">
      <c r="A42" s="1" t="s">
        <v>176</v>
      </c>
      <c r="B42" s="7" t="s">
        <v>36</v>
      </c>
      <c r="C42" s="9">
        <f>C40+C41</f>
        <v>509</v>
      </c>
      <c r="D42" s="9">
        <f>D40+D41</f>
        <v>223</v>
      </c>
      <c r="E42" s="13">
        <v>105</v>
      </c>
      <c r="F42" s="13">
        <v>57</v>
      </c>
      <c r="G42" s="2"/>
      <c r="I42" s="9">
        <v>4956</v>
      </c>
      <c r="J42" s="9">
        <v>17</v>
      </c>
      <c r="K42" s="2"/>
    </row>
    <row r="43" spans="1:14">
      <c r="A43" s="1" t="s">
        <v>177</v>
      </c>
      <c r="B43" s="7" t="s">
        <v>164</v>
      </c>
      <c r="C43" s="8">
        <v>295</v>
      </c>
      <c r="D43" s="8">
        <v>173</v>
      </c>
      <c r="E43" s="12"/>
      <c r="F43" s="12"/>
      <c r="G43" s="2"/>
      <c r="I43" s="9">
        <v>15833</v>
      </c>
      <c r="J43" s="9">
        <v>39</v>
      </c>
      <c r="K43" s="2"/>
      <c r="N43" s="2">
        <v>195</v>
      </c>
    </row>
    <row r="44" ht="16" customHeight="1" spans="1:12">
      <c r="A44" s="1" t="s">
        <v>177</v>
      </c>
      <c r="B44" s="7" t="s">
        <v>35</v>
      </c>
      <c r="C44" s="9">
        <v>253</v>
      </c>
      <c r="D44" s="8">
        <v>84</v>
      </c>
      <c r="E44" s="12"/>
      <c r="F44" s="12"/>
      <c r="G44" s="2"/>
      <c r="I44" s="9">
        <v>3034</v>
      </c>
      <c r="J44" s="9">
        <v>9</v>
      </c>
      <c r="K44" s="2">
        <v>0</v>
      </c>
      <c r="L44" s="2">
        <v>210</v>
      </c>
    </row>
    <row r="45" ht="16" customHeight="1" spans="1:11">
      <c r="A45" s="1" t="s">
        <v>177</v>
      </c>
      <c r="B45" s="7" t="s">
        <v>36</v>
      </c>
      <c r="C45" s="9">
        <f>C43+C44</f>
        <v>548</v>
      </c>
      <c r="D45" s="9">
        <f>D43+D44</f>
        <v>257</v>
      </c>
      <c r="E45" s="13">
        <v>99</v>
      </c>
      <c r="F45" s="13">
        <v>60</v>
      </c>
      <c r="G45" s="2"/>
      <c r="I45" s="9">
        <v>18867</v>
      </c>
      <c r="J45" s="9">
        <v>48</v>
      </c>
      <c r="K45" s="2"/>
    </row>
    <row r="46" spans="1:14">
      <c r="A46" s="1" t="s">
        <v>178</v>
      </c>
      <c r="B46" s="7" t="s">
        <v>164</v>
      </c>
      <c r="C46">
        <v>292</v>
      </c>
      <c r="D46">
        <v>119</v>
      </c>
      <c r="E46" s="12"/>
      <c r="F46" s="12"/>
      <c r="G46" s="2"/>
      <c r="I46" s="9">
        <v>21896</v>
      </c>
      <c r="J46" s="9">
        <v>30</v>
      </c>
      <c r="K46" s="2"/>
      <c r="N46" s="2">
        <v>196</v>
      </c>
    </row>
    <row r="47" ht="16" customHeight="1" spans="1:12">
      <c r="A47" s="1" t="s">
        <v>178</v>
      </c>
      <c r="B47" s="7" t="s">
        <v>35</v>
      </c>
      <c r="C47" s="9">
        <v>273</v>
      </c>
      <c r="D47">
        <v>93</v>
      </c>
      <c r="E47" s="12"/>
      <c r="F47" s="12"/>
      <c r="G47" s="2"/>
      <c r="I47" s="9">
        <v>1907</v>
      </c>
      <c r="J47" s="9">
        <v>10</v>
      </c>
      <c r="K47" s="2">
        <v>0</v>
      </c>
      <c r="L47" s="2">
        <v>212</v>
      </c>
    </row>
    <row r="48" ht="16" customHeight="1" spans="1:11">
      <c r="A48" s="1" t="s">
        <v>178</v>
      </c>
      <c r="B48" s="7" t="s">
        <v>36</v>
      </c>
      <c r="C48" s="9">
        <f>C46+C47</f>
        <v>565</v>
      </c>
      <c r="D48" s="9">
        <f>D46+D47</f>
        <v>212</v>
      </c>
      <c r="E48" s="13">
        <v>81</v>
      </c>
      <c r="F48" s="13">
        <v>46</v>
      </c>
      <c r="G48" s="2"/>
      <c r="I48" s="9">
        <v>23803</v>
      </c>
      <c r="J48" s="9">
        <v>40</v>
      </c>
      <c r="K48" s="2"/>
    </row>
    <row r="49" spans="1:14">
      <c r="A49" s="1" t="s">
        <v>179</v>
      </c>
      <c r="B49" s="7" t="s">
        <v>164</v>
      </c>
      <c r="C49" s="8">
        <v>235</v>
      </c>
      <c r="D49" s="8">
        <v>155</v>
      </c>
      <c r="E49" s="12"/>
      <c r="F49" s="12"/>
      <c r="G49" s="2"/>
      <c r="I49" s="9">
        <v>14297</v>
      </c>
      <c r="J49" s="9">
        <v>19</v>
      </c>
      <c r="K49" s="2"/>
      <c r="N49" s="2">
        <v>195</v>
      </c>
    </row>
    <row r="50" ht="16" customHeight="1" spans="1:12">
      <c r="A50" s="1" t="s">
        <v>179</v>
      </c>
      <c r="B50" s="7" t="s">
        <v>35</v>
      </c>
      <c r="C50" s="9">
        <v>197</v>
      </c>
      <c r="D50" s="8">
        <v>66</v>
      </c>
      <c r="E50" s="12"/>
      <c r="F50" s="12"/>
      <c r="G50" s="2"/>
      <c r="I50" s="9">
        <v>1059</v>
      </c>
      <c r="J50" s="9">
        <v>11</v>
      </c>
      <c r="K50" s="2">
        <v>0</v>
      </c>
      <c r="L50" s="2">
        <v>210</v>
      </c>
    </row>
    <row r="51" ht="16" customHeight="1" spans="1:11">
      <c r="A51" s="1" t="s">
        <v>179</v>
      </c>
      <c r="B51" s="7" t="s">
        <v>36</v>
      </c>
      <c r="C51" s="9">
        <f>C49+C50</f>
        <v>432</v>
      </c>
      <c r="D51" s="9">
        <f>D49+D50</f>
        <v>221</v>
      </c>
      <c r="E51" s="13">
        <v>72</v>
      </c>
      <c r="F51" s="13">
        <v>41</v>
      </c>
      <c r="G51" s="2"/>
      <c r="I51" s="9">
        <v>15356</v>
      </c>
      <c r="J51" s="9">
        <v>30</v>
      </c>
      <c r="K51" s="2"/>
    </row>
    <row r="52" spans="1:14">
      <c r="A52" s="1" t="s">
        <v>180</v>
      </c>
      <c r="B52" s="7" t="s">
        <v>164</v>
      </c>
      <c r="C52" s="8">
        <v>175</v>
      </c>
      <c r="D52" s="8">
        <v>142</v>
      </c>
      <c r="E52" s="12"/>
      <c r="F52" s="12"/>
      <c r="G52" s="2"/>
      <c r="I52" s="9">
        <v>12302</v>
      </c>
      <c r="J52" s="9">
        <v>30</v>
      </c>
      <c r="K52" s="2"/>
      <c r="N52" s="2">
        <v>194</v>
      </c>
    </row>
    <row r="53" ht="16" customHeight="1" spans="1:12">
      <c r="A53" s="1" t="s">
        <v>180</v>
      </c>
      <c r="B53" s="7" t="s">
        <v>35</v>
      </c>
      <c r="C53" s="9">
        <v>188</v>
      </c>
      <c r="D53" s="8">
        <v>77</v>
      </c>
      <c r="E53" s="12"/>
      <c r="F53" s="12"/>
      <c r="G53" s="2"/>
      <c r="I53" s="9">
        <v>1106</v>
      </c>
      <c r="J53" s="9">
        <v>12</v>
      </c>
      <c r="K53" s="2">
        <v>0</v>
      </c>
      <c r="L53" s="2">
        <v>210</v>
      </c>
    </row>
    <row r="54" ht="16" customHeight="1" spans="1:11">
      <c r="A54" s="1" t="s">
        <v>180</v>
      </c>
      <c r="B54" s="7" t="s">
        <v>36</v>
      </c>
      <c r="C54" s="9">
        <f>C52+C53</f>
        <v>363</v>
      </c>
      <c r="D54" s="9">
        <f>D52+D53</f>
        <v>219</v>
      </c>
      <c r="E54" s="13">
        <v>66</v>
      </c>
      <c r="F54" s="13">
        <v>39</v>
      </c>
      <c r="G54" s="2"/>
      <c r="I54" s="9">
        <v>13408</v>
      </c>
      <c r="J54" s="9">
        <v>42</v>
      </c>
      <c r="K54" s="2"/>
    </row>
    <row r="55" spans="1:14">
      <c r="A55" s="1" t="s">
        <v>181</v>
      </c>
      <c r="B55" s="7" t="s">
        <v>164</v>
      </c>
      <c r="C55">
        <v>219</v>
      </c>
      <c r="D55">
        <v>122</v>
      </c>
      <c r="E55" s="12"/>
      <c r="F55" s="12"/>
      <c r="G55" s="2"/>
      <c r="I55" s="9">
        <v>13411</v>
      </c>
      <c r="J55" s="9">
        <v>49</v>
      </c>
      <c r="K55" s="2"/>
      <c r="N55" s="2">
        <v>194</v>
      </c>
    </row>
    <row r="56" ht="16" customHeight="1" spans="1:12">
      <c r="A56" s="1" t="s">
        <v>181</v>
      </c>
      <c r="B56" s="7" t="s">
        <v>35</v>
      </c>
      <c r="C56" s="9">
        <v>197</v>
      </c>
      <c r="D56">
        <v>77</v>
      </c>
      <c r="E56" s="12"/>
      <c r="F56" s="12"/>
      <c r="G56" s="2"/>
      <c r="I56" s="9">
        <v>613</v>
      </c>
      <c r="J56" s="9">
        <v>4</v>
      </c>
      <c r="K56" s="2">
        <v>0</v>
      </c>
      <c r="L56" s="2">
        <v>210</v>
      </c>
    </row>
    <row r="57" ht="16" customHeight="1" spans="1:11">
      <c r="A57" s="1" t="s">
        <v>181</v>
      </c>
      <c r="B57" s="7" t="s">
        <v>36</v>
      </c>
      <c r="C57" s="9">
        <f>C55+C56</f>
        <v>416</v>
      </c>
      <c r="D57" s="9">
        <f>D55+D56</f>
        <v>199</v>
      </c>
      <c r="E57" s="13">
        <v>45</v>
      </c>
      <c r="F57" s="13">
        <v>23</v>
      </c>
      <c r="G57" s="2"/>
      <c r="I57" s="9">
        <v>14024</v>
      </c>
      <c r="J57" s="9">
        <v>53</v>
      </c>
      <c r="K57" s="2"/>
    </row>
    <row r="58" spans="1:14">
      <c r="A58" s="1" t="s">
        <v>182</v>
      </c>
      <c r="B58" s="7" t="s">
        <v>164</v>
      </c>
      <c r="C58" s="8">
        <v>198</v>
      </c>
      <c r="D58" s="8">
        <v>97</v>
      </c>
      <c r="E58" s="12"/>
      <c r="F58" s="12"/>
      <c r="G58" s="2"/>
      <c r="I58" s="9">
        <v>15190</v>
      </c>
      <c r="J58" s="9">
        <v>22</v>
      </c>
      <c r="K58" s="2"/>
      <c r="N58" s="2">
        <v>196</v>
      </c>
    </row>
    <row r="59" ht="16" customHeight="1" spans="1:12">
      <c r="A59" s="1" t="s">
        <v>182</v>
      </c>
      <c r="B59" s="7" t="s">
        <v>35</v>
      </c>
      <c r="C59" s="9">
        <v>212</v>
      </c>
      <c r="D59" s="8">
        <v>69</v>
      </c>
      <c r="E59" s="12"/>
      <c r="F59" s="12"/>
      <c r="G59" s="2"/>
      <c r="I59" s="9">
        <v>581</v>
      </c>
      <c r="J59" s="9">
        <v>7</v>
      </c>
      <c r="K59" s="2">
        <v>0</v>
      </c>
      <c r="L59" s="2">
        <v>210</v>
      </c>
    </row>
    <row r="60" ht="16" customHeight="1" spans="1:11">
      <c r="A60" s="1" t="s">
        <v>182</v>
      </c>
      <c r="B60" s="7" t="s">
        <v>36</v>
      </c>
      <c r="C60" s="9">
        <f>C58+C59</f>
        <v>410</v>
      </c>
      <c r="D60" s="9">
        <f>D58+D59</f>
        <v>166</v>
      </c>
      <c r="E60" s="13">
        <v>76</v>
      </c>
      <c r="F60" s="13">
        <v>51</v>
      </c>
      <c r="G60" s="2"/>
      <c r="I60" s="9">
        <v>15771</v>
      </c>
      <c r="J60" s="9">
        <v>29</v>
      </c>
      <c r="K60" s="2"/>
    </row>
    <row r="61" spans="1:14">
      <c r="A61" s="1" t="s">
        <v>183</v>
      </c>
      <c r="B61" s="7" t="s">
        <v>164</v>
      </c>
      <c r="C61" s="8">
        <v>251</v>
      </c>
      <c r="D61" s="8">
        <v>101</v>
      </c>
      <c r="E61" s="12"/>
      <c r="F61" s="12"/>
      <c r="G61" s="2"/>
      <c r="I61" s="9">
        <v>14821</v>
      </c>
      <c r="J61" s="9">
        <v>33</v>
      </c>
      <c r="K61" s="2"/>
      <c r="N61" s="2">
        <v>196</v>
      </c>
    </row>
    <row r="62" ht="16" customHeight="1" spans="1:12">
      <c r="A62" s="1" t="s">
        <v>183</v>
      </c>
      <c r="B62" s="7" t="s">
        <v>35</v>
      </c>
      <c r="C62" s="9">
        <v>250</v>
      </c>
      <c r="D62" s="8">
        <v>79</v>
      </c>
      <c r="E62" s="12"/>
      <c r="F62" s="12"/>
      <c r="G62" s="2"/>
      <c r="I62" s="9">
        <v>4894</v>
      </c>
      <c r="J62" s="9">
        <v>17</v>
      </c>
      <c r="K62" s="2">
        <v>0</v>
      </c>
      <c r="L62" s="2">
        <v>207</v>
      </c>
    </row>
    <row r="63" ht="16" customHeight="1" spans="1:11">
      <c r="A63" s="1" t="s">
        <v>183</v>
      </c>
      <c r="B63" s="7" t="s">
        <v>36</v>
      </c>
      <c r="C63" s="9">
        <f>C61+C62</f>
        <v>501</v>
      </c>
      <c r="D63" s="9">
        <f>D61+D62</f>
        <v>180</v>
      </c>
      <c r="E63" s="13">
        <v>70</v>
      </c>
      <c r="F63" s="13">
        <v>47</v>
      </c>
      <c r="G63" s="2"/>
      <c r="I63" s="9">
        <v>19715</v>
      </c>
      <c r="J63" s="9">
        <v>50</v>
      </c>
      <c r="K63" s="2"/>
    </row>
    <row r="64" spans="1:14">
      <c r="A64" s="1" t="s">
        <v>184</v>
      </c>
      <c r="B64" s="7" t="s">
        <v>164</v>
      </c>
      <c r="C64">
        <v>193</v>
      </c>
      <c r="D64">
        <v>127</v>
      </c>
      <c r="E64" s="12"/>
      <c r="F64" s="12"/>
      <c r="G64" s="2"/>
      <c r="I64" s="9">
        <v>20917</v>
      </c>
      <c r="J64" s="9">
        <v>31</v>
      </c>
      <c r="K64" s="2"/>
      <c r="N64" s="2">
        <v>198</v>
      </c>
    </row>
    <row r="65" ht="16" customHeight="1" spans="1:12">
      <c r="A65" s="1" t="s">
        <v>184</v>
      </c>
      <c r="B65" s="7" t="s">
        <v>35</v>
      </c>
      <c r="C65" s="9">
        <v>208</v>
      </c>
      <c r="D65">
        <v>70</v>
      </c>
      <c r="E65" s="12"/>
      <c r="F65" s="12"/>
      <c r="G65" s="2"/>
      <c r="I65" s="9">
        <v>1482</v>
      </c>
      <c r="J65" s="9">
        <v>5</v>
      </c>
      <c r="K65" s="2">
        <v>0</v>
      </c>
      <c r="L65" s="2">
        <v>210</v>
      </c>
    </row>
    <row r="66" ht="16" customHeight="1" spans="1:11">
      <c r="A66" s="1" t="s">
        <v>184</v>
      </c>
      <c r="B66" s="7" t="s">
        <v>36</v>
      </c>
      <c r="C66" s="9">
        <f>C64+C65</f>
        <v>401</v>
      </c>
      <c r="D66" s="9">
        <f>D64+D65</f>
        <v>197</v>
      </c>
      <c r="E66" s="13">
        <v>68</v>
      </c>
      <c r="F66" s="13">
        <v>38</v>
      </c>
      <c r="G66" s="2"/>
      <c r="I66" s="9">
        <v>22399</v>
      </c>
      <c r="J66" s="9">
        <v>36</v>
      </c>
      <c r="K66" s="2"/>
    </row>
    <row r="67" spans="1:14">
      <c r="A67" s="1" t="s">
        <v>185</v>
      </c>
      <c r="B67" s="7" t="s">
        <v>164</v>
      </c>
      <c r="C67" s="8">
        <v>234</v>
      </c>
      <c r="D67" s="8">
        <v>137</v>
      </c>
      <c r="E67" s="12"/>
      <c r="F67" s="12"/>
      <c r="G67" s="2"/>
      <c r="I67" s="9">
        <v>16813</v>
      </c>
      <c r="J67" s="9">
        <v>35</v>
      </c>
      <c r="K67" s="2"/>
      <c r="N67" s="2">
        <v>198</v>
      </c>
    </row>
    <row r="68" ht="16" customHeight="1" spans="1:12">
      <c r="A68" s="1" t="s">
        <v>185</v>
      </c>
      <c r="B68" s="7" t="s">
        <v>35</v>
      </c>
      <c r="C68" s="9">
        <v>227</v>
      </c>
      <c r="D68" s="8">
        <v>75</v>
      </c>
      <c r="E68" s="12"/>
      <c r="F68" s="12"/>
      <c r="G68" s="2"/>
      <c r="I68" s="9">
        <v>1407</v>
      </c>
      <c r="J68" s="9">
        <v>4</v>
      </c>
      <c r="K68" s="2">
        <v>0</v>
      </c>
      <c r="L68" s="2">
        <v>211</v>
      </c>
    </row>
    <row r="69" ht="16" customHeight="1" spans="1:11">
      <c r="A69" s="1" t="s">
        <v>185</v>
      </c>
      <c r="B69" s="7" t="s">
        <v>36</v>
      </c>
      <c r="C69" s="9">
        <f>C67+C68</f>
        <v>461</v>
      </c>
      <c r="D69" s="9">
        <f>D67+D68</f>
        <v>212</v>
      </c>
      <c r="E69" s="13">
        <v>65</v>
      </c>
      <c r="F69" s="13">
        <v>42</v>
      </c>
      <c r="G69" s="2"/>
      <c r="I69" s="9">
        <v>18220</v>
      </c>
      <c r="J69" s="9">
        <v>39</v>
      </c>
      <c r="K69" s="2"/>
    </row>
    <row r="70" spans="1:11">
      <c r="A70" s="1" t="s">
        <v>186</v>
      </c>
      <c r="B70" s="7" t="s">
        <v>164</v>
      </c>
      <c r="C70" s="8">
        <v>201</v>
      </c>
      <c r="D70" s="8">
        <v>130</v>
      </c>
      <c r="E70" s="12"/>
      <c r="F70" s="12"/>
      <c r="G70" s="2"/>
      <c r="I70" s="9">
        <v>11472</v>
      </c>
      <c r="J70" s="9">
        <v>30</v>
      </c>
      <c r="K70" s="2"/>
    </row>
    <row r="71" ht="16" customHeight="1" spans="1:12">
      <c r="A71" s="1" t="s">
        <v>186</v>
      </c>
      <c r="B71" s="7" t="s">
        <v>35</v>
      </c>
      <c r="C71" s="9">
        <v>246</v>
      </c>
      <c r="D71" s="8">
        <v>68</v>
      </c>
      <c r="E71" s="12"/>
      <c r="F71" s="12"/>
      <c r="G71" s="2"/>
      <c r="I71" s="9">
        <v>1328</v>
      </c>
      <c r="J71" s="9">
        <v>8</v>
      </c>
      <c r="K71" s="2">
        <v>0</v>
      </c>
      <c r="L71" s="2">
        <v>206</v>
      </c>
    </row>
    <row r="72" ht="16" customHeight="1" spans="1:11">
      <c r="A72" s="1" t="s">
        <v>186</v>
      </c>
      <c r="B72" s="7" t="s">
        <v>36</v>
      </c>
      <c r="C72" s="9">
        <f>C70+C71</f>
        <v>447</v>
      </c>
      <c r="D72" s="9">
        <f>D70+D71</f>
        <v>198</v>
      </c>
      <c r="E72" s="13">
        <v>70</v>
      </c>
      <c r="F72" s="13">
        <v>45</v>
      </c>
      <c r="G72" s="2"/>
      <c r="I72" s="9">
        <v>12800</v>
      </c>
      <c r="J72" s="9">
        <v>38</v>
      </c>
      <c r="K72" s="2"/>
    </row>
    <row r="73" spans="1:11">
      <c r="A73" s="1" t="s">
        <v>187</v>
      </c>
      <c r="B73" s="7" t="s">
        <v>164</v>
      </c>
      <c r="C73">
        <v>172</v>
      </c>
      <c r="D73">
        <v>116</v>
      </c>
      <c r="E73" s="12"/>
      <c r="F73" s="12"/>
      <c r="G73" s="2"/>
      <c r="I73" s="9">
        <v>10948</v>
      </c>
      <c r="J73" s="9">
        <v>24</v>
      </c>
      <c r="K73" s="2"/>
    </row>
    <row r="74" ht="16" customHeight="1" spans="1:12">
      <c r="A74" s="1" t="s">
        <v>187</v>
      </c>
      <c r="B74" s="7" t="s">
        <v>35</v>
      </c>
      <c r="C74" s="9">
        <v>175</v>
      </c>
      <c r="D74">
        <v>71</v>
      </c>
      <c r="E74" s="12"/>
      <c r="F74" s="12"/>
      <c r="G74" s="2"/>
      <c r="I74" s="9">
        <v>917</v>
      </c>
      <c r="J74" s="9">
        <v>3</v>
      </c>
      <c r="K74" s="2">
        <v>0</v>
      </c>
      <c r="L74" s="2">
        <v>207</v>
      </c>
    </row>
    <row r="75" ht="16" customHeight="1" spans="1:11">
      <c r="A75" s="1" t="s">
        <v>187</v>
      </c>
      <c r="B75" s="7" t="s">
        <v>36</v>
      </c>
      <c r="C75" s="9">
        <f>C73+C74</f>
        <v>347</v>
      </c>
      <c r="D75" s="9">
        <f>D73+D74</f>
        <v>187</v>
      </c>
      <c r="E75" s="13">
        <v>53</v>
      </c>
      <c r="F75" s="13">
        <v>37</v>
      </c>
      <c r="G75" s="2"/>
      <c r="I75" s="9">
        <v>11865</v>
      </c>
      <c r="J75" s="9">
        <v>27</v>
      </c>
      <c r="K75" s="2"/>
    </row>
    <row r="76" spans="1:11">
      <c r="A76" s="1" t="s">
        <v>188</v>
      </c>
      <c r="B76" s="7" t="s">
        <v>164</v>
      </c>
      <c r="C76" s="8">
        <v>202</v>
      </c>
      <c r="D76" s="8">
        <v>156</v>
      </c>
      <c r="E76" s="12"/>
      <c r="F76" s="12"/>
      <c r="G76" s="2"/>
      <c r="I76" s="9">
        <v>11996</v>
      </c>
      <c r="J76" s="9">
        <v>27</v>
      </c>
      <c r="K76" s="2"/>
    </row>
    <row r="77" ht="16" customHeight="1" spans="1:12">
      <c r="A77" s="1" t="s">
        <v>188</v>
      </c>
      <c r="B77" s="7" t="s">
        <v>35</v>
      </c>
      <c r="C77" s="9">
        <v>162</v>
      </c>
      <c r="D77" s="8">
        <v>63</v>
      </c>
      <c r="E77" s="12"/>
      <c r="F77" s="12"/>
      <c r="G77" s="2"/>
      <c r="I77" s="9">
        <v>761</v>
      </c>
      <c r="J77" s="9">
        <v>4</v>
      </c>
      <c r="K77" s="2">
        <v>0</v>
      </c>
      <c r="L77" s="2">
        <v>209</v>
      </c>
    </row>
    <row r="78" ht="16" customHeight="1" spans="1:11">
      <c r="A78" s="1" t="s">
        <v>188</v>
      </c>
      <c r="B78" s="7" t="s">
        <v>36</v>
      </c>
      <c r="C78" s="9">
        <f>C76+C77</f>
        <v>364</v>
      </c>
      <c r="D78" s="9">
        <f>D76+D77</f>
        <v>219</v>
      </c>
      <c r="E78" s="13">
        <v>61</v>
      </c>
      <c r="F78" s="13">
        <v>37</v>
      </c>
      <c r="G78" s="2"/>
      <c r="I78" s="9">
        <v>12757</v>
      </c>
      <c r="J78" s="9">
        <v>31</v>
      </c>
      <c r="K78" s="2"/>
    </row>
    <row r="79" spans="1:11">
      <c r="A79" s="1" t="s">
        <v>189</v>
      </c>
      <c r="B79" s="7" t="s">
        <v>164</v>
      </c>
      <c r="C79" s="8">
        <v>163</v>
      </c>
      <c r="D79" s="8">
        <v>114</v>
      </c>
      <c r="E79" s="12"/>
      <c r="F79" s="12"/>
      <c r="G79" s="2"/>
      <c r="I79" s="9">
        <v>12273</v>
      </c>
      <c r="J79" s="9">
        <v>29</v>
      </c>
      <c r="K79" s="2"/>
    </row>
    <row r="80" ht="16" customHeight="1" spans="1:12">
      <c r="A80" s="1" t="s">
        <v>189</v>
      </c>
      <c r="B80" s="7" t="s">
        <v>35</v>
      </c>
      <c r="C80" s="9">
        <v>177</v>
      </c>
      <c r="D80" s="8">
        <v>80</v>
      </c>
      <c r="E80" s="12"/>
      <c r="F80" s="12"/>
      <c r="G80" s="2"/>
      <c r="I80" s="9">
        <v>833</v>
      </c>
      <c r="J80" s="9">
        <v>3</v>
      </c>
      <c r="K80" s="2">
        <v>0</v>
      </c>
      <c r="L80" s="2">
        <v>209</v>
      </c>
    </row>
    <row r="81" ht="16" customHeight="1" spans="1:11">
      <c r="A81" s="1" t="s">
        <v>189</v>
      </c>
      <c r="B81" s="7" t="s">
        <v>36</v>
      </c>
      <c r="C81" s="9">
        <f>C79+C80</f>
        <v>340</v>
      </c>
      <c r="D81" s="9">
        <f>D79+D80</f>
        <v>194</v>
      </c>
      <c r="E81" s="13">
        <v>62</v>
      </c>
      <c r="F81" s="13">
        <v>40</v>
      </c>
      <c r="G81" s="2"/>
      <c r="I81" s="9">
        <v>13106</v>
      </c>
      <c r="J81" s="9">
        <v>32</v>
      </c>
      <c r="K81" s="2"/>
    </row>
    <row r="82" spans="1:11">
      <c r="A82" s="1" t="s">
        <v>190</v>
      </c>
      <c r="B82" s="7" t="s">
        <v>164</v>
      </c>
      <c r="C82">
        <v>265</v>
      </c>
      <c r="D82">
        <v>113</v>
      </c>
      <c r="E82" s="12"/>
      <c r="F82" s="12"/>
      <c r="G82" s="2"/>
      <c r="I82" s="9">
        <v>18969</v>
      </c>
      <c r="J82" s="9">
        <v>34</v>
      </c>
      <c r="K82" s="2"/>
    </row>
    <row r="83" ht="16" customHeight="1" spans="1:12">
      <c r="A83" s="1" t="s">
        <v>190</v>
      </c>
      <c r="B83" s="7" t="s">
        <v>35</v>
      </c>
      <c r="C83" s="9">
        <v>256</v>
      </c>
      <c r="D83">
        <v>78</v>
      </c>
      <c r="E83" s="12"/>
      <c r="F83" s="12"/>
      <c r="G83" s="2"/>
      <c r="I83" s="9">
        <v>919</v>
      </c>
      <c r="J83" s="9">
        <v>4</v>
      </c>
      <c r="K83" s="2">
        <v>0</v>
      </c>
      <c r="L83" s="2">
        <v>211</v>
      </c>
    </row>
    <row r="84" ht="16" customHeight="1" spans="1:11">
      <c r="A84" s="1" t="s">
        <v>190</v>
      </c>
      <c r="B84" s="7" t="s">
        <v>36</v>
      </c>
      <c r="C84" s="9">
        <f>C82+C83</f>
        <v>521</v>
      </c>
      <c r="D84" s="9">
        <f>D82+D83</f>
        <v>191</v>
      </c>
      <c r="E84" s="13">
        <v>80</v>
      </c>
      <c r="F84" s="13">
        <v>49</v>
      </c>
      <c r="G84" s="2"/>
      <c r="I84" s="9">
        <v>19888</v>
      </c>
      <c r="J84" s="9">
        <v>38</v>
      </c>
      <c r="K84" s="2"/>
    </row>
    <row r="85" spans="1:11">
      <c r="A85" s="1" t="s">
        <v>191</v>
      </c>
      <c r="B85" s="7" t="s">
        <v>164</v>
      </c>
      <c r="C85" s="8">
        <v>204</v>
      </c>
      <c r="D85" s="8">
        <v>128</v>
      </c>
      <c r="E85" s="12"/>
      <c r="F85" s="12"/>
      <c r="G85" s="2"/>
      <c r="I85" s="9">
        <v>12789</v>
      </c>
      <c r="J85" s="9">
        <v>22</v>
      </c>
      <c r="K85" s="2"/>
    </row>
    <row r="86" ht="16" customHeight="1" spans="1:12">
      <c r="A86" s="1" t="s">
        <v>191</v>
      </c>
      <c r="B86" s="7" t="s">
        <v>35</v>
      </c>
      <c r="C86" s="9">
        <v>209</v>
      </c>
      <c r="D86" s="8">
        <v>65</v>
      </c>
      <c r="E86" s="12"/>
      <c r="F86" s="12"/>
      <c r="G86" s="2"/>
      <c r="I86" s="9">
        <v>1084</v>
      </c>
      <c r="J86" s="9">
        <v>9</v>
      </c>
      <c r="K86" s="2">
        <v>0</v>
      </c>
      <c r="L86" s="2">
        <v>211</v>
      </c>
    </row>
    <row r="87" ht="16" customHeight="1" spans="1:11">
      <c r="A87" s="1" t="s">
        <v>191</v>
      </c>
      <c r="B87" s="7" t="s">
        <v>36</v>
      </c>
      <c r="C87" s="9">
        <f>C85+C86</f>
        <v>413</v>
      </c>
      <c r="D87" s="9">
        <f>D85+D86</f>
        <v>193</v>
      </c>
      <c r="E87" s="13">
        <v>59</v>
      </c>
      <c r="F87" s="13">
        <v>33</v>
      </c>
      <c r="G87" s="2"/>
      <c r="I87" s="9">
        <v>13873</v>
      </c>
      <c r="J87" s="9">
        <v>31</v>
      </c>
      <c r="K87" s="2"/>
    </row>
    <row r="88" spans="1:11">
      <c r="A88" s="1" t="s">
        <v>192</v>
      </c>
      <c r="B88" s="7" t="s">
        <v>164</v>
      </c>
      <c r="C88" s="8">
        <v>152</v>
      </c>
      <c r="D88" s="8">
        <v>106</v>
      </c>
      <c r="E88" s="12"/>
      <c r="F88" s="12"/>
      <c r="G88" s="2"/>
      <c r="I88" s="9">
        <v>4591</v>
      </c>
      <c r="J88" s="9">
        <v>7</v>
      </c>
      <c r="K88" s="2"/>
    </row>
    <row r="89" ht="16" customHeight="1" spans="1:12">
      <c r="A89" s="1" t="s">
        <v>192</v>
      </c>
      <c r="B89" s="7" t="s">
        <v>35</v>
      </c>
      <c r="C89" s="9">
        <v>189</v>
      </c>
      <c r="D89" s="8">
        <v>74</v>
      </c>
      <c r="E89" s="12"/>
      <c r="F89" s="12"/>
      <c r="G89" s="2"/>
      <c r="I89" s="9">
        <v>1854</v>
      </c>
      <c r="J89" s="9">
        <v>7</v>
      </c>
      <c r="K89" s="2">
        <v>0</v>
      </c>
      <c r="L89" s="2">
        <v>211</v>
      </c>
    </row>
    <row r="90" ht="16" customHeight="1" spans="1:11">
      <c r="A90" s="1" t="s">
        <v>192</v>
      </c>
      <c r="B90" s="7" t="s">
        <v>36</v>
      </c>
      <c r="C90" s="9">
        <f>C88+C89</f>
        <v>341</v>
      </c>
      <c r="D90" s="9">
        <f>D88+D89</f>
        <v>180</v>
      </c>
      <c r="E90" s="13">
        <v>69</v>
      </c>
      <c r="F90" s="13">
        <v>44</v>
      </c>
      <c r="G90" s="2"/>
      <c r="I90" s="9">
        <v>6445</v>
      </c>
      <c r="J90" s="9">
        <v>14</v>
      </c>
      <c r="K90" s="2"/>
    </row>
    <row r="91" spans="1:11">
      <c r="A91" s="1" t="s">
        <v>193</v>
      </c>
      <c r="B91" s="7" t="s">
        <v>164</v>
      </c>
      <c r="C91">
        <v>219</v>
      </c>
      <c r="D91">
        <v>115</v>
      </c>
      <c r="E91" s="12"/>
      <c r="F91" s="12"/>
      <c r="G91" s="2"/>
      <c r="I91" s="9">
        <v>4650</v>
      </c>
      <c r="J91" s="9">
        <v>17</v>
      </c>
      <c r="K91" s="2"/>
    </row>
    <row r="92" ht="16" customHeight="1" spans="1:12">
      <c r="A92" s="1" t="s">
        <v>193</v>
      </c>
      <c r="B92" s="7" t="s">
        <v>35</v>
      </c>
      <c r="C92" s="9">
        <v>208</v>
      </c>
      <c r="D92">
        <v>65</v>
      </c>
      <c r="E92" s="12"/>
      <c r="F92" s="12"/>
      <c r="G92" s="2"/>
      <c r="I92" s="9">
        <v>2417</v>
      </c>
      <c r="J92" s="9">
        <v>12</v>
      </c>
      <c r="K92" s="2">
        <v>0</v>
      </c>
      <c r="L92" s="2">
        <v>209</v>
      </c>
    </row>
    <row r="93" ht="16" customHeight="1" spans="1:11">
      <c r="A93" s="1" t="s">
        <v>193</v>
      </c>
      <c r="B93" s="7" t="s">
        <v>36</v>
      </c>
      <c r="C93" s="9">
        <f>C91+C92</f>
        <v>427</v>
      </c>
      <c r="D93" s="9">
        <f>D91+D92</f>
        <v>180</v>
      </c>
      <c r="E93" s="13">
        <v>80</v>
      </c>
      <c r="F93" s="13">
        <v>52</v>
      </c>
      <c r="G93" s="2"/>
      <c r="I93" s="9">
        <v>7067</v>
      </c>
      <c r="J93" s="9">
        <v>29</v>
      </c>
      <c r="K93" s="2"/>
    </row>
    <row r="94" spans="1:11">
      <c r="A94" s="1" t="s">
        <v>194</v>
      </c>
      <c r="B94" s="7" t="s">
        <v>164</v>
      </c>
      <c r="C94" s="8">
        <v>195</v>
      </c>
      <c r="D94" s="8">
        <v>126</v>
      </c>
      <c r="E94" s="12"/>
      <c r="F94" s="12"/>
      <c r="G94" s="2"/>
      <c r="I94" s="9">
        <v>3864</v>
      </c>
      <c r="J94" s="9">
        <v>8</v>
      </c>
      <c r="K94" s="2"/>
    </row>
    <row r="95" ht="16" customHeight="1" spans="1:12">
      <c r="A95" s="1" t="s">
        <v>194</v>
      </c>
      <c r="B95" s="7" t="s">
        <v>35</v>
      </c>
      <c r="C95" s="9">
        <v>231</v>
      </c>
      <c r="D95" s="8">
        <v>66</v>
      </c>
      <c r="E95" s="12"/>
      <c r="F95" s="12"/>
      <c r="G95" s="2"/>
      <c r="I95" s="9">
        <v>2071</v>
      </c>
      <c r="J95" s="9">
        <v>8</v>
      </c>
      <c r="K95" s="2">
        <v>0</v>
      </c>
      <c r="L95" s="2">
        <v>210</v>
      </c>
    </row>
    <row r="96" ht="16" customHeight="1" spans="1:11">
      <c r="A96" s="1" t="s">
        <v>194</v>
      </c>
      <c r="B96" s="7" t="s">
        <v>36</v>
      </c>
      <c r="C96" s="9">
        <f>C94+C95</f>
        <v>426</v>
      </c>
      <c r="D96" s="9">
        <f>D94+D95</f>
        <v>192</v>
      </c>
      <c r="E96" s="13">
        <v>71</v>
      </c>
      <c r="F96" s="13">
        <v>38</v>
      </c>
      <c r="G96" s="2"/>
      <c r="I96" s="9">
        <v>5935</v>
      </c>
      <c r="J96" s="9">
        <v>16</v>
      </c>
      <c r="K96" s="2"/>
    </row>
    <row r="97" spans="1:11">
      <c r="A97" s="1" t="s">
        <v>195</v>
      </c>
      <c r="B97" s="7" t="s">
        <v>164</v>
      </c>
      <c r="C97" s="8">
        <v>240</v>
      </c>
      <c r="D97" s="8">
        <v>113</v>
      </c>
      <c r="E97" s="12"/>
      <c r="F97" s="12"/>
      <c r="G97" s="2"/>
      <c r="I97" s="9">
        <v>3125</v>
      </c>
      <c r="J97" s="9">
        <v>3</v>
      </c>
      <c r="K97" s="2"/>
    </row>
    <row r="98" ht="16" customHeight="1" spans="1:12">
      <c r="A98" s="1" t="s">
        <v>195</v>
      </c>
      <c r="B98" s="7" t="s">
        <v>35</v>
      </c>
      <c r="C98" s="9">
        <v>191</v>
      </c>
      <c r="D98" s="8">
        <v>57</v>
      </c>
      <c r="E98" s="12"/>
      <c r="F98" s="12"/>
      <c r="G98" s="2"/>
      <c r="I98" s="9">
        <v>1922</v>
      </c>
      <c r="J98" s="9">
        <v>7</v>
      </c>
      <c r="K98" s="2">
        <v>0</v>
      </c>
      <c r="L98" s="2">
        <v>210</v>
      </c>
    </row>
    <row r="99" ht="16" customHeight="1" spans="1:11">
      <c r="A99" s="1" t="s">
        <v>195</v>
      </c>
      <c r="B99" s="7" t="s">
        <v>36</v>
      </c>
      <c r="C99" s="9">
        <f>C97+C98</f>
        <v>431</v>
      </c>
      <c r="D99" s="9">
        <f>D97+D98</f>
        <v>170</v>
      </c>
      <c r="E99" s="13">
        <v>53</v>
      </c>
      <c r="F99" s="13">
        <v>38</v>
      </c>
      <c r="G99" s="2"/>
      <c r="I99" s="9">
        <v>5047</v>
      </c>
      <c r="J99" s="9">
        <v>10</v>
      </c>
      <c r="K99" s="2"/>
    </row>
    <row r="100" spans="1:11">
      <c r="A100" s="1" t="s">
        <v>196</v>
      </c>
      <c r="B100" s="7" t="s">
        <v>164</v>
      </c>
      <c r="C100">
        <v>166</v>
      </c>
      <c r="D100">
        <v>145</v>
      </c>
      <c r="E100" s="12"/>
      <c r="F100" s="12"/>
      <c r="G100" s="2"/>
      <c r="I100" s="9">
        <v>3048</v>
      </c>
      <c r="J100" s="9">
        <v>13</v>
      </c>
      <c r="K100" s="2"/>
    </row>
    <row r="101" ht="16" customHeight="1" spans="1:12">
      <c r="A101" s="1" t="s">
        <v>196</v>
      </c>
      <c r="B101" s="7" t="s">
        <v>35</v>
      </c>
      <c r="C101" s="9">
        <v>175</v>
      </c>
      <c r="D101">
        <v>59</v>
      </c>
      <c r="E101" s="12"/>
      <c r="F101" s="12"/>
      <c r="G101" s="2"/>
      <c r="I101" s="9">
        <v>1811</v>
      </c>
      <c r="J101" s="9">
        <v>10</v>
      </c>
      <c r="K101" s="2">
        <v>0</v>
      </c>
      <c r="L101" s="2">
        <v>211</v>
      </c>
    </row>
    <row r="102" ht="16" customHeight="1" spans="1:11">
      <c r="A102" s="1" t="s">
        <v>196</v>
      </c>
      <c r="B102" s="7" t="s">
        <v>36</v>
      </c>
      <c r="C102" s="9">
        <f>C100+C101</f>
        <v>341</v>
      </c>
      <c r="D102" s="9">
        <f>D100+D101</f>
        <v>204</v>
      </c>
      <c r="E102" s="13">
        <v>63</v>
      </c>
      <c r="F102" s="13">
        <v>34</v>
      </c>
      <c r="G102" s="2"/>
      <c r="I102" s="9">
        <v>4859</v>
      </c>
      <c r="J102" s="9">
        <v>23</v>
      </c>
      <c r="K102" s="2"/>
    </row>
    <row r="103" spans="1:11">
      <c r="A103" s="1" t="s">
        <v>197</v>
      </c>
      <c r="B103" s="7" t="s">
        <v>164</v>
      </c>
      <c r="C103" s="8">
        <v>292</v>
      </c>
      <c r="D103" s="8">
        <v>144</v>
      </c>
      <c r="E103" s="12"/>
      <c r="F103" s="12"/>
      <c r="G103" s="2"/>
      <c r="I103" s="9">
        <v>3410</v>
      </c>
      <c r="J103" s="9">
        <v>7</v>
      </c>
      <c r="K103" s="2"/>
    </row>
    <row r="104" ht="16" customHeight="1" spans="1:12">
      <c r="A104" s="1" t="s">
        <v>197</v>
      </c>
      <c r="B104" s="7" t="s">
        <v>35</v>
      </c>
      <c r="C104" s="9">
        <v>251</v>
      </c>
      <c r="D104" s="8">
        <v>53</v>
      </c>
      <c r="E104" s="12"/>
      <c r="F104" s="12"/>
      <c r="G104" s="2"/>
      <c r="I104" s="9">
        <v>1994</v>
      </c>
      <c r="J104" s="9">
        <v>14</v>
      </c>
      <c r="K104" s="2">
        <v>0</v>
      </c>
      <c r="L104" s="2">
        <v>214</v>
      </c>
    </row>
    <row r="105" ht="16" customHeight="1" spans="1:11">
      <c r="A105" s="1" t="s">
        <v>197</v>
      </c>
      <c r="B105" s="7" t="s">
        <v>36</v>
      </c>
      <c r="C105" s="9">
        <f>C103+C104</f>
        <v>543</v>
      </c>
      <c r="D105" s="9">
        <f>D103+D104</f>
        <v>197</v>
      </c>
      <c r="E105" s="13">
        <v>54</v>
      </c>
      <c r="F105" s="13">
        <v>41</v>
      </c>
      <c r="G105" s="2"/>
      <c r="I105" s="9">
        <v>5404</v>
      </c>
      <c r="J105" s="9">
        <v>21</v>
      </c>
      <c r="K105" s="2"/>
    </row>
    <row r="106" spans="1:11">
      <c r="A106" s="1" t="s">
        <v>198</v>
      </c>
      <c r="B106" s="7" t="s">
        <v>164</v>
      </c>
      <c r="C106" s="8">
        <v>258</v>
      </c>
      <c r="D106" s="8">
        <v>117</v>
      </c>
      <c r="E106" s="12"/>
      <c r="F106" s="12"/>
      <c r="G106" s="2"/>
      <c r="I106" s="9">
        <v>3193</v>
      </c>
      <c r="J106" s="9">
        <v>9</v>
      </c>
      <c r="K106" s="2"/>
    </row>
    <row r="107" ht="16" customHeight="1" spans="1:12">
      <c r="A107" s="1" t="s">
        <v>198</v>
      </c>
      <c r="B107" s="7" t="s">
        <v>35</v>
      </c>
      <c r="C107" s="9">
        <v>215</v>
      </c>
      <c r="D107" s="8">
        <v>57</v>
      </c>
      <c r="E107" s="12"/>
      <c r="F107" s="12"/>
      <c r="G107" s="2"/>
      <c r="I107" s="9">
        <v>2037</v>
      </c>
      <c r="J107" s="9">
        <v>8</v>
      </c>
      <c r="K107" s="2">
        <v>0</v>
      </c>
      <c r="L107" s="2">
        <v>217</v>
      </c>
    </row>
    <row r="108" ht="16" customHeight="1" spans="1:11">
      <c r="A108" s="1" t="s">
        <v>198</v>
      </c>
      <c r="B108" s="7" t="s">
        <v>36</v>
      </c>
      <c r="C108" s="9">
        <f>C106+C107</f>
        <v>473</v>
      </c>
      <c r="D108" s="9">
        <f>D106+D107</f>
        <v>174</v>
      </c>
      <c r="E108" s="13">
        <v>62</v>
      </c>
      <c r="F108" s="13">
        <v>39</v>
      </c>
      <c r="G108" s="2"/>
      <c r="I108" s="9">
        <v>5230</v>
      </c>
      <c r="J108" s="9">
        <v>17</v>
      </c>
      <c r="K108" s="2"/>
    </row>
    <row r="109" spans="1:11">
      <c r="A109" s="1" t="s">
        <v>199</v>
      </c>
      <c r="B109" s="7" t="s">
        <v>164</v>
      </c>
      <c r="C109">
        <v>198</v>
      </c>
      <c r="D109">
        <v>128</v>
      </c>
      <c r="E109" s="12"/>
      <c r="F109" s="12"/>
      <c r="G109" s="2"/>
      <c r="I109" s="9">
        <v>382</v>
      </c>
      <c r="J109" s="9">
        <v>4</v>
      </c>
      <c r="K109" s="2"/>
    </row>
    <row r="110" ht="16" customHeight="1" spans="1:12">
      <c r="A110" s="1" t="s">
        <v>199</v>
      </c>
      <c r="B110" s="7" t="s">
        <v>35</v>
      </c>
      <c r="C110" s="9">
        <v>175</v>
      </c>
      <c r="D110">
        <v>59</v>
      </c>
      <c r="E110" s="12"/>
      <c r="F110" s="12"/>
      <c r="G110" s="2"/>
      <c r="I110" s="9">
        <v>1283</v>
      </c>
      <c r="J110" s="9">
        <v>9</v>
      </c>
      <c r="K110" s="2">
        <v>0</v>
      </c>
      <c r="L110" s="2">
        <v>220</v>
      </c>
    </row>
    <row r="111" ht="16" customHeight="1" spans="1:11">
      <c r="A111" s="1" t="s">
        <v>199</v>
      </c>
      <c r="B111" s="7" t="s">
        <v>36</v>
      </c>
      <c r="C111" s="9">
        <f>C109+C110</f>
        <v>373</v>
      </c>
      <c r="D111" s="9">
        <f>D109+D110</f>
        <v>187</v>
      </c>
      <c r="E111" s="13">
        <v>64</v>
      </c>
      <c r="F111" s="13">
        <v>42</v>
      </c>
      <c r="G111" s="2"/>
      <c r="I111" s="9">
        <v>1665</v>
      </c>
      <c r="J111" s="9">
        <v>13</v>
      </c>
      <c r="K111" s="2"/>
    </row>
    <row r="112" spans="1:11">
      <c r="A112" s="1" t="s">
        <v>200</v>
      </c>
      <c r="B112" s="7" t="s">
        <v>164</v>
      </c>
      <c r="C112" s="8">
        <v>197</v>
      </c>
      <c r="D112" s="8">
        <v>118</v>
      </c>
      <c r="E112" s="12"/>
      <c r="F112" s="12"/>
      <c r="G112" s="2"/>
      <c r="I112" s="9">
        <v>135</v>
      </c>
      <c r="J112" s="9">
        <v>1</v>
      </c>
      <c r="K112" s="2"/>
    </row>
    <row r="113" ht="16" customHeight="1" spans="1:12">
      <c r="A113" s="1" t="s">
        <v>200</v>
      </c>
      <c r="B113" s="7" t="s">
        <v>35</v>
      </c>
      <c r="C113" s="9">
        <v>224</v>
      </c>
      <c r="D113" s="8">
        <v>68</v>
      </c>
      <c r="E113" s="12"/>
      <c r="F113" s="12"/>
      <c r="G113" s="2"/>
      <c r="I113" s="9">
        <v>598</v>
      </c>
      <c r="J113" s="9">
        <v>8</v>
      </c>
      <c r="K113" s="2">
        <v>0</v>
      </c>
      <c r="L113" s="2">
        <v>221</v>
      </c>
    </row>
    <row r="114" ht="16" customHeight="1" spans="1:11">
      <c r="A114" s="1" t="s">
        <v>200</v>
      </c>
      <c r="B114" s="7" t="s">
        <v>36</v>
      </c>
      <c r="C114" s="9">
        <f>C112+C113</f>
        <v>421</v>
      </c>
      <c r="D114" s="9">
        <f>D112+D113</f>
        <v>186</v>
      </c>
      <c r="E114" s="13">
        <v>64</v>
      </c>
      <c r="F114" s="13">
        <v>40</v>
      </c>
      <c r="G114" s="2"/>
      <c r="I114" s="9">
        <v>733</v>
      </c>
      <c r="J114" s="9">
        <v>9</v>
      </c>
      <c r="K114" s="2"/>
    </row>
    <row r="115" spans="1:11">
      <c r="A115" s="1" t="s">
        <v>201</v>
      </c>
      <c r="B115" s="7" t="s">
        <v>164</v>
      </c>
      <c r="C115" s="8">
        <v>240</v>
      </c>
      <c r="D115" s="8">
        <v>127</v>
      </c>
      <c r="E115" s="12"/>
      <c r="F115" s="12"/>
      <c r="G115" s="2"/>
      <c r="I115" s="9">
        <v>141</v>
      </c>
      <c r="J115" s="9">
        <v>3</v>
      </c>
      <c r="K115" s="2"/>
    </row>
    <row r="116" ht="16" customHeight="1" spans="1:12">
      <c r="A116" s="1" t="s">
        <v>201</v>
      </c>
      <c r="B116" s="7" t="s">
        <v>35</v>
      </c>
      <c r="C116" s="9">
        <v>231</v>
      </c>
      <c r="D116" s="8">
        <v>71</v>
      </c>
      <c r="E116" s="12"/>
      <c r="F116" s="12"/>
      <c r="G116" s="2"/>
      <c r="I116" s="9">
        <v>497</v>
      </c>
      <c r="J116" s="9">
        <v>10</v>
      </c>
      <c r="K116" s="2">
        <v>0</v>
      </c>
      <c r="L116" s="2">
        <v>224</v>
      </c>
    </row>
    <row r="117" ht="16" customHeight="1" spans="1:11">
      <c r="A117" s="1" t="s">
        <v>201</v>
      </c>
      <c r="B117" s="7" t="s">
        <v>36</v>
      </c>
      <c r="C117" s="9">
        <f>C115+C116</f>
        <v>471</v>
      </c>
      <c r="D117" s="9">
        <f>D115+D116</f>
        <v>198</v>
      </c>
      <c r="E117" s="13">
        <v>71</v>
      </c>
      <c r="F117" s="13">
        <v>43</v>
      </c>
      <c r="G117" s="2"/>
      <c r="I117" s="9">
        <v>638</v>
      </c>
      <c r="J117" s="9">
        <v>13</v>
      </c>
      <c r="K117" s="2"/>
    </row>
    <row r="118" spans="1:11">
      <c r="A118" s="1" t="s">
        <v>202</v>
      </c>
      <c r="B118" s="7" t="s">
        <v>164</v>
      </c>
      <c r="C118">
        <v>181</v>
      </c>
      <c r="D118">
        <v>78</v>
      </c>
      <c r="E118" s="12"/>
      <c r="F118" s="12"/>
      <c r="G118" s="2"/>
      <c r="I118" s="9">
        <v>114</v>
      </c>
      <c r="J118" s="9">
        <v>1</v>
      </c>
      <c r="K118" s="2"/>
    </row>
    <row r="119" ht="16" customHeight="1" spans="1:12">
      <c r="A119" s="1" t="s">
        <v>202</v>
      </c>
      <c r="B119" s="7" t="s">
        <v>35</v>
      </c>
      <c r="C119" s="9">
        <v>200</v>
      </c>
      <c r="D119">
        <v>53</v>
      </c>
      <c r="E119" s="12"/>
      <c r="F119" s="12"/>
      <c r="G119" s="2"/>
      <c r="I119" s="9">
        <v>448</v>
      </c>
      <c r="J119" s="9">
        <v>5</v>
      </c>
      <c r="K119" s="2">
        <v>0</v>
      </c>
      <c r="L119" s="2">
        <v>232</v>
      </c>
    </row>
    <row r="120" ht="16" customHeight="1" spans="1:11">
      <c r="A120" s="1" t="s">
        <v>202</v>
      </c>
      <c r="B120" s="7" t="s">
        <v>36</v>
      </c>
      <c r="C120" s="9">
        <f>C118+C119</f>
        <v>381</v>
      </c>
      <c r="D120" s="9">
        <f>D118+D119</f>
        <v>131</v>
      </c>
      <c r="E120" s="13">
        <v>46</v>
      </c>
      <c r="F120" s="13">
        <v>26</v>
      </c>
      <c r="G120" s="2"/>
      <c r="I120" s="9">
        <v>562</v>
      </c>
      <c r="J120" s="9">
        <v>6</v>
      </c>
      <c r="K120" s="2"/>
    </row>
    <row r="121" spans="1:11">
      <c r="A121" s="1" t="s">
        <v>203</v>
      </c>
      <c r="B121" s="7" t="s">
        <v>164</v>
      </c>
      <c r="C121" s="8">
        <v>216</v>
      </c>
      <c r="D121" s="8">
        <v>102</v>
      </c>
      <c r="E121" s="12"/>
      <c r="F121" s="12"/>
      <c r="G121" s="2"/>
      <c r="I121" s="9">
        <v>118</v>
      </c>
      <c r="J121" s="9">
        <v>3</v>
      </c>
      <c r="K121" s="2"/>
    </row>
    <row r="122" ht="16" customHeight="1" spans="1:12">
      <c r="A122" s="1" t="s">
        <v>203</v>
      </c>
      <c r="B122" s="7" t="s">
        <v>35</v>
      </c>
      <c r="C122" s="9">
        <v>185</v>
      </c>
      <c r="D122" s="8">
        <v>39</v>
      </c>
      <c r="E122" s="12"/>
      <c r="F122" s="12"/>
      <c r="G122" s="2"/>
      <c r="I122" s="9">
        <v>457</v>
      </c>
      <c r="J122" s="9">
        <v>4</v>
      </c>
      <c r="K122" s="2">
        <v>0</v>
      </c>
      <c r="L122" s="2">
        <v>239</v>
      </c>
    </row>
    <row r="123" ht="16" customHeight="1" spans="1:11">
      <c r="A123" s="1" t="s">
        <v>203</v>
      </c>
      <c r="B123" s="7" t="s">
        <v>36</v>
      </c>
      <c r="C123" s="9">
        <f>C121+C122</f>
        <v>401</v>
      </c>
      <c r="D123" s="9">
        <f>D121+D122</f>
        <v>141</v>
      </c>
      <c r="E123" s="13">
        <v>87</v>
      </c>
      <c r="F123" s="13">
        <v>43</v>
      </c>
      <c r="G123" s="2"/>
      <c r="I123" s="9">
        <v>575</v>
      </c>
      <c r="J123" s="9">
        <v>7</v>
      </c>
      <c r="K123" s="2"/>
    </row>
    <row r="124" spans="1:11">
      <c r="A124" s="1" t="s">
        <v>204</v>
      </c>
      <c r="B124" s="7" t="s">
        <v>164</v>
      </c>
      <c r="C124" s="8">
        <v>208</v>
      </c>
      <c r="D124" s="8">
        <v>106</v>
      </c>
      <c r="E124" s="12"/>
      <c r="F124" s="12"/>
      <c r="G124" s="2"/>
      <c r="I124" s="9">
        <v>153</v>
      </c>
      <c r="J124" s="9">
        <v>3</v>
      </c>
      <c r="K124" s="2"/>
    </row>
    <row r="125" ht="16" customHeight="1" spans="1:12">
      <c r="A125" s="1" t="s">
        <v>204</v>
      </c>
      <c r="B125" s="7" t="s">
        <v>35</v>
      </c>
      <c r="C125" s="9">
        <v>200</v>
      </c>
      <c r="D125" s="8">
        <v>61</v>
      </c>
      <c r="E125" s="12"/>
      <c r="F125" s="12"/>
      <c r="G125" s="2"/>
      <c r="I125" s="9">
        <v>578</v>
      </c>
      <c r="J125" s="9">
        <v>7</v>
      </c>
      <c r="K125" s="2">
        <v>0</v>
      </c>
      <c r="L125" s="2">
        <v>237</v>
      </c>
    </row>
    <row r="126" ht="16" customHeight="1" spans="1:11">
      <c r="A126" s="1" t="s">
        <v>204</v>
      </c>
      <c r="B126" s="7" t="s">
        <v>36</v>
      </c>
      <c r="C126" s="9">
        <f>C124+C125</f>
        <v>408</v>
      </c>
      <c r="D126" s="9">
        <f>D124+D125</f>
        <v>167</v>
      </c>
      <c r="E126" s="13">
        <v>77</v>
      </c>
      <c r="F126" s="13">
        <v>49</v>
      </c>
      <c r="G126" s="2"/>
      <c r="I126" s="9">
        <v>731</v>
      </c>
      <c r="J126" s="9">
        <v>10</v>
      </c>
      <c r="K126" s="2"/>
    </row>
    <row r="127" spans="1:11">
      <c r="A127" s="1" t="s">
        <v>205</v>
      </c>
      <c r="B127" s="7" t="s">
        <v>164</v>
      </c>
      <c r="C127">
        <v>194</v>
      </c>
      <c r="D127">
        <v>93</v>
      </c>
      <c r="E127" s="12"/>
      <c r="F127" s="12"/>
      <c r="G127" s="2"/>
      <c r="I127" s="9">
        <v>255</v>
      </c>
      <c r="J127" s="9">
        <v>2</v>
      </c>
      <c r="K127" s="2"/>
    </row>
    <row r="128" ht="16" customHeight="1" spans="1:12">
      <c r="A128" s="1" t="s">
        <v>205</v>
      </c>
      <c r="B128" s="7" t="s">
        <v>35</v>
      </c>
      <c r="C128" s="9">
        <v>246</v>
      </c>
      <c r="D128">
        <v>64</v>
      </c>
      <c r="E128" s="12"/>
      <c r="F128" s="12"/>
      <c r="G128" s="2"/>
      <c r="I128" s="9">
        <v>686</v>
      </c>
      <c r="J128" s="9">
        <v>7</v>
      </c>
      <c r="K128" s="2">
        <v>0</v>
      </c>
      <c r="L128" s="2">
        <v>238</v>
      </c>
    </row>
    <row r="129" ht="16" customHeight="1" spans="1:11">
      <c r="A129" s="1" t="s">
        <v>205</v>
      </c>
      <c r="B129" s="7" t="s">
        <v>36</v>
      </c>
      <c r="C129" s="9">
        <f>C127+C128</f>
        <v>440</v>
      </c>
      <c r="D129" s="9">
        <f>D127+D128</f>
        <v>157</v>
      </c>
      <c r="E129" s="13">
        <v>76</v>
      </c>
      <c r="F129" s="13">
        <v>41</v>
      </c>
      <c r="G129" s="2"/>
      <c r="I129" s="9">
        <v>941</v>
      </c>
      <c r="J129" s="9">
        <v>9</v>
      </c>
      <c r="K129" s="2"/>
    </row>
    <row r="130" spans="1:11">
      <c r="A130" s="1" t="s">
        <v>206</v>
      </c>
      <c r="B130" s="7" t="s">
        <v>164</v>
      </c>
      <c r="C130" s="8">
        <v>235</v>
      </c>
      <c r="D130" s="8">
        <v>98</v>
      </c>
      <c r="E130" s="12"/>
      <c r="F130" s="12"/>
      <c r="G130" s="2"/>
      <c r="I130" s="9">
        <v>248</v>
      </c>
      <c r="J130" s="9">
        <v>1</v>
      </c>
      <c r="K130" s="2"/>
    </row>
    <row r="131" ht="16" customHeight="1" spans="1:12">
      <c r="A131" s="1" t="s">
        <v>206</v>
      </c>
      <c r="B131" s="7" t="s">
        <v>35</v>
      </c>
      <c r="C131" s="9">
        <v>238</v>
      </c>
      <c r="D131" s="8">
        <v>45</v>
      </c>
      <c r="E131" s="12"/>
      <c r="F131" s="12"/>
      <c r="G131" s="2"/>
      <c r="I131" s="9">
        <v>787</v>
      </c>
      <c r="J131" s="9">
        <v>4</v>
      </c>
      <c r="K131" s="2">
        <v>0</v>
      </c>
      <c r="L131" s="2">
        <v>240</v>
      </c>
    </row>
    <row r="132" ht="16" customHeight="1" spans="1:11">
      <c r="A132" s="1" t="s">
        <v>206</v>
      </c>
      <c r="B132" s="7" t="s">
        <v>36</v>
      </c>
      <c r="C132" s="9">
        <f>C130+C131</f>
        <v>473</v>
      </c>
      <c r="D132" s="9">
        <f>D130+D131</f>
        <v>143</v>
      </c>
      <c r="E132" s="13">
        <v>65</v>
      </c>
      <c r="F132" s="13">
        <v>41</v>
      </c>
      <c r="G132" s="2"/>
      <c r="I132" s="9">
        <v>1035</v>
      </c>
      <c r="J132" s="9">
        <v>5</v>
      </c>
      <c r="K132" s="2"/>
    </row>
    <row r="133" spans="1:11">
      <c r="A133" s="1" t="s">
        <v>207</v>
      </c>
      <c r="B133" s="7" t="s">
        <v>164</v>
      </c>
      <c r="C133" s="8">
        <v>206</v>
      </c>
      <c r="D133" s="8">
        <v>65</v>
      </c>
      <c r="E133" s="12"/>
      <c r="F133" s="12"/>
      <c r="G133" s="2"/>
      <c r="I133" s="9">
        <v>322</v>
      </c>
      <c r="J133" s="9">
        <v>0</v>
      </c>
      <c r="K133" s="2"/>
    </row>
    <row r="134" ht="16" customHeight="1" spans="1:12">
      <c r="A134" s="1" t="s">
        <v>207</v>
      </c>
      <c r="B134" s="7" t="s">
        <v>35</v>
      </c>
      <c r="C134" s="9">
        <v>186</v>
      </c>
      <c r="D134" s="8">
        <v>52</v>
      </c>
      <c r="E134" s="12"/>
      <c r="F134" s="12"/>
      <c r="G134" s="2"/>
      <c r="I134" s="9">
        <v>803</v>
      </c>
      <c r="J134" s="9">
        <v>8</v>
      </c>
      <c r="K134" s="2">
        <v>0</v>
      </c>
      <c r="L134" s="2">
        <v>239</v>
      </c>
    </row>
    <row r="135" ht="16" customHeight="1" spans="1:11">
      <c r="A135" s="1" t="s">
        <v>207</v>
      </c>
      <c r="B135" s="7" t="s">
        <v>36</v>
      </c>
      <c r="C135" s="9">
        <f>C133+C134</f>
        <v>392</v>
      </c>
      <c r="D135" s="9">
        <f>D133+D134</f>
        <v>117</v>
      </c>
      <c r="E135" s="13">
        <v>65</v>
      </c>
      <c r="F135" s="13">
        <v>42</v>
      </c>
      <c r="G135" s="2"/>
      <c r="I135" s="9">
        <v>1125</v>
      </c>
      <c r="J135" s="9">
        <v>8</v>
      </c>
      <c r="K135" s="2"/>
    </row>
    <row r="136" spans="1:11">
      <c r="A136" s="1" t="s">
        <v>208</v>
      </c>
      <c r="B136" s="7" t="s">
        <v>164</v>
      </c>
      <c r="C136">
        <v>223</v>
      </c>
      <c r="D136">
        <v>87</v>
      </c>
      <c r="E136" s="12"/>
      <c r="F136" s="12"/>
      <c r="G136" s="2"/>
      <c r="I136" s="9">
        <v>687</v>
      </c>
      <c r="J136" s="9">
        <v>1</v>
      </c>
      <c r="K136" s="2"/>
    </row>
    <row r="137" ht="16" customHeight="1" spans="1:12">
      <c r="A137" s="1" t="s">
        <v>208</v>
      </c>
      <c r="B137" s="7" t="s">
        <v>35</v>
      </c>
      <c r="C137" s="9">
        <v>197</v>
      </c>
      <c r="D137">
        <v>59</v>
      </c>
      <c r="E137" s="12"/>
      <c r="F137" s="12"/>
      <c r="G137" s="2"/>
      <c r="I137" s="9">
        <v>1229</v>
      </c>
      <c r="J137" s="9">
        <v>13</v>
      </c>
      <c r="K137" s="2">
        <v>0</v>
      </c>
      <c r="L137" s="2">
        <v>229</v>
      </c>
    </row>
    <row r="138" ht="16" customHeight="1" spans="1:11">
      <c r="A138" s="1" t="s">
        <v>208</v>
      </c>
      <c r="B138" s="7" t="s">
        <v>36</v>
      </c>
      <c r="C138" s="9">
        <f>C136+C137</f>
        <v>420</v>
      </c>
      <c r="D138" s="9">
        <f>D136+D137</f>
        <v>146</v>
      </c>
      <c r="E138" s="13">
        <v>67</v>
      </c>
      <c r="F138" s="13">
        <v>39</v>
      </c>
      <c r="G138" s="2"/>
      <c r="I138" s="9">
        <v>1916</v>
      </c>
      <c r="J138" s="9">
        <v>14</v>
      </c>
      <c r="K138" s="2"/>
    </row>
    <row r="139" spans="1:11">
      <c r="A139" s="1" t="s">
        <v>209</v>
      </c>
      <c r="B139" s="7" t="s">
        <v>164</v>
      </c>
      <c r="C139" s="8">
        <v>221</v>
      </c>
      <c r="D139" s="8">
        <v>99</v>
      </c>
      <c r="E139" s="12"/>
      <c r="F139" s="12"/>
      <c r="G139" s="2"/>
      <c r="I139" s="9">
        <v>647</v>
      </c>
      <c r="J139" s="9">
        <v>4</v>
      </c>
      <c r="K139" s="2"/>
    </row>
    <row r="140" ht="16" customHeight="1" spans="1:12">
      <c r="A140" s="1" t="s">
        <v>209</v>
      </c>
      <c r="B140" s="7" t="s">
        <v>35</v>
      </c>
      <c r="C140" s="9">
        <v>191</v>
      </c>
      <c r="D140" s="8">
        <v>41</v>
      </c>
      <c r="E140" s="12"/>
      <c r="F140" s="12"/>
      <c r="G140" s="2"/>
      <c r="I140" s="9">
        <v>967</v>
      </c>
      <c r="J140" s="9">
        <v>7</v>
      </c>
      <c r="K140" s="2">
        <v>0</v>
      </c>
      <c r="L140" s="2">
        <v>232</v>
      </c>
    </row>
    <row r="141" ht="16" customHeight="1" spans="1:11">
      <c r="A141" s="1" t="s">
        <v>209</v>
      </c>
      <c r="B141" s="7" t="s">
        <v>36</v>
      </c>
      <c r="C141" s="9">
        <f>C139+C140</f>
        <v>412</v>
      </c>
      <c r="D141" s="9">
        <f>D139+D140</f>
        <v>140</v>
      </c>
      <c r="E141" s="13">
        <v>59</v>
      </c>
      <c r="F141" s="13">
        <v>37</v>
      </c>
      <c r="G141" s="2"/>
      <c r="I141" s="9">
        <v>1614</v>
      </c>
      <c r="J141" s="9">
        <v>11</v>
      </c>
      <c r="K141" s="2"/>
    </row>
    <row r="142" spans="1:11">
      <c r="A142" s="1" t="s">
        <v>210</v>
      </c>
      <c r="B142" s="7" t="s">
        <v>164</v>
      </c>
      <c r="C142" s="8">
        <v>172</v>
      </c>
      <c r="D142" s="8">
        <v>74</v>
      </c>
      <c r="E142" s="12"/>
      <c r="F142" s="12"/>
      <c r="G142" s="2"/>
      <c r="I142" s="9">
        <v>559</v>
      </c>
      <c r="J142" s="9">
        <v>2</v>
      </c>
      <c r="K142" s="2"/>
    </row>
    <row r="143" ht="16" customHeight="1" spans="1:12">
      <c r="A143" s="1" t="s">
        <v>210</v>
      </c>
      <c r="B143" s="7" t="s">
        <v>35</v>
      </c>
      <c r="C143" s="9">
        <v>199</v>
      </c>
      <c r="D143" s="8">
        <v>50</v>
      </c>
      <c r="E143" s="12"/>
      <c r="F143" s="12"/>
      <c r="G143" s="2"/>
      <c r="I143" s="9">
        <v>598</v>
      </c>
      <c r="J143" s="9">
        <v>9</v>
      </c>
      <c r="K143" s="2">
        <v>0</v>
      </c>
      <c r="L143" s="2">
        <v>229</v>
      </c>
    </row>
    <row r="144" ht="16" customHeight="1" spans="1:11">
      <c r="A144" s="1" t="s">
        <v>210</v>
      </c>
      <c r="B144" s="7" t="s">
        <v>36</v>
      </c>
      <c r="C144" s="9">
        <f>C142+C143</f>
        <v>371</v>
      </c>
      <c r="D144" s="9">
        <f>D142+D143</f>
        <v>124</v>
      </c>
      <c r="E144" s="13">
        <v>69</v>
      </c>
      <c r="F144" s="13">
        <v>41</v>
      </c>
      <c r="G144" s="2"/>
      <c r="I144" s="9">
        <v>1157</v>
      </c>
      <c r="J144" s="9">
        <v>11</v>
      </c>
      <c r="K144" s="2"/>
    </row>
    <row r="145" spans="1:11">
      <c r="A145" s="1" t="s">
        <v>211</v>
      </c>
      <c r="B145" s="7" t="s">
        <v>164</v>
      </c>
      <c r="C145">
        <v>176</v>
      </c>
      <c r="D145">
        <v>69</v>
      </c>
      <c r="E145" s="12"/>
      <c r="F145" s="12"/>
      <c r="G145" s="2"/>
      <c r="I145" s="9">
        <v>509</v>
      </c>
      <c r="J145" s="9">
        <v>6</v>
      </c>
      <c r="K145" s="2"/>
    </row>
    <row r="146" ht="16" customHeight="1" spans="1:12">
      <c r="A146" s="1" t="s">
        <v>211</v>
      </c>
      <c r="B146" s="7" t="s">
        <v>35</v>
      </c>
      <c r="C146" s="9">
        <v>215</v>
      </c>
      <c r="D146">
        <v>52</v>
      </c>
      <c r="E146" s="12"/>
      <c r="F146" s="12"/>
      <c r="G146" s="2"/>
      <c r="I146" s="9">
        <v>1007</v>
      </c>
      <c r="J146" s="9">
        <v>8</v>
      </c>
      <c r="K146" s="2">
        <v>0</v>
      </c>
      <c r="L146" s="2">
        <v>232</v>
      </c>
    </row>
    <row r="147" ht="16" customHeight="1" spans="1:11">
      <c r="A147" s="1" t="s">
        <v>211</v>
      </c>
      <c r="B147" s="7" t="s">
        <v>36</v>
      </c>
      <c r="C147" s="9">
        <f>C145+C146</f>
        <v>391</v>
      </c>
      <c r="D147" s="9">
        <f>D145+D146</f>
        <v>121</v>
      </c>
      <c r="E147" s="13">
        <v>73</v>
      </c>
      <c r="F147" s="13">
        <v>47</v>
      </c>
      <c r="G147" s="2"/>
      <c r="I147" s="9">
        <v>1516</v>
      </c>
      <c r="J147" s="9">
        <v>14</v>
      </c>
      <c r="K147" s="2"/>
    </row>
    <row r="148" spans="1:11">
      <c r="A148" s="1" t="s">
        <v>212</v>
      </c>
      <c r="B148" s="7" t="s">
        <v>164</v>
      </c>
      <c r="C148" s="8">
        <v>204</v>
      </c>
      <c r="D148" s="8">
        <v>76</v>
      </c>
      <c r="E148" s="12"/>
      <c r="F148" s="12"/>
      <c r="G148" s="2"/>
      <c r="I148" s="9">
        <v>430</v>
      </c>
      <c r="J148" s="9">
        <v>3</v>
      </c>
      <c r="K148" s="2"/>
    </row>
    <row r="149" ht="16" customHeight="1" spans="1:12">
      <c r="A149" s="1" t="s">
        <v>212</v>
      </c>
      <c r="B149" s="7" t="s">
        <v>35</v>
      </c>
      <c r="C149" s="9">
        <v>238</v>
      </c>
      <c r="D149" s="8">
        <v>64</v>
      </c>
      <c r="E149" s="12"/>
      <c r="F149" s="12"/>
      <c r="G149" s="2"/>
      <c r="I149" s="9">
        <v>854</v>
      </c>
      <c r="J149" s="9">
        <v>7</v>
      </c>
      <c r="K149" s="2">
        <v>0</v>
      </c>
      <c r="L149" s="2">
        <v>224</v>
      </c>
    </row>
    <row r="150" ht="16" customHeight="1" spans="1:11">
      <c r="A150" s="1" t="s">
        <v>212</v>
      </c>
      <c r="B150" s="7" t="s">
        <v>36</v>
      </c>
      <c r="C150" s="9">
        <f>C148+C149</f>
        <v>442</v>
      </c>
      <c r="D150" s="9">
        <f>D148+D149</f>
        <v>140</v>
      </c>
      <c r="E150" s="13">
        <v>75</v>
      </c>
      <c r="F150" s="13">
        <v>41</v>
      </c>
      <c r="G150" s="2"/>
      <c r="I150" s="9">
        <v>1284</v>
      </c>
      <c r="J150" s="9">
        <v>10</v>
      </c>
      <c r="K150" s="2"/>
    </row>
    <row r="151" spans="1:11">
      <c r="A151" s="1" t="s">
        <v>213</v>
      </c>
      <c r="B151" s="7" t="s">
        <v>164</v>
      </c>
      <c r="C151" s="8">
        <v>168</v>
      </c>
      <c r="D151" s="8">
        <v>68</v>
      </c>
      <c r="E151" s="12"/>
      <c r="F151" s="12"/>
      <c r="G151" s="2"/>
      <c r="I151" s="9">
        <v>908</v>
      </c>
      <c r="J151" s="9">
        <v>1</v>
      </c>
      <c r="K151" s="2"/>
    </row>
    <row r="152" ht="16" customHeight="1" spans="1:12">
      <c r="A152" s="1" t="s">
        <v>213</v>
      </c>
      <c r="B152" s="7" t="s">
        <v>35</v>
      </c>
      <c r="C152" s="9">
        <v>185</v>
      </c>
      <c r="D152" s="8">
        <v>55</v>
      </c>
      <c r="E152" s="12"/>
      <c r="F152" s="12"/>
      <c r="G152" s="2"/>
      <c r="I152" s="9">
        <v>1201</v>
      </c>
      <c r="J152" s="9">
        <v>10</v>
      </c>
      <c r="K152" s="2">
        <v>0</v>
      </c>
      <c r="L152" s="2">
        <v>227</v>
      </c>
    </row>
    <row r="153" ht="16" customHeight="1" spans="1:11">
      <c r="A153" s="1" t="s">
        <v>213</v>
      </c>
      <c r="B153" s="7" t="s">
        <v>36</v>
      </c>
      <c r="C153" s="9">
        <f>C151+C152</f>
        <v>353</v>
      </c>
      <c r="D153" s="9">
        <f>D151+D152</f>
        <v>123</v>
      </c>
      <c r="E153" s="13">
        <v>54</v>
      </c>
      <c r="F153" s="13">
        <v>30</v>
      </c>
      <c r="G153" s="2"/>
      <c r="I153" s="9">
        <v>2109</v>
      </c>
      <c r="J153" s="9">
        <v>11</v>
      </c>
      <c r="K153" s="2"/>
    </row>
    <row r="154" spans="1:11">
      <c r="A154" s="1" t="s">
        <v>214</v>
      </c>
      <c r="B154" s="7" t="s">
        <v>164</v>
      </c>
      <c r="C154">
        <v>206</v>
      </c>
      <c r="D154">
        <v>67</v>
      </c>
      <c r="E154" s="12"/>
      <c r="F154" s="12"/>
      <c r="G154" s="2"/>
      <c r="I154" s="9">
        <v>530</v>
      </c>
      <c r="J154" s="9">
        <v>2</v>
      </c>
      <c r="K154" s="2"/>
    </row>
    <row r="155" ht="16" customHeight="1" spans="1:12">
      <c r="A155" s="1" t="s">
        <v>214</v>
      </c>
      <c r="B155" s="7" t="s">
        <v>35</v>
      </c>
      <c r="C155" s="9">
        <v>185</v>
      </c>
      <c r="D155">
        <v>46</v>
      </c>
      <c r="E155" s="12"/>
      <c r="F155" s="12"/>
      <c r="G155" s="2"/>
      <c r="I155" s="9">
        <v>853</v>
      </c>
      <c r="J155" s="9">
        <v>8</v>
      </c>
      <c r="K155" s="2">
        <v>0</v>
      </c>
      <c r="L155" s="2">
        <v>227</v>
      </c>
    </row>
    <row r="156" ht="16" customHeight="1" spans="1:11">
      <c r="A156" s="1" t="s">
        <v>214</v>
      </c>
      <c r="B156" s="7" t="s">
        <v>36</v>
      </c>
      <c r="C156" s="9">
        <f>C154+C155</f>
        <v>391</v>
      </c>
      <c r="D156" s="9">
        <f>D154+D155</f>
        <v>113</v>
      </c>
      <c r="E156" s="13">
        <v>68</v>
      </c>
      <c r="F156" s="13">
        <v>40</v>
      </c>
      <c r="G156" s="2"/>
      <c r="I156" s="9">
        <v>1383</v>
      </c>
      <c r="J156" s="9">
        <v>10</v>
      </c>
      <c r="K156" s="2"/>
    </row>
    <row r="157" spans="1:11">
      <c r="A157" s="1" t="s">
        <v>215</v>
      </c>
      <c r="B157" s="7" t="s">
        <v>164</v>
      </c>
      <c r="C157" s="8">
        <v>197</v>
      </c>
      <c r="D157" s="8">
        <v>79</v>
      </c>
      <c r="E157" s="12"/>
      <c r="F157" s="12"/>
      <c r="G157" s="2"/>
      <c r="I157" s="9">
        <v>345</v>
      </c>
      <c r="J157" s="9">
        <v>5</v>
      </c>
      <c r="K157" s="2"/>
    </row>
    <row r="158" ht="16" customHeight="1" spans="1:12">
      <c r="A158" s="1" t="s">
        <v>215</v>
      </c>
      <c r="B158" s="7" t="s">
        <v>35</v>
      </c>
      <c r="C158" s="9">
        <v>227</v>
      </c>
      <c r="D158" s="8">
        <v>51</v>
      </c>
      <c r="E158" s="12"/>
      <c r="F158" s="12"/>
      <c r="G158" s="2"/>
      <c r="I158" s="9">
        <v>1250</v>
      </c>
      <c r="J158" s="9">
        <v>7</v>
      </c>
      <c r="K158" s="2">
        <v>0</v>
      </c>
      <c r="L158" s="2">
        <v>226</v>
      </c>
    </row>
    <row r="159" ht="16" customHeight="1" spans="1:11">
      <c r="A159" s="1" t="s">
        <v>215</v>
      </c>
      <c r="B159" s="7" t="s">
        <v>36</v>
      </c>
      <c r="C159" s="9">
        <f>C157+C158</f>
        <v>424</v>
      </c>
      <c r="D159" s="9">
        <f>D157+D158</f>
        <v>130</v>
      </c>
      <c r="E159" s="13">
        <v>60</v>
      </c>
      <c r="F159" s="13">
        <v>38</v>
      </c>
      <c r="G159" s="2"/>
      <c r="I159" s="9">
        <v>1595</v>
      </c>
      <c r="J159" s="9">
        <v>12</v>
      </c>
      <c r="K159" s="2"/>
    </row>
    <row r="160" spans="1:11">
      <c r="A160" s="1" t="s">
        <v>216</v>
      </c>
      <c r="B160" s="7" t="s">
        <v>164</v>
      </c>
      <c r="C160" s="8">
        <v>186</v>
      </c>
      <c r="D160" s="8">
        <v>62</v>
      </c>
      <c r="E160" s="12"/>
      <c r="F160" s="12"/>
      <c r="G160" s="2"/>
      <c r="I160" s="9">
        <v>495</v>
      </c>
      <c r="J160" s="9">
        <v>2</v>
      </c>
      <c r="K160" s="2"/>
    </row>
    <row r="161" ht="16" customHeight="1" spans="1:12">
      <c r="A161" s="1" t="s">
        <v>216</v>
      </c>
      <c r="B161" s="7" t="s">
        <v>35</v>
      </c>
      <c r="C161" s="9">
        <v>162</v>
      </c>
      <c r="D161" s="8">
        <v>32</v>
      </c>
      <c r="E161" s="12"/>
      <c r="F161" s="12"/>
      <c r="G161" s="2"/>
      <c r="I161" s="9">
        <v>629</v>
      </c>
      <c r="J161" s="9">
        <v>3</v>
      </c>
      <c r="K161" s="2">
        <v>0</v>
      </c>
      <c r="L161" s="2">
        <v>227</v>
      </c>
    </row>
    <row r="162" ht="16" customHeight="1" spans="1:11">
      <c r="A162" s="1" t="s">
        <v>216</v>
      </c>
      <c r="B162" s="7" t="s">
        <v>36</v>
      </c>
      <c r="C162" s="9">
        <f>C160+C161</f>
        <v>348</v>
      </c>
      <c r="D162" s="9">
        <f>D160+D161</f>
        <v>94</v>
      </c>
      <c r="E162" s="13">
        <v>57</v>
      </c>
      <c r="F162" s="13">
        <v>25</v>
      </c>
      <c r="G162" s="2"/>
      <c r="I162" s="9">
        <v>1124</v>
      </c>
      <c r="J162" s="9">
        <v>5</v>
      </c>
      <c r="K162" s="2"/>
    </row>
    <row r="163" spans="1:11">
      <c r="A163" s="1" t="s">
        <v>217</v>
      </c>
      <c r="B163" s="7" t="s">
        <v>164</v>
      </c>
      <c r="C163">
        <v>170</v>
      </c>
      <c r="D163">
        <v>74</v>
      </c>
      <c r="E163" s="12"/>
      <c r="F163" s="12"/>
      <c r="G163" s="2"/>
      <c r="I163" s="9">
        <v>370</v>
      </c>
      <c r="J163" s="9">
        <v>3</v>
      </c>
      <c r="K163" s="2"/>
    </row>
    <row r="164" ht="16" customHeight="1" spans="1:12">
      <c r="A164" s="1" t="s">
        <v>217</v>
      </c>
      <c r="B164" s="7" t="s">
        <v>35</v>
      </c>
      <c r="C164" s="9">
        <v>169</v>
      </c>
      <c r="D164">
        <v>38</v>
      </c>
      <c r="E164" s="12"/>
      <c r="F164" s="12"/>
      <c r="G164" s="2"/>
      <c r="I164" s="9">
        <v>851</v>
      </c>
      <c r="J164" s="9">
        <v>5</v>
      </c>
      <c r="K164" s="2">
        <v>0</v>
      </c>
      <c r="L164" s="2">
        <v>229</v>
      </c>
    </row>
    <row r="165" ht="16" customHeight="1" spans="1:11">
      <c r="A165" s="1" t="s">
        <v>217</v>
      </c>
      <c r="B165" s="7" t="s">
        <v>36</v>
      </c>
      <c r="C165" s="9">
        <f>C163+C164</f>
        <v>339</v>
      </c>
      <c r="D165" s="9">
        <f>D163+D164</f>
        <v>112</v>
      </c>
      <c r="E165" s="13">
        <v>53</v>
      </c>
      <c r="F165" s="13">
        <v>31</v>
      </c>
      <c r="G165" s="2"/>
      <c r="I165" s="9">
        <v>1221</v>
      </c>
      <c r="J165" s="9">
        <v>8</v>
      </c>
      <c r="K165" s="2"/>
    </row>
    <row r="166" spans="1:11">
      <c r="A166" s="1" t="s">
        <v>218</v>
      </c>
      <c r="B166" s="7" t="s">
        <v>164</v>
      </c>
      <c r="C166" s="8">
        <v>220</v>
      </c>
      <c r="D166" s="8">
        <v>86</v>
      </c>
      <c r="E166" s="12"/>
      <c r="F166" s="12"/>
      <c r="G166" s="2"/>
      <c r="I166" s="9">
        <v>785</v>
      </c>
      <c r="J166" s="9">
        <v>3</v>
      </c>
      <c r="K166" s="2"/>
    </row>
    <row r="167" ht="16" customHeight="1" spans="1:12">
      <c r="A167" s="1" t="s">
        <v>218</v>
      </c>
      <c r="B167" s="7" t="s">
        <v>35</v>
      </c>
      <c r="C167" s="9">
        <v>218</v>
      </c>
      <c r="D167" s="8">
        <v>44</v>
      </c>
      <c r="E167" s="12"/>
      <c r="F167" s="12"/>
      <c r="G167" s="2"/>
      <c r="I167" s="9">
        <v>1027</v>
      </c>
      <c r="J167" s="9">
        <v>4</v>
      </c>
      <c r="K167" s="2">
        <v>0</v>
      </c>
      <c r="L167" s="2">
        <v>228</v>
      </c>
    </row>
    <row r="168" ht="16" customHeight="1" spans="1:11">
      <c r="A168" s="1" t="s">
        <v>218</v>
      </c>
      <c r="B168" s="7" t="s">
        <v>36</v>
      </c>
      <c r="C168" s="9">
        <f>C166+C167</f>
        <v>438</v>
      </c>
      <c r="D168" s="9">
        <f>D166+D167</f>
        <v>130</v>
      </c>
      <c r="E168" s="13">
        <v>40</v>
      </c>
      <c r="F168" s="13">
        <v>26</v>
      </c>
      <c r="G168" s="2"/>
      <c r="I168" s="9">
        <v>1812</v>
      </c>
      <c r="J168" s="9">
        <v>7</v>
      </c>
      <c r="K168" s="2"/>
    </row>
    <row r="169" spans="1:11">
      <c r="A169" s="1" t="s">
        <v>219</v>
      </c>
      <c r="B169" s="7" t="s">
        <v>164</v>
      </c>
      <c r="C169" s="8">
        <v>191</v>
      </c>
      <c r="D169" s="8">
        <v>72</v>
      </c>
      <c r="E169" s="12"/>
      <c r="F169" s="12"/>
      <c r="G169" s="2"/>
      <c r="I169" s="9">
        <v>457</v>
      </c>
      <c r="J169" s="9">
        <v>1</v>
      </c>
      <c r="K169" s="2"/>
    </row>
    <row r="170" ht="16" customHeight="1" spans="1:12">
      <c r="A170" s="1" t="s">
        <v>219</v>
      </c>
      <c r="B170" s="7" t="s">
        <v>35</v>
      </c>
      <c r="C170" s="9">
        <v>216</v>
      </c>
      <c r="D170" s="8">
        <v>65</v>
      </c>
      <c r="E170" s="12"/>
      <c r="F170" s="12"/>
      <c r="G170" s="2"/>
      <c r="I170" s="9">
        <v>702</v>
      </c>
      <c r="J170" s="9">
        <v>10</v>
      </c>
      <c r="K170" s="2">
        <v>0</v>
      </c>
      <c r="L170" s="2">
        <v>227</v>
      </c>
    </row>
    <row r="171" ht="16" customHeight="1" spans="1:11">
      <c r="A171" s="1" t="s">
        <v>219</v>
      </c>
      <c r="B171" s="7" t="s">
        <v>36</v>
      </c>
      <c r="C171" s="9">
        <f>C169+C170</f>
        <v>407</v>
      </c>
      <c r="D171" s="9">
        <f>D169+D170</f>
        <v>137</v>
      </c>
      <c r="E171" s="13">
        <v>51</v>
      </c>
      <c r="F171" s="13">
        <v>26</v>
      </c>
      <c r="G171" s="2"/>
      <c r="I171" s="9">
        <v>1159</v>
      </c>
      <c r="J171" s="9">
        <v>11</v>
      </c>
      <c r="K171" s="2"/>
    </row>
    <row r="172" spans="1:11">
      <c r="A172" s="1" t="s">
        <v>220</v>
      </c>
      <c r="B172" s="7" t="s">
        <v>164</v>
      </c>
      <c r="C172">
        <v>161</v>
      </c>
      <c r="D172">
        <v>78</v>
      </c>
      <c r="E172" s="12"/>
      <c r="F172" s="12"/>
      <c r="G172" s="2"/>
      <c r="I172" s="9">
        <v>494</v>
      </c>
      <c r="J172" s="9">
        <v>0</v>
      </c>
      <c r="K172" s="2"/>
    </row>
    <row r="173" ht="16" customHeight="1" spans="1:12">
      <c r="A173" s="1" t="s">
        <v>220</v>
      </c>
      <c r="B173" s="7" t="s">
        <v>35</v>
      </c>
      <c r="C173" s="9">
        <v>166</v>
      </c>
      <c r="D173">
        <v>41</v>
      </c>
      <c r="E173" s="12"/>
      <c r="F173" s="12"/>
      <c r="G173" s="2"/>
      <c r="I173" s="9">
        <v>730</v>
      </c>
      <c r="J173" s="9">
        <v>12</v>
      </c>
      <c r="K173" s="2">
        <v>0</v>
      </c>
      <c r="L173" s="2">
        <v>230</v>
      </c>
    </row>
    <row r="174" ht="16" customHeight="1" spans="1:11">
      <c r="A174" s="1" t="s">
        <v>220</v>
      </c>
      <c r="B174" s="7" t="s">
        <v>36</v>
      </c>
      <c r="C174" s="9">
        <f>C172+C173</f>
        <v>327</v>
      </c>
      <c r="D174" s="9">
        <f>D172+D173</f>
        <v>119</v>
      </c>
      <c r="E174" s="13">
        <v>72</v>
      </c>
      <c r="F174" s="13">
        <v>38</v>
      </c>
      <c r="G174" s="2"/>
      <c r="I174" s="9">
        <v>1224</v>
      </c>
      <c r="J174" s="9">
        <v>12</v>
      </c>
      <c r="K174" s="2"/>
    </row>
    <row r="175" spans="1:11">
      <c r="A175" s="1" t="s">
        <v>221</v>
      </c>
      <c r="B175" s="7" t="s">
        <v>164</v>
      </c>
      <c r="C175" s="8">
        <v>161</v>
      </c>
      <c r="D175" s="8">
        <v>66</v>
      </c>
      <c r="E175" s="12"/>
      <c r="F175" s="12"/>
      <c r="G175" s="2"/>
      <c r="I175" s="9">
        <v>714</v>
      </c>
      <c r="J175" s="9">
        <v>5</v>
      </c>
      <c r="K175" s="2"/>
    </row>
    <row r="176" ht="16" customHeight="1" spans="1:12">
      <c r="A176" s="1" t="s">
        <v>221</v>
      </c>
      <c r="B176" s="7" t="s">
        <v>35</v>
      </c>
      <c r="C176" s="9">
        <v>208</v>
      </c>
      <c r="D176" s="8">
        <v>54</v>
      </c>
      <c r="E176" s="12"/>
      <c r="F176" s="12"/>
      <c r="G176" s="2"/>
      <c r="I176" s="9">
        <v>1258</v>
      </c>
      <c r="J176" s="9">
        <v>11</v>
      </c>
      <c r="K176" s="2">
        <v>0</v>
      </c>
      <c r="L176" s="2">
        <v>230</v>
      </c>
    </row>
    <row r="177" ht="16" customHeight="1" spans="1:11">
      <c r="A177" s="1" t="s">
        <v>221</v>
      </c>
      <c r="B177" s="7" t="s">
        <v>36</v>
      </c>
      <c r="C177" s="9">
        <f>C175+C176</f>
        <v>369</v>
      </c>
      <c r="D177" s="9">
        <f>D175+D176</f>
        <v>120</v>
      </c>
      <c r="E177" s="13">
        <v>58</v>
      </c>
      <c r="F177" s="13">
        <v>36</v>
      </c>
      <c r="G177" s="2"/>
      <c r="I177" s="9">
        <v>1972</v>
      </c>
      <c r="J177" s="9">
        <v>16</v>
      </c>
      <c r="K177" s="2"/>
    </row>
    <row r="178" spans="1:11">
      <c r="A178" s="1" t="s">
        <v>222</v>
      </c>
      <c r="B178" s="7" t="s">
        <v>164</v>
      </c>
      <c r="C178" s="8">
        <v>204</v>
      </c>
      <c r="D178" s="8">
        <v>73</v>
      </c>
      <c r="E178" s="12"/>
      <c r="F178" s="12"/>
      <c r="G178" s="2"/>
      <c r="I178" s="9">
        <v>564</v>
      </c>
      <c r="J178" s="9">
        <v>1</v>
      </c>
      <c r="K178" s="2"/>
    </row>
    <row r="179" ht="16" customHeight="1" spans="1:12">
      <c r="A179" s="1" t="s">
        <v>222</v>
      </c>
      <c r="B179" s="7" t="s">
        <v>35</v>
      </c>
      <c r="C179" s="9">
        <v>255</v>
      </c>
      <c r="D179" s="8">
        <v>48</v>
      </c>
      <c r="E179" s="12"/>
      <c r="F179" s="12"/>
      <c r="G179" s="2"/>
      <c r="I179" s="9">
        <v>1174</v>
      </c>
      <c r="J179" s="9">
        <v>2</v>
      </c>
      <c r="K179" s="2">
        <v>0</v>
      </c>
      <c r="L179" s="2">
        <v>230</v>
      </c>
    </row>
    <row r="180" ht="16" customHeight="1" spans="1:11">
      <c r="A180" s="1" t="s">
        <v>222</v>
      </c>
      <c r="B180" s="7" t="s">
        <v>36</v>
      </c>
      <c r="C180" s="9">
        <f>C178+C179</f>
        <v>459</v>
      </c>
      <c r="D180" s="9">
        <f>D178+D179</f>
        <v>121</v>
      </c>
      <c r="E180" s="13">
        <v>61</v>
      </c>
      <c r="F180" s="13">
        <v>34</v>
      </c>
      <c r="G180" s="2"/>
      <c r="I180" s="9">
        <v>1738</v>
      </c>
      <c r="J180" s="9">
        <v>3</v>
      </c>
      <c r="K180" s="2"/>
    </row>
    <row r="181" spans="1:11">
      <c r="A181" s="1" t="s">
        <v>223</v>
      </c>
      <c r="B181" s="7" t="s">
        <v>164</v>
      </c>
      <c r="C181">
        <v>188</v>
      </c>
      <c r="D181">
        <v>79</v>
      </c>
      <c r="E181" s="12"/>
      <c r="F181" s="12"/>
      <c r="G181" s="2"/>
      <c r="I181" s="9">
        <v>766</v>
      </c>
      <c r="J181" s="9">
        <v>1</v>
      </c>
      <c r="K181" s="2"/>
    </row>
    <row r="182" ht="16" customHeight="1" spans="1:12">
      <c r="A182" s="1" t="s">
        <v>223</v>
      </c>
      <c r="B182" s="7" t="s">
        <v>35</v>
      </c>
      <c r="C182" s="9">
        <v>188</v>
      </c>
      <c r="D182">
        <v>32</v>
      </c>
      <c r="E182" s="12"/>
      <c r="F182" s="12"/>
      <c r="G182" s="2"/>
      <c r="I182" s="9">
        <v>983</v>
      </c>
      <c r="J182" s="9">
        <v>7</v>
      </c>
      <c r="K182" s="2">
        <v>0</v>
      </c>
      <c r="L182" s="2">
        <v>230</v>
      </c>
    </row>
    <row r="183" ht="16" customHeight="1" spans="1:11">
      <c r="A183" s="1" t="s">
        <v>223</v>
      </c>
      <c r="B183" s="7" t="s">
        <v>36</v>
      </c>
      <c r="C183" s="9">
        <f>C181+C182</f>
        <v>376</v>
      </c>
      <c r="D183" s="9">
        <f>D181+D182</f>
        <v>111</v>
      </c>
      <c r="E183" s="12"/>
      <c r="F183" s="12"/>
      <c r="G183" s="2"/>
      <c r="I183" s="9">
        <v>1749</v>
      </c>
      <c r="J183" s="9">
        <v>8</v>
      </c>
      <c r="K183" s="2"/>
    </row>
    <row r="184" spans="1:11">
      <c r="A184" s="1" t="s">
        <v>224</v>
      </c>
      <c r="B184" s="7" t="s">
        <v>164</v>
      </c>
      <c r="C184" s="8">
        <v>193</v>
      </c>
      <c r="D184" s="8">
        <v>83</v>
      </c>
      <c r="E184" s="12"/>
      <c r="F184" s="12"/>
      <c r="G184" s="2"/>
      <c r="I184" s="9">
        <v>678</v>
      </c>
      <c r="J184" s="9">
        <v>1</v>
      </c>
      <c r="K184" s="2"/>
    </row>
    <row r="185" ht="16" customHeight="1" spans="1:12">
      <c r="A185" s="1" t="s">
        <v>224</v>
      </c>
      <c r="B185" s="7" t="s">
        <v>35</v>
      </c>
      <c r="C185">
        <v>186</v>
      </c>
      <c r="D185" s="8">
        <v>36</v>
      </c>
      <c r="E185" s="12"/>
      <c r="F185" s="12"/>
      <c r="G185" s="2"/>
      <c r="I185" s="9">
        <v>970</v>
      </c>
      <c r="J185" s="9">
        <v>11</v>
      </c>
      <c r="K185" s="2">
        <v>0</v>
      </c>
      <c r="L185" s="2">
        <v>227</v>
      </c>
    </row>
    <row r="186" ht="16" customHeight="1" spans="1:11">
      <c r="A186" s="1" t="s">
        <v>224</v>
      </c>
      <c r="B186" s="7" t="s">
        <v>36</v>
      </c>
      <c r="C186" s="9">
        <f>C184+C185</f>
        <v>379</v>
      </c>
      <c r="D186" s="9">
        <f>D184+D185</f>
        <v>119</v>
      </c>
      <c r="E186" s="12"/>
      <c r="F186" s="12"/>
      <c r="G186" s="2"/>
      <c r="I186" s="9">
        <v>1648</v>
      </c>
      <c r="J186" s="9">
        <v>12</v>
      </c>
      <c r="K186" s="2"/>
    </row>
    <row r="187" spans="1:11">
      <c r="A187" s="1" t="s">
        <v>225</v>
      </c>
      <c r="B187" s="7" t="s">
        <v>164</v>
      </c>
      <c r="C187" s="8">
        <v>142</v>
      </c>
      <c r="D187" s="8">
        <v>77</v>
      </c>
      <c r="E187" s="12"/>
      <c r="F187" s="12"/>
      <c r="G187" s="2"/>
      <c r="I187" s="9">
        <v>957</v>
      </c>
      <c r="J187" s="9">
        <v>4</v>
      </c>
      <c r="K187" s="2"/>
    </row>
    <row r="188" ht="16" customHeight="1" spans="1:12">
      <c r="A188" s="1" t="s">
        <v>225</v>
      </c>
      <c r="B188" s="7" t="s">
        <v>35</v>
      </c>
      <c r="C188">
        <v>154</v>
      </c>
      <c r="D188" s="8">
        <v>26</v>
      </c>
      <c r="E188" s="12"/>
      <c r="F188" s="12"/>
      <c r="G188" s="2"/>
      <c r="I188" s="9">
        <v>1332</v>
      </c>
      <c r="J188" s="9">
        <v>9</v>
      </c>
      <c r="K188" s="2">
        <v>0</v>
      </c>
      <c r="L188" s="2">
        <v>229</v>
      </c>
    </row>
    <row r="189" ht="16" customHeight="1" spans="1:11">
      <c r="A189" s="1" t="s">
        <v>225</v>
      </c>
      <c r="B189" s="7" t="s">
        <v>36</v>
      </c>
      <c r="C189" s="9">
        <f>C187+C188</f>
        <v>296</v>
      </c>
      <c r="D189" s="9">
        <f>D187+D188</f>
        <v>103</v>
      </c>
      <c r="E189" s="12"/>
      <c r="F189" s="12"/>
      <c r="G189" s="2"/>
      <c r="I189" s="9">
        <v>2289</v>
      </c>
      <c r="J189" s="9">
        <v>13</v>
      </c>
      <c r="K189" s="2"/>
    </row>
    <row r="190" spans="1:11">
      <c r="A190" s="1" t="s">
        <v>226</v>
      </c>
      <c r="B190" s="7" t="s">
        <v>164</v>
      </c>
      <c r="C190">
        <v>138</v>
      </c>
      <c r="D190">
        <v>86</v>
      </c>
      <c r="E190" s="12"/>
      <c r="F190" s="12"/>
      <c r="G190" s="2"/>
      <c r="I190" s="9">
        <v>419</v>
      </c>
      <c r="J190" s="9">
        <v>4</v>
      </c>
      <c r="K190" s="2"/>
    </row>
    <row r="191" ht="16" customHeight="1" spans="1:12">
      <c r="A191" s="1" t="s">
        <v>226</v>
      </c>
      <c r="B191" s="7" t="s">
        <v>35</v>
      </c>
      <c r="C191">
        <v>214</v>
      </c>
      <c r="D191">
        <v>45</v>
      </c>
      <c r="E191" s="12"/>
      <c r="F191" s="12"/>
      <c r="G191" s="2"/>
      <c r="I191" s="9">
        <v>1108</v>
      </c>
      <c r="J191" s="9">
        <v>6</v>
      </c>
      <c r="K191" s="2">
        <v>0</v>
      </c>
      <c r="L191" s="2">
        <v>227</v>
      </c>
    </row>
    <row r="192" ht="16" customHeight="1" spans="1:11">
      <c r="A192" s="1" t="s">
        <v>226</v>
      </c>
      <c r="B192" s="7" t="s">
        <v>36</v>
      </c>
      <c r="C192" s="9">
        <f>C190+C191</f>
        <v>352</v>
      </c>
      <c r="D192" s="9">
        <f>D190+D191</f>
        <v>131</v>
      </c>
      <c r="E192" s="12"/>
      <c r="F192" s="12"/>
      <c r="G192" s="2"/>
      <c r="I192" s="9">
        <v>1527</v>
      </c>
      <c r="J192" s="9">
        <v>10</v>
      </c>
      <c r="K192" s="2"/>
    </row>
    <row r="193" spans="1:11">
      <c r="A193" s="1" t="s">
        <v>227</v>
      </c>
      <c r="B193" s="7" t="s">
        <v>164</v>
      </c>
      <c r="C193" s="8">
        <v>132</v>
      </c>
      <c r="D193" s="8">
        <v>121</v>
      </c>
      <c r="E193" s="12"/>
      <c r="F193" s="12"/>
      <c r="G193" s="2"/>
      <c r="I193" s="9"/>
      <c r="J193" s="9"/>
      <c r="K193" s="2"/>
    </row>
    <row r="194" spans="1:12">
      <c r="A194" s="1" t="s">
        <v>227</v>
      </c>
      <c r="B194" s="7" t="s">
        <v>35</v>
      </c>
      <c r="C194" s="2">
        <v>113</v>
      </c>
      <c r="D194" s="8">
        <v>48</v>
      </c>
      <c r="K194" s="2">
        <v>0</v>
      </c>
      <c r="L194" s="2">
        <v>225</v>
      </c>
    </row>
    <row r="195" spans="1:4">
      <c r="A195" s="1" t="s">
        <v>227</v>
      </c>
      <c r="B195" s="7" t="s">
        <v>36</v>
      </c>
      <c r="C195" s="9">
        <f>C193+C194</f>
        <v>245</v>
      </c>
      <c r="D195" s="9">
        <f>D193+D194</f>
        <v>169</v>
      </c>
    </row>
    <row r="317" spans="3:3">
      <c r="C317">
        <v>473</v>
      </c>
    </row>
    <row r="321" spans="3:3">
      <c r="C321">
        <v>464</v>
      </c>
    </row>
    <row r="325" spans="3:3">
      <c r="C325">
        <v>113</v>
      </c>
    </row>
  </sheetData>
  <mergeCells count="3">
    <mergeCell ref="C2:D2"/>
    <mergeCell ref="E2:H2"/>
    <mergeCell ref="I2:L2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APP拉新-留存</vt:lpstr>
      <vt:lpstr>APP转化</vt:lpstr>
      <vt:lpstr>WEB来源数据</vt:lpstr>
      <vt:lpstr>WEB转化</vt:lpstr>
      <vt:lpstr>APP天数据-GP|AS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WPS_1730935137</cp:lastModifiedBy>
  <dcterms:created xsi:type="dcterms:W3CDTF">2026-08-05T16:19:00Z</dcterms:created>
  <dcterms:modified xsi:type="dcterms:W3CDTF">2026-08-12T14:27:49Z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C780DC895914181E9893726AD1CE87FF_42</vt:lpwstr>
  </property>
  <property fmtid="{D5CDD505-2E9C-101B-9397-08002B2CF9AE}" pid="3" name="KSOProductBuildVer">
    <vt:lpwstr>2052-6.12.1.8902</vt:lpwstr>
  </property>
</Properties>
</file>