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clee\Desktop\platfrom\server\template\"/>
    </mc:Choice>
  </mc:AlternateContent>
  <xr:revisionPtr revIDLastSave="0" documentId="13_ncr:1_{8B470DBD-055D-4A76-B8D8-55965B486F49}" xr6:coauthVersionLast="47" xr6:coauthVersionMax="47" xr10:uidLastSave="{00000000-0000-0000-0000-000000000000}"/>
  <bookViews>
    <workbookView xWindow="57480" yWindow="-2895" windowWidth="16440" windowHeight="28440" firstSheet="5" activeTab="6" xr2:uid="{ED2C4EC4-DF9E-4058-BBBE-6677CDDA71FD}"/>
  </bookViews>
  <sheets>
    <sheet name="Chart1" sheetId="4" state="hidden" r:id="rId1"/>
    <sheet name="#1 - 메인 UI" sheetId="1" r:id="rId2"/>
    <sheet name="#2 - 자세히보기" sheetId="17" r:id="rId3"/>
    <sheet name="판정결과LIST" sheetId="15" r:id="rId4"/>
    <sheet name="법규 검토 과정" sheetId="9" r:id="rId5"/>
    <sheet name="조건문 LIST" sheetId="16" r:id="rId6"/>
    <sheet name="입력값 리스트(데이터 유효성)" sheetId="14" r:id="rId7"/>
    <sheet name="일반" sheetId="5" state="hidden" r:id="rId8"/>
    <sheet name="복합건축물 배점표" sheetId="6" state="hidden" r:id="rId9"/>
    <sheet name="데이터유효성" sheetId="7" state="hidden" r:id="rId10"/>
    <sheet name="COLOR PATCH" sheetId="8" state="hidden" r:id="rId11"/>
    <sheet name="Sheet1 (2)" sheetId="3" state="hidden" r:id="rId12"/>
  </sheets>
  <definedNames>
    <definedName name="_xlnm.Print_Area" localSheetId="1">'#1 - 메인 UI'!$B$2:$Y$63</definedName>
    <definedName name="_xlnm.Print_Area" localSheetId="2">'#2 - 자세히보기'!$B$1:$Y$56</definedName>
    <definedName name="_xlnm.Print_Area" localSheetId="8">'복합건축물 배점표'!$B$2:$E$8</definedName>
    <definedName name="_xlnm.Print_Area" localSheetId="7">일반!$B$2:$AE$337</definedName>
    <definedName name="_xlnm.Print_Titles" localSheetId="1">'#1 - 메인 UI'!$2:$63</definedName>
    <definedName name="_xlnm.Print_Titles" localSheetId="2">'#2 - 자세히보기'!$1:$56</definedName>
    <definedName name="_xlnm.Print_Titles" localSheetId="7">일반!$2:$8</definedName>
    <definedName name="가중치">#REF!</definedName>
    <definedName name="등급">#REF!</definedName>
    <definedName name="등급기준">#REF!</definedName>
    <definedName name="등급표">#REF!</definedName>
  </definedNames>
  <calcPr calcId="191029"/>
  <customWorkbookViews>
    <customWorkbookView name="1" guid="{2FF9C5C3-DD07-4AB5-B1DE-373B3F779921}" maximized="1" xWindow="-9" yWindow="-9" windowWidth="3458" windowHeight="140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5" l="1"/>
  <c r="D7" i="16"/>
  <c r="D8" i="16"/>
  <c r="D10" i="16"/>
  <c r="D12" i="16"/>
  <c r="F8" i="16"/>
  <c r="D105" i="16"/>
  <c r="F105" i="16" s="1"/>
  <c r="D104" i="16"/>
  <c r="F104" i="16" s="1"/>
  <c r="D103" i="16"/>
  <c r="F103" i="16" s="1"/>
  <c r="D95" i="16"/>
  <c r="F95" i="16" s="1"/>
  <c r="D94" i="16"/>
  <c r="F94" i="16" s="1"/>
  <c r="D77" i="16"/>
  <c r="F77" i="16" s="1"/>
  <c r="D76" i="16"/>
  <c r="F76" i="16" s="1"/>
  <c r="D59" i="16"/>
  <c r="F59" i="16" s="1"/>
  <c r="D58" i="16"/>
  <c r="F58" i="16" s="1"/>
  <c r="D47" i="16"/>
  <c r="F47" i="16" s="1"/>
  <c r="F15" i="16"/>
  <c r="E342" i="9"/>
  <c r="E337" i="9"/>
  <c r="E332" i="9"/>
  <c r="E327" i="9"/>
  <c r="E311" i="9"/>
  <c r="G297" i="9"/>
  <c r="G296" i="9"/>
  <c r="E293" i="9"/>
  <c r="G292" i="9"/>
  <c r="G291" i="9"/>
  <c r="E288" i="9"/>
  <c r="G287" i="9"/>
  <c r="G286" i="9"/>
  <c r="E283" i="9"/>
  <c r="E267" i="9"/>
  <c r="E262" i="9"/>
  <c r="E245" i="9"/>
  <c r="E240" i="9"/>
  <c r="E235" i="9"/>
  <c r="E230" i="9"/>
  <c r="E214" i="9"/>
  <c r="E197" i="9"/>
  <c r="E193" i="9"/>
  <c r="E177" i="9"/>
  <c r="E162" i="9"/>
  <c r="E146" i="9"/>
  <c r="E131" i="9"/>
  <c r="E127" i="9"/>
  <c r="E123" i="9"/>
  <c r="E107" i="9"/>
  <c r="E84" i="9"/>
  <c r="E69" i="9"/>
  <c r="E65" i="9"/>
  <c r="E50" i="9"/>
  <c r="E46" i="9"/>
  <c r="E30" i="9"/>
  <c r="E13" i="9"/>
  <c r="D53" i="1" l="1"/>
  <c r="F51" i="1"/>
  <c r="J43" i="1"/>
  <c r="F48" i="1"/>
  <c r="R46" i="1"/>
  <c r="N46" i="1"/>
  <c r="J46" i="1"/>
  <c r="F46" i="1"/>
  <c r="F43" i="1"/>
  <c r="R41" i="1"/>
  <c r="N41" i="1"/>
  <c r="J41" i="1"/>
  <c r="F41" i="1"/>
  <c r="J38" i="1"/>
  <c r="F38" i="1"/>
  <c r="R36" i="1"/>
  <c r="N36" i="1"/>
  <c r="J36" i="1"/>
  <c r="F36" i="1"/>
  <c r="R34" i="1"/>
  <c r="N34" i="1"/>
  <c r="J34" i="1"/>
  <c r="F34" i="1"/>
  <c r="D38" i="16"/>
  <c r="F38" i="16" s="1"/>
  <c r="G38" i="16" s="1"/>
  <c r="F94" i="9" s="1"/>
  <c r="G94" i="9" s="1"/>
  <c r="B38" i="16"/>
  <c r="D30" i="16"/>
  <c r="F30" i="16" s="1"/>
  <c r="G30" i="16" s="1"/>
  <c r="F90" i="9" s="1"/>
  <c r="G90" i="9" s="1"/>
  <c r="B30" i="16"/>
  <c r="D28" i="16"/>
  <c r="F28" i="16" s="1"/>
  <c r="G28" i="16" s="1"/>
  <c r="F89" i="9" s="1"/>
  <c r="G89" i="9" s="1"/>
  <c r="B28" i="16"/>
  <c r="D26" i="16"/>
  <c r="F26" i="16" s="1"/>
  <c r="G26" i="16" s="1"/>
  <c r="F88" i="9" s="1"/>
  <c r="G88" i="9" s="1"/>
  <c r="B26" i="16"/>
  <c r="D24" i="16"/>
  <c r="F24" i="16" s="1"/>
  <c r="G24" i="16" s="1"/>
  <c r="F87" i="9" s="1"/>
  <c r="G87" i="9" s="1"/>
  <c r="B24" i="16"/>
  <c r="D32" i="16"/>
  <c r="F32" i="16" s="1"/>
  <c r="G32" i="16" s="1"/>
  <c r="F91" i="9" s="1"/>
  <c r="G91" i="9" s="1"/>
  <c r="B32" i="16"/>
  <c r="D34" i="16"/>
  <c r="F34" i="16" s="1"/>
  <c r="G34" i="16" s="1"/>
  <c r="F92" i="9" s="1"/>
  <c r="G92" i="9" s="1"/>
  <c r="B34" i="16"/>
  <c r="D36" i="16"/>
  <c r="F36" i="16" s="1"/>
  <c r="G36" i="16" s="1"/>
  <c r="F93" i="9" s="1"/>
  <c r="G93" i="9" s="1"/>
  <c r="B36" i="16"/>
  <c r="D22" i="16"/>
  <c r="F22" i="16" s="1"/>
  <c r="G22" i="16" s="1"/>
  <c r="F86" i="9" s="1"/>
  <c r="G86" i="9" s="1"/>
  <c r="B22" i="16"/>
  <c r="D102" i="16"/>
  <c r="F102" i="16" s="1"/>
  <c r="G102" i="16" s="1"/>
  <c r="F149" i="9" s="1"/>
  <c r="G149" i="9" s="1"/>
  <c r="D100" i="16"/>
  <c r="D98" i="16"/>
  <c r="F98" i="16" s="1"/>
  <c r="G98" i="16" s="1"/>
  <c r="F334" i="9" s="1"/>
  <c r="G334" i="9" s="1"/>
  <c r="D93" i="16"/>
  <c r="F93" i="16" s="1"/>
  <c r="G93" i="16" s="1"/>
  <c r="D91" i="16"/>
  <c r="F91" i="16" s="1"/>
  <c r="G91" i="16" s="1"/>
  <c r="F333" i="9" s="1"/>
  <c r="G333" i="9" s="1"/>
  <c r="D83" i="16"/>
  <c r="D85" i="16"/>
  <c r="D87" i="16"/>
  <c r="D89" i="16"/>
  <c r="D81" i="16"/>
  <c r="D79" i="16"/>
  <c r="D73" i="16"/>
  <c r="F73" i="16" s="1"/>
  <c r="G73" i="16" s="1"/>
  <c r="F31" i="9" s="1"/>
  <c r="G31" i="9" s="1"/>
  <c r="D75" i="16"/>
  <c r="F75" i="16" s="1"/>
  <c r="G75" i="16" s="1"/>
  <c r="F47" i="9" s="1"/>
  <c r="G47" i="9" s="1"/>
  <c r="D71" i="16"/>
  <c r="F71" i="16" s="1"/>
  <c r="G71" i="16" s="1"/>
  <c r="D65" i="16"/>
  <c r="D67" i="16"/>
  <c r="D69" i="16"/>
  <c r="D63" i="16"/>
  <c r="D17" i="16"/>
  <c r="F17" i="16" s="1"/>
  <c r="G17" i="16" s="1"/>
  <c r="F270" i="9" s="1"/>
  <c r="G270" i="9" s="1"/>
  <c r="D20" i="16"/>
  <c r="F20" i="16" s="1"/>
  <c r="G20" i="16" s="1"/>
  <c r="D40" i="16"/>
  <c r="F40" i="16" s="1"/>
  <c r="G40" i="16" s="1"/>
  <c r="F285" i="9" s="1"/>
  <c r="G285" i="9" s="1"/>
  <c r="D42" i="16"/>
  <c r="F42" i="16" s="1"/>
  <c r="G42" i="16" s="1"/>
  <c r="F238" i="9" s="1"/>
  <c r="G238" i="9" s="1"/>
  <c r="D44" i="16"/>
  <c r="F44" i="16" s="1"/>
  <c r="G44" i="16" s="1"/>
  <c r="F290" i="9" s="1"/>
  <c r="G290" i="9" s="1"/>
  <c r="D46" i="16"/>
  <c r="F46" i="16" s="1"/>
  <c r="G46" i="16" s="1"/>
  <c r="F72" i="9" s="1"/>
  <c r="G72" i="9" s="1"/>
  <c r="D49" i="16"/>
  <c r="F49" i="16" s="1"/>
  <c r="G49" i="16" s="1"/>
  <c r="F201" i="9" s="1"/>
  <c r="G201" i="9" s="1"/>
  <c r="D51" i="16"/>
  <c r="F51" i="16" s="1"/>
  <c r="G51" i="16" s="1"/>
  <c r="F295" i="9" s="1"/>
  <c r="G295" i="9" s="1"/>
  <c r="D53" i="16"/>
  <c r="F53" i="16" s="1"/>
  <c r="G53" i="16" s="1"/>
  <c r="D55" i="16"/>
  <c r="F55" i="16" s="1"/>
  <c r="G55" i="16" s="1"/>
  <c r="D57" i="16"/>
  <c r="F57" i="16" s="1"/>
  <c r="G57" i="16" s="1"/>
  <c r="F48" i="9" s="1"/>
  <c r="G48" i="9" s="1"/>
  <c r="D61" i="16"/>
  <c r="F61" i="16" s="1"/>
  <c r="G61" i="16" s="1"/>
  <c r="F32" i="9" s="1"/>
  <c r="G32" i="9" s="1"/>
  <c r="D14" i="16"/>
  <c r="F14" i="16" s="1"/>
  <c r="G14" i="16" s="1"/>
  <c r="F243" i="9" s="1"/>
  <c r="G243" i="9" s="1"/>
  <c r="F12" i="16"/>
  <c r="G12" i="16" s="1"/>
  <c r="F294" i="9" s="1"/>
  <c r="G294" i="9" s="1"/>
  <c r="F10" i="16"/>
  <c r="G10" i="16" s="1"/>
  <c r="F284" i="9" s="1"/>
  <c r="G284" i="9" s="1"/>
  <c r="F7" i="16"/>
  <c r="G7" i="16" s="1"/>
  <c r="F289" i="9" s="1"/>
  <c r="G289" i="9" s="1"/>
  <c r="D5" i="16"/>
  <c r="F5" i="16" s="1"/>
  <c r="G5" i="16" s="1"/>
  <c r="D3" i="16"/>
  <c r="F3" i="16" s="1"/>
  <c r="G3" i="16" s="1"/>
  <c r="B3" i="16"/>
  <c r="B102" i="16"/>
  <c r="B100" i="16"/>
  <c r="B98" i="16"/>
  <c r="B93" i="16"/>
  <c r="B91" i="16"/>
  <c r="B83" i="16"/>
  <c r="B85" i="16"/>
  <c r="B87" i="16"/>
  <c r="B89" i="16"/>
  <c r="B81" i="16"/>
  <c r="B79" i="16"/>
  <c r="B73" i="16"/>
  <c r="B75" i="16"/>
  <c r="B71" i="16"/>
  <c r="B65" i="16"/>
  <c r="B67" i="16"/>
  <c r="B69" i="16"/>
  <c r="B63" i="16"/>
  <c r="B17" i="16"/>
  <c r="B20" i="16"/>
  <c r="B40" i="16"/>
  <c r="B42" i="16"/>
  <c r="B44" i="16"/>
  <c r="B46" i="16"/>
  <c r="B49" i="16"/>
  <c r="B51" i="16"/>
  <c r="B53" i="16"/>
  <c r="B55" i="16"/>
  <c r="B57" i="16"/>
  <c r="B61" i="16"/>
  <c r="B14" i="16"/>
  <c r="B12" i="16"/>
  <c r="B10" i="16"/>
  <c r="B7" i="16"/>
  <c r="B5" i="16"/>
  <c r="F100" i="16" l="1"/>
  <c r="G100" i="16" s="1"/>
  <c r="F338" i="9" s="1"/>
  <c r="G338" i="9" s="1"/>
  <c r="H338" i="9" s="1"/>
  <c r="I338" i="9" s="1"/>
  <c r="F79" i="16"/>
  <c r="G79" i="16" s="1"/>
  <c r="F125" i="9" s="1"/>
  <c r="G125" i="9" s="1"/>
  <c r="F81" i="16"/>
  <c r="G81" i="16" s="1"/>
  <c r="F89" i="16"/>
  <c r="G89" i="16" s="1"/>
  <c r="F343" i="9" s="1"/>
  <c r="G343" i="9" s="1"/>
  <c r="H343" i="9" s="1"/>
  <c r="I343" i="9" s="1"/>
  <c r="F87" i="16"/>
  <c r="G87" i="16" s="1"/>
  <c r="F85" i="16"/>
  <c r="G85" i="16" s="1"/>
  <c r="F129" i="9" s="1"/>
  <c r="G129" i="9" s="1"/>
  <c r="F83" i="16"/>
  <c r="G83" i="16" s="1"/>
  <c r="F249" i="9" s="1"/>
  <c r="G249" i="9" s="1"/>
  <c r="F63" i="16"/>
  <c r="G63" i="16" s="1"/>
  <c r="F148" i="9" s="1"/>
  <c r="G148" i="9" s="1"/>
  <c r="F69" i="16"/>
  <c r="G69" i="16" s="1"/>
  <c r="F313" i="9" s="1"/>
  <c r="G313" i="9" s="1"/>
  <c r="F67" i="16"/>
  <c r="G67" i="16" s="1"/>
  <c r="F65" i="16"/>
  <c r="G65" i="16" s="1"/>
  <c r="H289" i="9"/>
  <c r="I289" i="9" s="1"/>
  <c r="H284" i="9"/>
  <c r="I284" i="9" s="1"/>
  <c r="F70" i="9"/>
  <c r="G70" i="9" s="1"/>
  <c r="F247" i="9"/>
  <c r="G247" i="9" s="1"/>
  <c r="F264" i="9"/>
  <c r="G264" i="9" s="1"/>
  <c r="F237" i="9"/>
  <c r="G237" i="9" s="1"/>
  <c r="F242" i="9"/>
  <c r="G242" i="9" s="1"/>
  <c r="F232" i="9"/>
  <c r="G232" i="9" s="1"/>
  <c r="F269" i="9"/>
  <c r="G269" i="9" s="1"/>
  <c r="F195" i="9"/>
  <c r="G195" i="9" s="1"/>
  <c r="F66" i="9"/>
  <c r="G66" i="9" s="1"/>
  <c r="F199" i="9"/>
  <c r="G199" i="9" s="1"/>
  <c r="H333" i="9"/>
  <c r="I333" i="9" s="1"/>
  <c r="F198" i="9"/>
  <c r="G198" i="9" s="1"/>
  <c r="F241" i="9"/>
  <c r="G241" i="9" s="1"/>
  <c r="F231" i="9"/>
  <c r="G231" i="9" s="1"/>
  <c r="F68" i="9"/>
  <c r="G68" i="9" s="1"/>
  <c r="F263" i="9"/>
  <c r="G263" i="9" s="1"/>
  <c r="F194" i="9"/>
  <c r="G194" i="9" s="1"/>
  <c r="F246" i="9"/>
  <c r="G246" i="9" s="1"/>
  <c r="F236" i="9"/>
  <c r="G236" i="9" s="1"/>
  <c r="F268" i="9"/>
  <c r="G268" i="9" s="1"/>
  <c r="H294" i="9"/>
  <c r="I294" i="9" s="1"/>
  <c r="F132" i="9"/>
  <c r="G132" i="9" s="1"/>
  <c r="F124" i="9"/>
  <c r="G124" i="9" s="1"/>
  <c r="F128" i="9"/>
  <c r="G128" i="9" s="1"/>
  <c r="F265" i="9"/>
  <c r="G265" i="9" s="1"/>
  <c r="F248" i="9"/>
  <c r="G248" i="9" s="1"/>
  <c r="F178" i="9"/>
  <c r="G178" i="9" s="1"/>
  <c r="F108" i="9"/>
  <c r="G108" i="9" s="1"/>
  <c r="F51" i="9"/>
  <c r="G51" i="9" s="1"/>
  <c r="F312" i="9"/>
  <c r="G312" i="9" s="1"/>
  <c r="F14" i="9"/>
  <c r="G14" i="9" s="1"/>
  <c r="F163" i="9"/>
  <c r="G163" i="9" s="1"/>
  <c r="F233" i="9"/>
  <c r="G233" i="9" s="1"/>
  <c r="F147" i="9"/>
  <c r="G147" i="9" s="1"/>
  <c r="F85" i="9"/>
  <c r="G85" i="9" s="1"/>
  <c r="H85" i="9" s="1"/>
  <c r="I85" i="9" s="1"/>
  <c r="B74" i="9" s="1"/>
  <c r="F215" i="9"/>
  <c r="G215" i="9" s="1"/>
  <c r="F328" i="9"/>
  <c r="G328" i="9" s="1"/>
  <c r="H328" i="9" s="1"/>
  <c r="F133" i="9"/>
  <c r="G133" i="9" s="1"/>
  <c r="F16" i="9"/>
  <c r="G16" i="9" s="1"/>
  <c r="F180" i="9"/>
  <c r="G180" i="9" s="1"/>
  <c r="F52" i="9"/>
  <c r="G52" i="9" s="1"/>
  <c r="B41" i="14"/>
  <c r="B45" i="14"/>
  <c r="B61" i="14"/>
  <c r="B55" i="14"/>
  <c r="B53" i="14"/>
  <c r="B50" i="14"/>
  <c r="B47" i="14"/>
  <c r="B43" i="14"/>
  <c r="B39" i="14"/>
  <c r="B36" i="14"/>
  <c r="B32" i="14"/>
  <c r="B27" i="14"/>
  <c r="B22" i="14"/>
  <c r="B2" i="14"/>
  <c r="F33" i="9" l="1"/>
  <c r="G33" i="9" s="1"/>
  <c r="H31" i="9" s="1"/>
  <c r="I31" i="9" s="1"/>
  <c r="B20" i="9" s="1"/>
  <c r="F53" i="9"/>
  <c r="G53" i="9" s="1"/>
  <c r="H51" i="9" s="1"/>
  <c r="I51" i="9" s="1"/>
  <c r="F49" i="9"/>
  <c r="G49" i="9" s="1"/>
  <c r="H47" i="9" s="1"/>
  <c r="I47" i="9" s="1"/>
  <c r="H124" i="9"/>
  <c r="I124" i="9" s="1"/>
  <c r="F196" i="9"/>
  <c r="G196" i="9" s="1"/>
  <c r="H194" i="9" s="1"/>
  <c r="F239" i="9"/>
  <c r="G239" i="9" s="1"/>
  <c r="H236" i="9" s="1"/>
  <c r="I236" i="9" s="1"/>
  <c r="F71" i="9"/>
  <c r="G71" i="9" s="1"/>
  <c r="H70" i="9" s="1"/>
  <c r="I70" i="9" s="1"/>
  <c r="F200" i="9"/>
  <c r="G200" i="9" s="1"/>
  <c r="H198" i="9" s="1"/>
  <c r="I198" i="9" s="1"/>
  <c r="F67" i="9"/>
  <c r="G67" i="9" s="1"/>
  <c r="H66" i="9" s="1"/>
  <c r="F271" i="9"/>
  <c r="G271" i="9" s="1"/>
  <c r="H268" i="9" s="1"/>
  <c r="I268" i="9" s="1"/>
  <c r="F244" i="9"/>
  <c r="G244" i="9" s="1"/>
  <c r="H241" i="9" s="1"/>
  <c r="I241" i="9" s="1"/>
  <c r="H128" i="9"/>
  <c r="I128" i="9" s="1"/>
  <c r="F15" i="9"/>
  <c r="G15" i="9" s="1"/>
  <c r="H14" i="9" s="1"/>
  <c r="I14" i="9" s="1"/>
  <c r="B3" i="9" s="1"/>
  <c r="F164" i="9"/>
  <c r="G164" i="9" s="1"/>
  <c r="H163" i="9" s="1"/>
  <c r="I163" i="9" s="1"/>
  <c r="B152" i="9" s="1"/>
  <c r="C10" i="15" s="1"/>
  <c r="D10" i="15" s="1"/>
  <c r="F234" i="9"/>
  <c r="G234" i="9" s="1"/>
  <c r="H231" i="9" s="1"/>
  <c r="F266" i="9"/>
  <c r="G266" i="9" s="1"/>
  <c r="H263" i="9" s="1"/>
  <c r="F179" i="9"/>
  <c r="G179" i="9" s="1"/>
  <c r="H178" i="9" s="1"/>
  <c r="I178" i="9" s="1"/>
  <c r="B167" i="9" s="1"/>
  <c r="F109" i="9"/>
  <c r="G109" i="9" s="1"/>
  <c r="H108" i="9" s="1"/>
  <c r="I108" i="9" s="1"/>
  <c r="B97" i="9" s="1"/>
  <c r="C7" i="15" s="1"/>
  <c r="D7" i="15" s="1"/>
  <c r="F216" i="9"/>
  <c r="G216" i="9" s="1"/>
  <c r="H215" i="9" s="1"/>
  <c r="I215" i="9" s="1"/>
  <c r="B204" i="9" s="1"/>
  <c r="H147" i="9"/>
  <c r="I147" i="9" s="1"/>
  <c r="B136" i="9" s="1"/>
  <c r="H312" i="9"/>
  <c r="I312" i="9" s="1"/>
  <c r="B301" i="9" s="1"/>
  <c r="C17" i="15" s="1"/>
  <c r="D17" i="15" s="1"/>
  <c r="K283" i="9"/>
  <c r="B273" i="9" s="1"/>
  <c r="H132" i="9"/>
  <c r="I132" i="9" s="1"/>
  <c r="K327" i="9"/>
  <c r="B317" i="9" s="1"/>
  <c r="C23" i="15" s="1"/>
  <c r="D23" i="15" s="1"/>
  <c r="E23" i="15" s="1"/>
  <c r="I328" i="9"/>
  <c r="H246" i="9"/>
  <c r="I246" i="9" s="1"/>
  <c r="C6" i="15"/>
  <c r="D6" i="15" s="1"/>
  <c r="C22" i="15" l="1"/>
  <c r="D22" i="15" s="1"/>
  <c r="C16" i="15"/>
  <c r="D16" i="15" s="1"/>
  <c r="C13" i="15"/>
  <c r="D13" i="15" s="1"/>
  <c r="C19" i="15"/>
  <c r="D19" i="15" s="1"/>
  <c r="K46" i="9"/>
  <c r="B36" i="9" s="1"/>
  <c r="C4" i="15" s="1"/>
  <c r="D4" i="15" s="1"/>
  <c r="K65" i="9"/>
  <c r="B55" i="9" s="1"/>
  <c r="I66" i="9"/>
  <c r="K123" i="9"/>
  <c r="B113" i="9" s="1"/>
  <c r="C8" i="15" s="1"/>
  <c r="D8" i="15" s="1"/>
  <c r="I194" i="9"/>
  <c r="K193" i="9"/>
  <c r="B183" i="9" s="1"/>
  <c r="I231" i="9"/>
  <c r="K230" i="9"/>
  <c r="B220" i="9" s="1"/>
  <c r="I263" i="9"/>
  <c r="K262" i="9"/>
  <c r="B252" i="9" s="1"/>
  <c r="C11" i="15"/>
  <c r="D11" i="15" s="1"/>
  <c r="C2" i="15"/>
  <c r="D2" i="15" s="1"/>
  <c r="C9" i="15"/>
  <c r="D9" i="15" s="1"/>
  <c r="C3" i="15"/>
  <c r="D3" i="15" s="1"/>
  <c r="C21" i="15" l="1"/>
  <c r="D21" i="15" s="1"/>
  <c r="C15" i="15"/>
  <c r="D15" i="15" s="1"/>
  <c r="C14" i="15"/>
  <c r="D14" i="15" s="1"/>
  <c r="C20" i="15"/>
  <c r="D20" i="15" s="1"/>
  <c r="C12" i="15"/>
  <c r="D12" i="15" s="1"/>
  <c r="C18" i="15"/>
  <c r="D18" i="15" s="1"/>
  <c r="S25" i="1"/>
  <c r="D50" i="1"/>
  <c r="C5" i="15"/>
  <c r="D5" i="15" s="1"/>
  <c r="E2" i="15" s="1"/>
  <c r="E12" i="15" l="1"/>
  <c r="E18" i="15"/>
  <c r="D28" i="15"/>
  <c r="P19" i="1" s="1"/>
  <c r="S13" i="1"/>
  <c r="D33" i="1"/>
  <c r="S21" i="1"/>
  <c r="D45" i="1"/>
  <c r="AA129" i="5"/>
  <c r="Y283" i="5"/>
  <c r="Y323" i="5"/>
  <c r="Z323" i="5"/>
  <c r="AA323" i="5" s="1"/>
  <c r="Z283" i="5"/>
  <c r="S17" i="1" l="1"/>
  <c r="D40" i="1"/>
  <c r="Z156" i="5"/>
  <c r="AA156" i="5" s="1"/>
  <c r="Y156" i="5"/>
  <c r="AA283" i="5"/>
  <c r="Q44" i="5"/>
  <c r="J12" i="5"/>
  <c r="J8" i="5" l="1"/>
  <c r="I334" i="5"/>
  <c r="H334" i="5"/>
  <c r="G334" i="5"/>
  <c r="F334" i="5"/>
  <c r="E334" i="5"/>
  <c r="I277" i="5"/>
  <c r="H277" i="5"/>
  <c r="G277" i="5"/>
  <c r="F277" i="5"/>
  <c r="E277" i="5"/>
  <c r="I220" i="5"/>
  <c r="H220" i="5"/>
  <c r="G220" i="5"/>
  <c r="F220" i="5"/>
  <c r="E220" i="5"/>
  <c r="I188" i="5"/>
  <c r="H188" i="5"/>
  <c r="G188" i="5"/>
  <c r="F188" i="5"/>
  <c r="E188" i="5"/>
  <c r="I161" i="5"/>
  <c r="H161" i="5"/>
  <c r="G161" i="5"/>
  <c r="F161" i="5"/>
  <c r="E161" i="5"/>
  <c r="I134" i="5"/>
  <c r="H134" i="5"/>
  <c r="G134" i="5"/>
  <c r="F134" i="5"/>
  <c r="E134" i="5"/>
  <c r="I97" i="5"/>
  <c r="H97" i="5"/>
  <c r="G97" i="5"/>
  <c r="F97" i="5"/>
  <c r="E97" i="5"/>
  <c r="I50" i="5"/>
  <c r="H50" i="5"/>
  <c r="G50" i="5"/>
  <c r="F50" i="5"/>
  <c r="E50" i="5"/>
  <c r="Z24" i="5"/>
  <c r="AA24" i="5" s="1"/>
  <c r="J283" i="5"/>
  <c r="J66" i="5"/>
  <c r="Z271" i="5"/>
  <c r="AA271" i="5" s="1"/>
  <c r="Y271" i="5"/>
  <c r="Z247" i="5"/>
  <c r="AA247" i="5" s="1"/>
  <c r="Y247" i="5"/>
  <c r="Z246" i="5"/>
  <c r="AA246" i="5" s="1"/>
  <c r="Y246" i="5"/>
  <c r="Z237" i="5"/>
  <c r="AA237" i="5" s="1"/>
  <c r="Y237" i="5"/>
  <c r="Z236" i="5"/>
  <c r="AA236" i="5" s="1"/>
  <c r="Y236" i="5"/>
  <c r="Z226" i="5"/>
  <c r="AA226" i="5" s="1"/>
  <c r="Y226" i="5"/>
  <c r="Z182" i="5"/>
  <c r="AA182" i="5" s="1"/>
  <c r="Y182" i="5"/>
  <c r="Z172" i="5"/>
  <c r="AA172" i="5" s="1"/>
  <c r="Y172" i="5"/>
  <c r="Z167" i="5"/>
  <c r="AA167" i="5" s="1"/>
  <c r="Y167" i="5"/>
  <c r="Z155" i="5"/>
  <c r="AA155" i="5" s="1"/>
  <c r="Y155" i="5"/>
  <c r="Z151" i="5"/>
  <c r="AA151" i="5" s="1"/>
  <c r="Y151" i="5"/>
  <c r="Z150" i="5"/>
  <c r="AA150" i="5" s="1"/>
  <c r="Y150" i="5"/>
  <c r="Z146" i="5"/>
  <c r="AA146" i="5" s="1"/>
  <c r="Y146" i="5"/>
  <c r="Z145" i="5"/>
  <c r="AA145" i="5" s="1"/>
  <c r="Y145" i="5"/>
  <c r="Z142" i="5"/>
  <c r="AA142" i="5" s="1"/>
  <c r="Y142" i="5"/>
  <c r="Z141" i="5"/>
  <c r="AA141" i="5" s="1"/>
  <c r="Y141" i="5"/>
  <c r="Z140" i="5"/>
  <c r="AA140" i="5" s="1"/>
  <c r="Y140" i="5"/>
  <c r="P123" i="5"/>
  <c r="P118" i="5"/>
  <c r="P113" i="5"/>
  <c r="P108" i="5"/>
  <c r="P103" i="5"/>
  <c r="Z128" i="5"/>
  <c r="AA128" i="5" s="1"/>
  <c r="Y128" i="5"/>
  <c r="Z119" i="5"/>
  <c r="AA119" i="5" s="1"/>
  <c r="Y119" i="5"/>
  <c r="Z118" i="5"/>
  <c r="AA118" i="5" s="1"/>
  <c r="Y118" i="5"/>
  <c r="Z114" i="5"/>
  <c r="AA114" i="5" s="1"/>
  <c r="Y114" i="5"/>
  <c r="Z113" i="5"/>
  <c r="AA113" i="5" s="1"/>
  <c r="Y113" i="5"/>
  <c r="Z109" i="5"/>
  <c r="AA109" i="5" s="1"/>
  <c r="Y109" i="5"/>
  <c r="Z108" i="5"/>
  <c r="AA108" i="5" s="1"/>
  <c r="Y108" i="5"/>
  <c r="Z104" i="5"/>
  <c r="AA104" i="5" s="1"/>
  <c r="Y104" i="5"/>
  <c r="Z103" i="5"/>
  <c r="AA103" i="5" s="1"/>
  <c r="Y103" i="5"/>
  <c r="Z86" i="5"/>
  <c r="AA86" i="5" s="1"/>
  <c r="Y86" i="5"/>
  <c r="Z79" i="5"/>
  <c r="AA79" i="5" s="1"/>
  <c r="Y79" i="5"/>
  <c r="Z78" i="5"/>
  <c r="AA78" i="5" s="1"/>
  <c r="Y78" i="5"/>
  <c r="Z77" i="5"/>
  <c r="AA77" i="5" s="1"/>
  <c r="Y77" i="5"/>
  <c r="Z76" i="5"/>
  <c r="AA76" i="5" s="1"/>
  <c r="Y76" i="5"/>
  <c r="Z66" i="5"/>
  <c r="AA66" i="5" s="1"/>
  <c r="Y66" i="5"/>
  <c r="Z56" i="5"/>
  <c r="AA56" i="5" s="1"/>
  <c r="Y56" i="5"/>
  <c r="Z45" i="5"/>
  <c r="AA45" i="5" s="1"/>
  <c r="Y45" i="5"/>
  <c r="Z44" i="5"/>
  <c r="AA44" i="5" s="1"/>
  <c r="Y44" i="5"/>
  <c r="Z39" i="5"/>
  <c r="AA39" i="5" s="1"/>
  <c r="Y39" i="5"/>
  <c r="Y24" i="5"/>
  <c r="Z14" i="5"/>
  <c r="AA14" i="5" s="1"/>
  <c r="Y14" i="5"/>
  <c r="AA342" i="5" l="1"/>
  <c r="AB342" i="5"/>
  <c r="T226" i="5"/>
  <c r="U222" i="5"/>
  <c r="U190" i="5"/>
  <c r="U163" i="5"/>
  <c r="U136" i="5"/>
  <c r="U99" i="5"/>
  <c r="U52" i="5"/>
  <c r="U10" i="5"/>
  <c r="T281" i="5"/>
  <c r="T224" i="5"/>
  <c r="T192" i="5"/>
  <c r="T165" i="5"/>
  <c r="T138" i="5"/>
  <c r="T101" i="5"/>
  <c r="T54" i="5"/>
  <c r="Q14" i="5"/>
  <c r="S14" i="5" s="1"/>
  <c r="Q19" i="5"/>
  <c r="S19" i="5" s="1"/>
  <c r="Q24" i="5"/>
  <c r="S24" i="5" s="1"/>
  <c r="Q29" i="5"/>
  <c r="S29" i="5" s="1"/>
  <c r="S34" i="5"/>
  <c r="Q39" i="5"/>
  <c r="S39" i="5" s="1"/>
  <c r="S44" i="5"/>
  <c r="AE342" i="5" l="1"/>
  <c r="AB5" i="5" l="1"/>
  <c r="Q328" i="5"/>
  <c r="Q323" i="5"/>
  <c r="Q313" i="5"/>
  <c r="Q308" i="5"/>
  <c r="Q303" i="5"/>
  <c r="Q298" i="5"/>
  <c r="Q293" i="5"/>
  <c r="Q288" i="5"/>
  <c r="Q283" i="5"/>
  <c r="P328" i="5"/>
  <c r="P323" i="5"/>
  <c r="D318" i="5"/>
  <c r="R318" i="5" s="1"/>
  <c r="S318" i="5"/>
  <c r="P313" i="5"/>
  <c r="P308" i="5"/>
  <c r="P303" i="5"/>
  <c r="P298" i="5"/>
  <c r="P293" i="5"/>
  <c r="P288" i="5"/>
  <c r="P283" i="5"/>
  <c r="Q261" i="5"/>
  <c r="P261" i="5"/>
  <c r="Q209" i="5"/>
  <c r="Q204" i="5"/>
  <c r="Q199" i="5"/>
  <c r="P209" i="5"/>
  <c r="P204" i="5"/>
  <c r="P199" i="5"/>
  <c r="Q182" i="5"/>
  <c r="Q172" i="5"/>
  <c r="Q167" i="5"/>
  <c r="P182" i="5"/>
  <c r="P172" i="5"/>
  <c r="P167" i="5"/>
  <c r="Q155" i="5"/>
  <c r="P155" i="5"/>
  <c r="Q150" i="5"/>
  <c r="P150" i="5"/>
  <c r="Q145" i="5"/>
  <c r="P145" i="5"/>
  <c r="Q140" i="5"/>
  <c r="P140" i="5"/>
  <c r="Q86" i="5"/>
  <c r="P86" i="5"/>
  <c r="Q81" i="5"/>
  <c r="P81" i="5"/>
  <c r="Q76" i="5"/>
  <c r="P76" i="5"/>
  <c r="Q66" i="5"/>
  <c r="P66" i="5"/>
  <c r="Q61" i="5"/>
  <c r="P61" i="5"/>
  <c r="P39" i="5"/>
  <c r="P29" i="5"/>
  <c r="P24" i="5"/>
  <c r="P19" i="5"/>
  <c r="P14" i="5"/>
  <c r="Q56" i="5"/>
  <c r="P56" i="5"/>
  <c r="P44" i="5"/>
  <c r="T318" i="5" l="1"/>
  <c r="E6" i="6" l="1"/>
  <c r="G6" i="6" s="1"/>
  <c r="S328" i="5"/>
  <c r="D328" i="5"/>
  <c r="R328" i="5" s="1"/>
  <c r="S323" i="5"/>
  <c r="D323" i="5"/>
  <c r="R323" i="5" s="1"/>
  <c r="S313" i="5"/>
  <c r="D313" i="5"/>
  <c r="R313" i="5" s="1"/>
  <c r="S308" i="5"/>
  <c r="D308" i="5"/>
  <c r="R308" i="5" s="1"/>
  <c r="S303" i="5"/>
  <c r="D303" i="5"/>
  <c r="R303" i="5" s="1"/>
  <c r="S298" i="5"/>
  <c r="D298" i="5"/>
  <c r="R298" i="5" s="1"/>
  <c r="S293" i="5"/>
  <c r="D293" i="5"/>
  <c r="R293" i="5" s="1"/>
  <c r="S288" i="5"/>
  <c r="D288" i="5"/>
  <c r="R288" i="5" s="1"/>
  <c r="S283" i="5"/>
  <c r="D283" i="5"/>
  <c r="R283" i="5" s="1"/>
  <c r="U281" i="5"/>
  <c r="S281" i="5"/>
  <c r="R281" i="5"/>
  <c r="Q281" i="5"/>
  <c r="I281" i="5"/>
  <c r="H281" i="5"/>
  <c r="G281" i="5"/>
  <c r="F281" i="5"/>
  <c r="E281" i="5"/>
  <c r="S271" i="5"/>
  <c r="D271" i="5"/>
  <c r="R271" i="5" s="1"/>
  <c r="S266" i="5"/>
  <c r="D266" i="5"/>
  <c r="R266" i="5" s="1"/>
  <c r="S261" i="5"/>
  <c r="D261" i="5"/>
  <c r="R261" i="5" s="1"/>
  <c r="S256" i="5"/>
  <c r="D256" i="5"/>
  <c r="R256" i="5" s="1"/>
  <c r="S251" i="5"/>
  <c r="D251" i="5"/>
  <c r="R251" i="5" s="1"/>
  <c r="S246" i="5"/>
  <c r="D246" i="5"/>
  <c r="R246" i="5" s="1"/>
  <c r="N244" i="5"/>
  <c r="N242" i="5"/>
  <c r="S241" i="5"/>
  <c r="D241" i="5"/>
  <c r="R241" i="5" s="1"/>
  <c r="S236" i="5"/>
  <c r="D236" i="5"/>
  <c r="R236" i="5" s="1"/>
  <c r="S231" i="5"/>
  <c r="D231" i="5"/>
  <c r="R231" i="5" s="1"/>
  <c r="D226" i="5"/>
  <c r="R226" i="5" s="1"/>
  <c r="U224" i="5"/>
  <c r="S224" i="5"/>
  <c r="R224" i="5"/>
  <c r="Q224" i="5"/>
  <c r="I224" i="5"/>
  <c r="H224" i="5"/>
  <c r="G224" i="5"/>
  <c r="F224" i="5"/>
  <c r="E224" i="5"/>
  <c r="S214" i="5"/>
  <c r="D214" i="5"/>
  <c r="R214" i="5" s="1"/>
  <c r="T214" i="5" s="1"/>
  <c r="S209" i="5"/>
  <c r="D209" i="5"/>
  <c r="N208" i="5"/>
  <c r="M208" i="5"/>
  <c r="L208" i="5"/>
  <c r="S204" i="5" s="1"/>
  <c r="N207" i="5"/>
  <c r="M207" i="5"/>
  <c r="M206" i="5"/>
  <c r="M205" i="5"/>
  <c r="M204" i="5"/>
  <c r="D204" i="5"/>
  <c r="R204" i="5" s="1"/>
  <c r="N203" i="5"/>
  <c r="M203" i="5"/>
  <c r="L203" i="5"/>
  <c r="M202" i="5"/>
  <c r="M201" i="5"/>
  <c r="M200" i="5"/>
  <c r="M199" i="5"/>
  <c r="D199" i="5"/>
  <c r="R199" i="5" s="1"/>
  <c r="S194" i="5"/>
  <c r="D194" i="5"/>
  <c r="R194" i="5" s="1"/>
  <c r="T194" i="5" s="1"/>
  <c r="U192" i="5"/>
  <c r="S192" i="5"/>
  <c r="R192" i="5"/>
  <c r="Q192" i="5"/>
  <c r="I192" i="5"/>
  <c r="H192" i="5"/>
  <c r="G192" i="5"/>
  <c r="F192" i="5"/>
  <c r="E192" i="5"/>
  <c r="S182" i="5"/>
  <c r="D182" i="5"/>
  <c r="R182" i="5" s="1"/>
  <c r="S177" i="5"/>
  <c r="D177" i="5"/>
  <c r="R177" i="5" s="1"/>
  <c r="S172" i="5"/>
  <c r="D172" i="5"/>
  <c r="R172" i="5" s="1"/>
  <c r="S167" i="5"/>
  <c r="D167" i="5"/>
  <c r="U165" i="5"/>
  <c r="S165" i="5"/>
  <c r="R165" i="5"/>
  <c r="Q165" i="5"/>
  <c r="I165" i="5"/>
  <c r="H165" i="5"/>
  <c r="G165" i="5"/>
  <c r="F165" i="5"/>
  <c r="E165" i="5"/>
  <c r="S155" i="5"/>
  <c r="D155" i="5"/>
  <c r="R155" i="5" s="1"/>
  <c r="S150" i="5"/>
  <c r="D150" i="5"/>
  <c r="R150" i="5" s="1"/>
  <c r="S145" i="5"/>
  <c r="D145" i="5"/>
  <c r="R145" i="5" s="1"/>
  <c r="S140" i="5"/>
  <c r="D140" i="5"/>
  <c r="U138" i="5"/>
  <c r="S138" i="5"/>
  <c r="R138" i="5"/>
  <c r="Q138" i="5"/>
  <c r="I138" i="5"/>
  <c r="H138" i="5"/>
  <c r="G138" i="5"/>
  <c r="F138" i="5"/>
  <c r="E138" i="5"/>
  <c r="S128" i="5"/>
  <c r="D128" i="5"/>
  <c r="R128" i="5" s="1"/>
  <c r="S123" i="5"/>
  <c r="D123" i="5"/>
  <c r="R123" i="5" s="1"/>
  <c r="S118" i="5"/>
  <c r="D118" i="5"/>
  <c r="R118" i="5" s="1"/>
  <c r="S113" i="5"/>
  <c r="D113" i="5"/>
  <c r="R113" i="5" s="1"/>
  <c r="S108" i="5"/>
  <c r="D108" i="5"/>
  <c r="R108" i="5" s="1"/>
  <c r="S103" i="5"/>
  <c r="D103" i="5"/>
  <c r="R103" i="5" s="1"/>
  <c r="U101" i="5"/>
  <c r="S101" i="5"/>
  <c r="R101" i="5"/>
  <c r="Q101" i="5"/>
  <c r="I101" i="5"/>
  <c r="H101" i="5"/>
  <c r="G101" i="5"/>
  <c r="F101" i="5"/>
  <c r="E101" i="5"/>
  <c r="S91" i="5"/>
  <c r="D91" i="5"/>
  <c r="R91" i="5" s="1"/>
  <c r="S86" i="5"/>
  <c r="D86" i="5"/>
  <c r="R86" i="5" s="1"/>
  <c r="S81" i="5"/>
  <c r="D81" i="5"/>
  <c r="R81" i="5" s="1"/>
  <c r="S76" i="5"/>
  <c r="D76" i="5"/>
  <c r="N74" i="5"/>
  <c r="S71" i="5" s="1"/>
  <c r="N73" i="5"/>
  <c r="N72" i="5"/>
  <c r="D71" i="5"/>
  <c r="R71" i="5" s="1"/>
  <c r="S66" i="5"/>
  <c r="D66" i="5"/>
  <c r="R66" i="5" s="1"/>
  <c r="S61" i="5"/>
  <c r="D61" i="5"/>
  <c r="R61" i="5" s="1"/>
  <c r="S56" i="5"/>
  <c r="D56" i="5"/>
  <c r="R56" i="5" s="1"/>
  <c r="U54" i="5"/>
  <c r="S54" i="5"/>
  <c r="R54" i="5"/>
  <c r="Q54" i="5"/>
  <c r="I54" i="5"/>
  <c r="H54" i="5"/>
  <c r="G54" i="5"/>
  <c r="F54" i="5"/>
  <c r="E54" i="5"/>
  <c r="D44" i="5"/>
  <c r="R44" i="5" s="1"/>
  <c r="T44" i="5" s="1"/>
  <c r="D39" i="5"/>
  <c r="R39" i="5" s="1"/>
  <c r="T39" i="5" s="1"/>
  <c r="D34" i="5"/>
  <c r="R34" i="5" s="1"/>
  <c r="T34" i="5" s="1"/>
  <c r="U34" i="5" s="1"/>
  <c r="D29" i="5"/>
  <c r="R29" i="5" s="1"/>
  <c r="T29" i="5" s="1"/>
  <c r="D24" i="5"/>
  <c r="R24" i="5" s="1"/>
  <c r="T24" i="5" s="1"/>
  <c r="D19" i="5"/>
  <c r="R19" i="5" s="1"/>
  <c r="T19" i="5" s="1"/>
  <c r="D14" i="5"/>
  <c r="R14" i="5" s="1"/>
  <c r="T14" i="5" s="1"/>
  <c r="G7" i="6" l="1"/>
  <c r="T266" i="5"/>
  <c r="T86" i="5"/>
  <c r="T113" i="5"/>
  <c r="T155" i="5"/>
  <c r="T241" i="5"/>
  <c r="T256" i="5"/>
  <c r="T118" i="5"/>
  <c r="T204" i="5"/>
  <c r="T283" i="5"/>
  <c r="T123" i="5"/>
  <c r="T231" i="5"/>
  <c r="T246" i="5"/>
  <c r="T66" i="5"/>
  <c r="T81" i="5"/>
  <c r="T150" i="5"/>
  <c r="T56" i="5"/>
  <c r="T128" i="5"/>
  <c r="T177" i="5"/>
  <c r="T236" i="5"/>
  <c r="T251" i="5"/>
  <c r="T91" i="5"/>
  <c r="T182" i="5"/>
  <c r="T288" i="5"/>
  <c r="T308" i="5"/>
  <c r="T261" i="5"/>
  <c r="T145" i="5"/>
  <c r="T313" i="5"/>
  <c r="T50" i="5"/>
  <c r="T61" i="5"/>
  <c r="T103" i="5"/>
  <c r="T172" i="5"/>
  <c r="T298" i="5"/>
  <c r="T323" i="5"/>
  <c r="T271" i="5"/>
  <c r="T293" i="5"/>
  <c r="T71" i="5"/>
  <c r="T108" i="5"/>
  <c r="T303" i="5"/>
  <c r="T328" i="5"/>
  <c r="D161" i="5"/>
  <c r="D97" i="5"/>
  <c r="S199" i="5"/>
  <c r="T199" i="5" s="1"/>
  <c r="R140" i="5"/>
  <c r="T140" i="5" s="1"/>
  <c r="D188" i="5"/>
  <c r="D334" i="5"/>
  <c r="R167" i="5"/>
  <c r="T167" i="5" s="1"/>
  <c r="D220" i="5"/>
  <c r="U214" i="5" s="1"/>
  <c r="D277" i="5"/>
  <c r="U226" i="5" s="1"/>
  <c r="R209" i="5"/>
  <c r="T209" i="5" s="1"/>
  <c r="R76" i="5"/>
  <c r="T76" i="5" s="1"/>
  <c r="D134" i="5"/>
  <c r="D50" i="5"/>
  <c r="U19" i="5" s="1"/>
  <c r="J334" i="5" l="1"/>
  <c r="U279" i="5" s="1"/>
  <c r="U194" i="5"/>
  <c r="U150" i="5"/>
  <c r="U76" i="5"/>
  <c r="U118" i="5"/>
  <c r="U204" i="5"/>
  <c r="U66" i="5"/>
  <c r="U261" i="5"/>
  <c r="U81" i="5"/>
  <c r="T334" i="5"/>
  <c r="U91" i="5"/>
  <c r="U251" i="5"/>
  <c r="U24" i="5"/>
  <c r="U14" i="5"/>
  <c r="U231" i="5"/>
  <c r="U155" i="5"/>
  <c r="U177" i="5"/>
  <c r="U209" i="5"/>
  <c r="U61" i="5"/>
  <c r="U56" i="5"/>
  <c r="U271" i="5"/>
  <c r="T161" i="5"/>
  <c r="U140" i="5"/>
  <c r="U167" i="5"/>
  <c r="T188" i="5"/>
  <c r="U145" i="5"/>
  <c r="U39" i="5"/>
  <c r="U256" i="5"/>
  <c r="U108" i="5"/>
  <c r="U236" i="5"/>
  <c r="U172" i="5"/>
  <c r="U241" i="5"/>
  <c r="T277" i="5"/>
  <c r="U71" i="5"/>
  <c r="U103" i="5"/>
  <c r="T134" i="5"/>
  <c r="U44" i="5"/>
  <c r="U113" i="5"/>
  <c r="U29" i="5"/>
  <c r="U128" i="5"/>
  <c r="U266" i="5"/>
  <c r="U288" i="5"/>
  <c r="U86" i="5"/>
  <c r="T97" i="5"/>
  <c r="U123" i="5"/>
  <c r="U246" i="5"/>
  <c r="U182" i="5"/>
  <c r="U199" i="5"/>
  <c r="T220" i="5"/>
  <c r="U313" i="5" l="1"/>
  <c r="U323" i="5"/>
  <c r="U298" i="5"/>
  <c r="U308" i="5"/>
  <c r="U303" i="5"/>
  <c r="U293" i="5"/>
  <c r="U283" i="5"/>
  <c r="U328" i="5"/>
  <c r="U318" i="5"/>
  <c r="U277" i="5"/>
  <c r="Q222" i="5" s="1"/>
  <c r="U97" i="5"/>
  <c r="Q52" i="5" s="1"/>
  <c r="U220" i="5"/>
  <c r="Q190" i="5" s="1"/>
  <c r="U50" i="5"/>
  <c r="U161" i="5"/>
  <c r="Q136" i="5" s="1"/>
  <c r="U134" i="5"/>
  <c r="Q99" i="5" s="1"/>
  <c r="U188" i="5"/>
  <c r="Q163" i="5" s="1"/>
  <c r="Q10" i="5" l="1"/>
  <c r="U334" i="5"/>
  <c r="Q279" i="5" s="1"/>
  <c r="U336" i="5" l="1"/>
  <c r="Y344" i="5"/>
  <c r="Y345" i="5" s="1"/>
  <c r="C7" i="6" l="1"/>
  <c r="C6" i="6" l="1"/>
  <c r="C8" i="6" s="1"/>
  <c r="Q5" i="5" l="1"/>
  <c r="P337" i="5"/>
  <c r="E8" i="6"/>
  <c r="Q6" i="5" l="1"/>
  <c r="Q3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이종일</author>
  </authors>
  <commentList>
    <comment ref="N226" authorId="0" shapeId="0" xr:uid="{D00AD5A0-30EE-42C6-B595-7326481C78DC}">
      <text>
        <r>
          <rPr>
            <b/>
            <sz val="9"/>
            <color indexed="81"/>
            <rFont val="돋움"/>
            <family val="3"/>
            <charset val="129"/>
          </rPr>
          <t>이종일</t>
        </r>
        <r>
          <rPr>
            <b/>
            <sz val="9"/>
            <color indexed="81"/>
            <rFont val="Tahoma"/>
            <family val="2"/>
          </rPr>
          <t>:</t>
        </r>
        <r>
          <rPr>
            <sz val="9"/>
            <color indexed="81"/>
            <rFont val="Tahoma"/>
            <family val="2"/>
          </rPr>
          <t xml:space="preserve">
</t>
        </r>
        <r>
          <rPr>
            <sz val="9"/>
            <color indexed="81"/>
            <rFont val="돋움"/>
            <family val="3"/>
            <charset val="129"/>
          </rPr>
          <t>평점</t>
        </r>
        <r>
          <rPr>
            <sz val="9"/>
            <color indexed="81"/>
            <rFont val="Tahoma"/>
            <family val="2"/>
          </rPr>
          <t xml:space="preserve"> </t>
        </r>
        <r>
          <rPr>
            <sz val="9"/>
            <color indexed="81"/>
            <rFont val="돋움"/>
            <family val="3"/>
            <charset val="129"/>
          </rPr>
          <t>계산하여</t>
        </r>
        <r>
          <rPr>
            <sz val="9"/>
            <color indexed="81"/>
            <rFont val="Tahoma"/>
            <family val="2"/>
          </rPr>
          <t xml:space="preserve"> </t>
        </r>
        <r>
          <rPr>
            <sz val="9"/>
            <color indexed="81"/>
            <rFont val="돋움"/>
            <family val="3"/>
            <charset val="129"/>
          </rPr>
          <t>입력하세요</t>
        </r>
        <r>
          <rPr>
            <sz val="9"/>
            <color indexed="81"/>
            <rFont val="Tahoma"/>
            <family val="2"/>
          </rPr>
          <t>.</t>
        </r>
      </text>
    </comment>
  </commentList>
</comments>
</file>

<file path=xl/sharedStrings.xml><?xml version="1.0" encoding="utf-8"?>
<sst xmlns="http://schemas.openxmlformats.org/spreadsheetml/2006/main" count="1828" uniqueCount="743">
  <si>
    <t>01</t>
    <phoneticPr fontId="2" type="noConversion"/>
  </si>
  <si>
    <t>토지이용 및 교통</t>
    <phoneticPr fontId="2" type="noConversion"/>
  </si>
  <si>
    <t>기존대지의 생태학적 가치</t>
    <phoneticPr fontId="2" type="noConversion"/>
  </si>
  <si>
    <t>배점</t>
    <phoneticPr fontId="2" type="noConversion"/>
  </si>
  <si>
    <t>1급</t>
    <phoneticPr fontId="2" type="noConversion"/>
  </si>
  <si>
    <t>2급</t>
    <phoneticPr fontId="2" type="noConversion"/>
  </si>
  <si>
    <t>3급</t>
    <phoneticPr fontId="2" type="noConversion"/>
  </si>
  <si>
    <t>4급</t>
    <phoneticPr fontId="2" type="noConversion"/>
  </si>
  <si>
    <t>80% 이상</t>
    <phoneticPr fontId="2" type="noConversion"/>
  </si>
  <si>
    <t>70% 이상</t>
    <phoneticPr fontId="2" type="noConversion"/>
  </si>
  <si>
    <t>60% 이상</t>
    <phoneticPr fontId="2" type="noConversion"/>
  </si>
  <si>
    <t>50% 이상</t>
    <phoneticPr fontId="2" type="noConversion"/>
  </si>
  <si>
    <t>평가항목</t>
    <phoneticPr fontId="2" type="noConversion"/>
  </si>
  <si>
    <t>평점</t>
    <phoneticPr fontId="2" type="noConversion"/>
  </si>
  <si>
    <r>
      <rPr>
        <b/>
        <sz val="12"/>
        <color theme="1"/>
        <rFont val="맑은 고딕"/>
        <family val="3"/>
        <charset val="129"/>
        <scheme val="minor"/>
      </rPr>
      <t>80%</t>
    </r>
    <r>
      <rPr>
        <b/>
        <sz val="14"/>
        <color theme="1"/>
        <rFont val="맑은 고딕"/>
        <family val="3"/>
        <charset val="129"/>
        <scheme val="minor"/>
      </rPr>
      <t xml:space="preserve"> </t>
    </r>
    <r>
      <rPr>
        <sz val="10"/>
        <color theme="1"/>
        <rFont val="맑은 고딕"/>
        <family val="3"/>
        <charset val="129"/>
        <scheme val="minor"/>
      </rPr>
      <t>이상</t>
    </r>
    <phoneticPr fontId="2" type="noConversion"/>
  </si>
  <si>
    <r>
      <rPr>
        <b/>
        <sz val="12"/>
        <color theme="1"/>
        <rFont val="맑은 고딕"/>
        <family val="3"/>
        <charset val="129"/>
        <scheme val="minor"/>
      </rPr>
      <t>70%</t>
    </r>
    <r>
      <rPr>
        <b/>
        <sz val="14"/>
        <color theme="1"/>
        <rFont val="맑은 고딕"/>
        <family val="3"/>
        <charset val="129"/>
        <scheme val="minor"/>
      </rPr>
      <t xml:space="preserve"> </t>
    </r>
    <r>
      <rPr>
        <sz val="10"/>
        <color theme="1"/>
        <rFont val="맑은 고딕"/>
        <family val="3"/>
        <charset val="129"/>
        <scheme val="minor"/>
      </rPr>
      <t>이상</t>
    </r>
    <phoneticPr fontId="2" type="noConversion"/>
  </si>
  <si>
    <r>
      <rPr>
        <b/>
        <sz val="12"/>
        <color theme="1"/>
        <rFont val="맑은 고딕"/>
        <family val="3"/>
        <charset val="129"/>
        <scheme val="minor"/>
      </rPr>
      <t>60%</t>
    </r>
    <r>
      <rPr>
        <b/>
        <sz val="14"/>
        <color theme="1"/>
        <rFont val="맑은 고딕"/>
        <family val="3"/>
        <charset val="129"/>
        <scheme val="minor"/>
      </rPr>
      <t xml:space="preserve"> </t>
    </r>
    <r>
      <rPr>
        <sz val="10"/>
        <color theme="1"/>
        <rFont val="맑은 고딕"/>
        <family val="3"/>
        <charset val="129"/>
        <scheme val="minor"/>
      </rPr>
      <t>이상</t>
    </r>
    <phoneticPr fontId="2" type="noConversion"/>
  </si>
  <si>
    <r>
      <rPr>
        <b/>
        <sz val="12"/>
        <color theme="1"/>
        <rFont val="맑은 고딕"/>
        <family val="3"/>
        <charset val="129"/>
        <scheme val="minor"/>
      </rPr>
      <t>50%</t>
    </r>
    <r>
      <rPr>
        <b/>
        <sz val="14"/>
        <color theme="1"/>
        <rFont val="맑은 고딕"/>
        <family val="3"/>
        <charset val="129"/>
        <scheme val="minor"/>
      </rPr>
      <t xml:space="preserve"> </t>
    </r>
    <r>
      <rPr>
        <sz val="10"/>
        <color theme="1"/>
        <rFont val="맑은 고딕"/>
        <family val="3"/>
        <charset val="129"/>
        <scheme val="minor"/>
      </rPr>
      <t>이상</t>
    </r>
    <phoneticPr fontId="2" type="noConversion"/>
  </si>
  <si>
    <t>적용등급</t>
    <phoneticPr fontId="2" type="noConversion"/>
  </si>
  <si>
    <t>취득평점</t>
    <phoneticPr fontId="2" type="noConversion"/>
  </si>
  <si>
    <t>환산점</t>
    <phoneticPr fontId="2" type="noConversion"/>
  </si>
  <si>
    <t>환산점수</t>
    <phoneticPr fontId="2" type="noConversion"/>
  </si>
  <si>
    <t>총 배점</t>
    <phoneticPr fontId="2" type="noConversion"/>
  </si>
  <si>
    <t>/</t>
    <phoneticPr fontId="2" type="noConversion"/>
  </si>
  <si>
    <t>▶</t>
    <phoneticPr fontId="2" type="noConversion"/>
  </si>
  <si>
    <t>CONSULTING</t>
    <phoneticPr fontId="2" type="noConversion"/>
  </si>
  <si>
    <t>기사용 대지 100% 임</t>
    <phoneticPr fontId="2" type="noConversion"/>
  </si>
  <si>
    <t>과도한 지하개발 지양</t>
    <phoneticPr fontId="2" type="noConversion"/>
  </si>
  <si>
    <t>대지면적 대비 지하구조물 설치 비율</t>
    <phoneticPr fontId="2" type="noConversion"/>
  </si>
  <si>
    <t>전체 대지 중 생태학적 가치가 낮은 대지의 면적 비율(ex, 재사용 대지)</t>
    <phoneticPr fontId="2" type="noConversion"/>
  </si>
  <si>
    <r>
      <rPr>
        <b/>
        <sz val="12"/>
        <color theme="1"/>
        <rFont val="맑은 고딕"/>
        <family val="3"/>
        <charset val="129"/>
        <scheme val="minor"/>
      </rPr>
      <t>300%</t>
    </r>
    <r>
      <rPr>
        <b/>
        <sz val="14"/>
        <color theme="1"/>
        <rFont val="맑은 고딕"/>
        <family val="3"/>
        <charset val="129"/>
        <scheme val="minor"/>
      </rPr>
      <t xml:space="preserve"> </t>
    </r>
    <r>
      <rPr>
        <sz val="10"/>
        <color theme="1"/>
        <rFont val="맑은 고딕"/>
        <family val="3"/>
        <charset val="129"/>
        <scheme val="minor"/>
      </rPr>
      <t>미만</t>
    </r>
    <phoneticPr fontId="2" type="noConversion"/>
  </si>
  <si>
    <r>
      <rPr>
        <b/>
        <sz val="12"/>
        <color theme="1"/>
        <rFont val="맑은 고딕"/>
        <family val="3"/>
        <charset val="129"/>
        <scheme val="minor"/>
      </rPr>
      <t>200%</t>
    </r>
    <r>
      <rPr>
        <b/>
        <sz val="14"/>
        <color theme="1"/>
        <rFont val="맑은 고딕"/>
        <family val="3"/>
        <charset val="129"/>
        <scheme val="minor"/>
      </rPr>
      <t xml:space="preserve"> </t>
    </r>
    <r>
      <rPr>
        <sz val="10"/>
        <color theme="1"/>
        <rFont val="맑은 고딕"/>
        <family val="3"/>
        <charset val="129"/>
        <scheme val="minor"/>
      </rPr>
      <t>미만</t>
    </r>
    <phoneticPr fontId="2" type="noConversion"/>
  </si>
  <si>
    <r>
      <rPr>
        <b/>
        <sz val="12"/>
        <color theme="1"/>
        <rFont val="맑은 고딕"/>
        <family val="3"/>
        <charset val="129"/>
        <scheme val="minor"/>
      </rPr>
      <t>400%</t>
    </r>
    <r>
      <rPr>
        <b/>
        <sz val="14"/>
        <color theme="1"/>
        <rFont val="맑은 고딕"/>
        <family val="3"/>
        <charset val="129"/>
        <scheme val="minor"/>
      </rPr>
      <t xml:space="preserve"> </t>
    </r>
    <r>
      <rPr>
        <sz val="10"/>
        <color theme="1"/>
        <rFont val="맑은 고딕"/>
        <family val="3"/>
        <charset val="129"/>
        <scheme val="minor"/>
      </rPr>
      <t>미만</t>
    </r>
    <phoneticPr fontId="2" type="noConversion"/>
  </si>
  <si>
    <r>
      <rPr>
        <b/>
        <sz val="12"/>
        <color theme="1"/>
        <rFont val="맑은 고딕"/>
        <family val="3"/>
        <charset val="129"/>
        <scheme val="minor"/>
      </rPr>
      <t>500%</t>
    </r>
    <r>
      <rPr>
        <b/>
        <sz val="14"/>
        <color theme="1"/>
        <rFont val="맑은 고딕"/>
        <family val="3"/>
        <charset val="129"/>
        <scheme val="minor"/>
      </rPr>
      <t xml:space="preserve"> </t>
    </r>
    <r>
      <rPr>
        <sz val="10"/>
        <color theme="1"/>
        <rFont val="맑은 고딕"/>
        <family val="3"/>
        <charset val="129"/>
        <scheme val="minor"/>
      </rPr>
      <t>미만</t>
    </r>
    <phoneticPr fontId="2" type="noConversion"/>
  </si>
  <si>
    <t>토지 이용 및 교통</t>
    <phoneticPr fontId="2" type="noConversion"/>
  </si>
  <si>
    <t>토공사 절성토량 최소화</t>
    <phoneticPr fontId="2" type="noConversion"/>
  </si>
  <si>
    <t>등급 기준 / 가중치</t>
    <phoneticPr fontId="2" type="noConversion"/>
  </si>
  <si>
    <t>평가 방법</t>
    <phoneticPr fontId="2" type="noConversion"/>
  </si>
  <si>
    <t>생태학적 가치가 낮은 대지 비율
(ex, 재사용 대지)</t>
    <phoneticPr fontId="2" type="noConversion"/>
  </si>
  <si>
    <t>200% 이하</t>
    <phoneticPr fontId="2" type="noConversion"/>
  </si>
  <si>
    <t>300% 이하</t>
    <phoneticPr fontId="2" type="noConversion"/>
  </si>
  <si>
    <t>400% 이하</t>
    <phoneticPr fontId="2" type="noConversion"/>
  </si>
  <si>
    <t>일조권 간섭방지 대책의 타당성</t>
    <phoneticPr fontId="2" type="noConversion"/>
  </si>
  <si>
    <t>최대앙각</t>
    <phoneticPr fontId="2" type="noConversion"/>
  </si>
  <si>
    <t>100% 이하</t>
    <phoneticPr fontId="2" type="noConversion"/>
  </si>
  <si>
    <t>To Do Action</t>
    <phoneticPr fontId="2" type="noConversion"/>
  </si>
  <si>
    <t>대중교통의 근접성</t>
    <phoneticPr fontId="2" type="noConversion"/>
  </si>
  <si>
    <t>가까운 대중교통시설까지의 물리적 도보거리</t>
    <phoneticPr fontId="2" type="noConversion"/>
  </si>
  <si>
    <t>2종 이상, 300m 미만</t>
    <phoneticPr fontId="2" type="noConversion"/>
  </si>
  <si>
    <t>1종, 200m 미만</t>
    <phoneticPr fontId="2" type="noConversion"/>
  </si>
  <si>
    <t>1종, 300m 미만</t>
    <phoneticPr fontId="2" type="noConversion"/>
  </si>
  <si>
    <t>1종, 400m 미만</t>
    <phoneticPr fontId="2" type="noConversion"/>
  </si>
  <si>
    <t>소계</t>
    <phoneticPr fontId="2" type="noConversion"/>
  </si>
  <si>
    <t>02</t>
    <phoneticPr fontId="2" type="noConversion"/>
  </si>
  <si>
    <t>에너지 및 환경오염</t>
    <phoneticPr fontId="2" type="noConversion"/>
  </si>
  <si>
    <t>에너지 성능</t>
    <phoneticPr fontId="2" type="noConversion"/>
  </si>
  <si>
    <t>에너지 모니터링 및 관리지원 장치</t>
    <phoneticPr fontId="2" type="noConversion"/>
  </si>
  <si>
    <t>신재생에너지 이용</t>
    <phoneticPr fontId="2" type="noConversion"/>
  </si>
  <si>
    <t>03</t>
    <phoneticPr fontId="2" type="noConversion"/>
  </si>
  <si>
    <t>재료 및 자원</t>
    <phoneticPr fontId="2" type="noConversion"/>
  </si>
  <si>
    <t>3.1</t>
    <phoneticPr fontId="2" type="noConversion"/>
  </si>
  <si>
    <t>3.2</t>
    <phoneticPr fontId="2" type="noConversion"/>
  </si>
  <si>
    <t>3.3</t>
    <phoneticPr fontId="2" type="noConversion"/>
  </si>
  <si>
    <t>3.4</t>
    <phoneticPr fontId="2" type="noConversion"/>
  </si>
  <si>
    <t>3.5</t>
    <phoneticPr fontId="2" type="noConversion"/>
  </si>
  <si>
    <t>3.6</t>
    <phoneticPr fontId="2" type="noConversion"/>
  </si>
  <si>
    <t>환경성선언 제품(EPD)의 사용</t>
    <phoneticPr fontId="2" type="noConversion"/>
  </si>
  <si>
    <t>저탄소 자재의 사용</t>
    <phoneticPr fontId="2" type="noConversion"/>
  </si>
  <si>
    <t>자원순환 자재의 사용</t>
    <phoneticPr fontId="2" type="noConversion"/>
  </si>
  <si>
    <t>유해물질 저감 자재의 사용</t>
    <phoneticPr fontId="2" type="noConversion"/>
  </si>
  <si>
    <t>녹색건축자재의 적용 비율</t>
    <phoneticPr fontId="2" type="noConversion"/>
  </si>
  <si>
    <t>재활용가능자원의 보관시설 설치</t>
    <phoneticPr fontId="2" type="noConversion"/>
  </si>
  <si>
    <t>04</t>
    <phoneticPr fontId="2" type="noConversion"/>
  </si>
  <si>
    <t>물순환 관리</t>
    <phoneticPr fontId="2" type="noConversion"/>
  </si>
  <si>
    <t>4.1</t>
    <phoneticPr fontId="2" type="noConversion"/>
  </si>
  <si>
    <t>4.2</t>
    <phoneticPr fontId="2" type="noConversion"/>
  </si>
  <si>
    <t>4.3</t>
    <phoneticPr fontId="2" type="noConversion"/>
  </si>
  <si>
    <t>4.4</t>
    <phoneticPr fontId="2" type="noConversion"/>
  </si>
  <si>
    <t>빗물관리</t>
    <phoneticPr fontId="2" type="noConversion"/>
  </si>
  <si>
    <t>빗물 및 유출지하수 이용</t>
    <phoneticPr fontId="2" type="noConversion"/>
  </si>
  <si>
    <t>절수형 기기 사용</t>
    <phoneticPr fontId="2" type="noConversion"/>
  </si>
  <si>
    <t>물 사용량 모니터링</t>
    <phoneticPr fontId="2" type="noConversion"/>
  </si>
  <si>
    <t>05</t>
    <phoneticPr fontId="2" type="noConversion"/>
  </si>
  <si>
    <t>유지관리</t>
    <phoneticPr fontId="2" type="noConversion"/>
  </si>
  <si>
    <t>건설현장의 환경관리 계획</t>
    <phoneticPr fontId="2" type="noConversion"/>
  </si>
  <si>
    <t>운영유지관리 문서 및 매뉴얼 제공</t>
    <phoneticPr fontId="2" type="noConversion"/>
  </si>
  <si>
    <t>5.1</t>
    <phoneticPr fontId="2" type="noConversion"/>
  </si>
  <si>
    <t>5.2</t>
    <phoneticPr fontId="2" type="noConversion"/>
  </si>
  <si>
    <t>5.3</t>
    <phoneticPr fontId="2" type="noConversion"/>
  </si>
  <si>
    <t>5.4</t>
    <phoneticPr fontId="2" type="noConversion"/>
  </si>
  <si>
    <t>녹색건축인증 관련 정보 제공</t>
    <phoneticPr fontId="2" type="noConversion"/>
  </si>
  <si>
    <t>06</t>
    <phoneticPr fontId="2" type="noConversion"/>
  </si>
  <si>
    <t>생태환경</t>
    <phoneticPr fontId="2" type="noConversion"/>
  </si>
  <si>
    <t>6.2</t>
    <phoneticPr fontId="2" type="noConversion"/>
  </si>
  <si>
    <t>6.3</t>
    <phoneticPr fontId="2" type="noConversion"/>
  </si>
  <si>
    <t>자연지반 녹지율</t>
    <phoneticPr fontId="2" type="noConversion"/>
  </si>
  <si>
    <t>생태면적율</t>
    <phoneticPr fontId="2" type="noConversion"/>
  </si>
  <si>
    <t>07</t>
    <phoneticPr fontId="2" type="noConversion"/>
  </si>
  <si>
    <t>실내환경</t>
    <phoneticPr fontId="2" type="noConversion"/>
  </si>
  <si>
    <t>7.1</t>
    <phoneticPr fontId="2" type="noConversion"/>
  </si>
  <si>
    <t>실내공기 오염물질 저방출 제품의 적용</t>
    <phoneticPr fontId="2" type="noConversion"/>
  </si>
  <si>
    <t>7.2</t>
    <phoneticPr fontId="2" type="noConversion"/>
  </si>
  <si>
    <t>자연 환기성능 확보</t>
    <phoneticPr fontId="2" type="noConversion"/>
  </si>
  <si>
    <t>7.3</t>
    <phoneticPr fontId="2" type="noConversion"/>
  </si>
  <si>
    <t>7.4</t>
    <phoneticPr fontId="2" type="noConversion"/>
  </si>
  <si>
    <t>자동온도조절장치 설치 수준</t>
    <phoneticPr fontId="2" type="noConversion"/>
  </si>
  <si>
    <t>7.5</t>
    <phoneticPr fontId="2" type="noConversion"/>
  </si>
  <si>
    <t>7.6</t>
    <phoneticPr fontId="2" type="noConversion"/>
  </si>
  <si>
    <t>7.7</t>
    <phoneticPr fontId="2" type="noConversion"/>
  </si>
  <si>
    <t>7.8</t>
    <phoneticPr fontId="2" type="noConversion"/>
  </si>
  <si>
    <t>교통소음(도로, 철도)에 대한 실내외 소음도</t>
    <phoneticPr fontId="2" type="noConversion"/>
  </si>
  <si>
    <t>7.9</t>
    <phoneticPr fontId="2" type="noConversion"/>
  </si>
  <si>
    <t>ID</t>
    <phoneticPr fontId="2" type="noConversion"/>
  </si>
  <si>
    <t>혁신적인 설계</t>
    <phoneticPr fontId="2" type="noConversion"/>
  </si>
  <si>
    <t>대안적 교통관련 시설의 설치</t>
    <phoneticPr fontId="2" type="noConversion"/>
  </si>
  <si>
    <t>제로에너지건축물</t>
    <phoneticPr fontId="2" type="noConversion"/>
  </si>
  <si>
    <t>건축물 전과정평가 수행</t>
    <phoneticPr fontId="2" type="noConversion"/>
  </si>
  <si>
    <t>기존건축물의 주요구조부 재사용</t>
    <phoneticPr fontId="2" type="noConversion"/>
  </si>
  <si>
    <t>중수도 및 하폐수처리수 재이용</t>
    <phoneticPr fontId="2" type="noConversion"/>
  </si>
  <si>
    <t>녹색건설현장 환경관리 수행</t>
    <phoneticPr fontId="2" type="noConversion"/>
  </si>
  <si>
    <t>표토재활용 비율</t>
    <phoneticPr fontId="2" type="noConversion"/>
  </si>
  <si>
    <t>녹색건축전문가의 설계 참여</t>
    <phoneticPr fontId="2" type="noConversion"/>
  </si>
  <si>
    <t>혁신적인 녹색건축계획 및 설계</t>
    <phoneticPr fontId="2" type="noConversion"/>
  </si>
  <si>
    <t>ID
1</t>
    <phoneticPr fontId="2" type="noConversion"/>
  </si>
  <si>
    <t>ID
2-1</t>
    <phoneticPr fontId="2" type="noConversion"/>
  </si>
  <si>
    <t>ID
3-1</t>
    <phoneticPr fontId="2" type="noConversion"/>
  </si>
  <si>
    <t>ID
3-2</t>
    <phoneticPr fontId="2" type="noConversion"/>
  </si>
  <si>
    <t>ID
4</t>
    <phoneticPr fontId="2" type="noConversion"/>
  </si>
  <si>
    <t>ID
5</t>
    <phoneticPr fontId="2" type="noConversion"/>
  </si>
  <si>
    <t>ID
6</t>
    <phoneticPr fontId="2" type="noConversion"/>
  </si>
  <si>
    <t>ID +</t>
    <phoneticPr fontId="2" type="noConversion"/>
  </si>
  <si>
    <t>COLOR PATCH</t>
    <phoneticPr fontId="2" type="noConversion"/>
  </si>
  <si>
    <t>Consulting</t>
    <phoneticPr fontId="2" type="noConversion"/>
  </si>
  <si>
    <t>진행률</t>
    <phoneticPr fontId="2" type="noConversion"/>
  </si>
  <si>
    <t>P4</t>
    <phoneticPr fontId="2" type="noConversion"/>
  </si>
  <si>
    <t>P1</t>
    <phoneticPr fontId="2" type="noConversion"/>
  </si>
  <si>
    <t>등급</t>
    <phoneticPr fontId="2" type="noConversion"/>
  </si>
  <si>
    <t>지하구조물 설치율(UR)
(대지면적 대비)</t>
    <phoneticPr fontId="2" type="noConversion"/>
  </si>
  <si>
    <t>UR 200% 미만</t>
    <phoneticPr fontId="2" type="noConversion"/>
  </si>
  <si>
    <t>UR 300% 미만</t>
    <phoneticPr fontId="2" type="noConversion"/>
  </si>
  <si>
    <t>UR 400% 미만</t>
    <phoneticPr fontId="2" type="noConversion"/>
  </si>
  <si>
    <t>UR 500% 미만</t>
    <phoneticPr fontId="2" type="noConversion"/>
  </si>
  <si>
    <r>
      <t xml:space="preserve">절성토량 비율
(대지면적 대비)
</t>
    </r>
    <r>
      <rPr>
        <sz val="9"/>
        <color theme="1"/>
        <rFont val="맑은 고딕"/>
        <family val="3"/>
        <charset val="129"/>
      </rPr>
      <t>※기초, 지하부분 등을 위한 터파기와 되메우기는 제외</t>
    </r>
    <phoneticPr fontId="2" type="noConversion"/>
  </si>
  <si>
    <r>
      <t>최대앙각 40</t>
    </r>
    <r>
      <rPr>
        <sz val="10"/>
        <color theme="1"/>
        <rFont val="맑은 고딕"/>
        <family val="3"/>
        <charset val="129"/>
      </rPr>
      <t>° 미만</t>
    </r>
    <phoneticPr fontId="2" type="noConversion"/>
  </si>
  <si>
    <t>최대앙각 45° 미만</t>
    <phoneticPr fontId="2" type="noConversion"/>
  </si>
  <si>
    <t>최대앙각 50° 미만</t>
    <phoneticPr fontId="2" type="noConversion"/>
  </si>
  <si>
    <t>최대앙각 55° 미만</t>
    <phoneticPr fontId="2" type="noConversion"/>
  </si>
  <si>
    <t>2급+통합에너지관리시스템</t>
    <phoneticPr fontId="2" type="noConversion"/>
  </si>
  <si>
    <t>신재생에너지 설치비율
(전체 설비용량(kW) 대비 신재생에너지 설치용량(kW))</t>
    <phoneticPr fontId="2" type="noConversion"/>
  </si>
  <si>
    <t>4점 이상</t>
    <phoneticPr fontId="2" type="noConversion"/>
  </si>
  <si>
    <t>3점</t>
    <phoneticPr fontId="2" type="noConversion"/>
  </si>
  <si>
    <t>2점</t>
    <phoneticPr fontId="2" type="noConversion"/>
  </si>
  <si>
    <t>1점</t>
    <phoneticPr fontId="2" type="noConversion"/>
  </si>
  <si>
    <t>주요건축부재 4종, 10개 이상</t>
    <phoneticPr fontId="2" type="noConversion"/>
  </si>
  <si>
    <t>주요건축부재 3종, 8개 이상</t>
    <phoneticPr fontId="2" type="noConversion"/>
  </si>
  <si>
    <t>주요건축부재 2종, 6개 이상</t>
    <phoneticPr fontId="2" type="noConversion"/>
  </si>
  <si>
    <t>주요건축부재 1종, 4개 이상</t>
    <phoneticPr fontId="2" type="noConversion"/>
  </si>
  <si>
    <t>9개 이상</t>
    <phoneticPr fontId="2" type="noConversion"/>
  </si>
  <si>
    <t>7개 이상</t>
    <phoneticPr fontId="2" type="noConversion"/>
  </si>
  <si>
    <t>5개 이상</t>
    <phoneticPr fontId="2" type="noConversion"/>
  </si>
  <si>
    <t>1개 이상</t>
    <phoneticPr fontId="2" type="noConversion"/>
  </si>
  <si>
    <t>저탄소 자재 사용 개수</t>
    <phoneticPr fontId="2" type="noConversion"/>
  </si>
  <si>
    <t>자원순환 자재 사용 개수</t>
    <phoneticPr fontId="2" type="noConversion"/>
  </si>
  <si>
    <t>25개 이상</t>
    <phoneticPr fontId="2" type="noConversion"/>
  </si>
  <si>
    <t>20개 이상</t>
    <phoneticPr fontId="2" type="noConversion"/>
  </si>
  <si>
    <t>15개 이상</t>
    <phoneticPr fontId="2" type="noConversion"/>
  </si>
  <si>
    <t>유해물질 저감 자재 사용 개수</t>
    <phoneticPr fontId="2" type="noConversion"/>
  </si>
  <si>
    <t>[3.1~3.4 인증항목 투입 자재비]
 / 표준건축공사비</t>
    <phoneticPr fontId="2" type="noConversion"/>
  </si>
  <si>
    <t>10% 이상</t>
    <phoneticPr fontId="2" type="noConversion"/>
  </si>
  <si>
    <t>8% 이상</t>
    <phoneticPr fontId="2" type="noConversion"/>
  </si>
  <si>
    <t>6% 이상</t>
    <phoneticPr fontId="2" type="noConversion"/>
  </si>
  <si>
    <t>4% 이상</t>
    <phoneticPr fontId="2" type="noConversion"/>
  </si>
  <si>
    <r>
      <t xml:space="preserve">재활용 보관시설, 분리수거용기
</t>
    </r>
    <r>
      <rPr>
        <sz val="9"/>
        <color theme="1"/>
        <rFont val="맑은 고딕"/>
        <family val="3"/>
        <charset val="129"/>
      </rPr>
      <t>(※재활용 창고는 벽과 지붕으로 구획되어있어야 하며, 반입 및 반출차량의 접근이 가능해야 함)</t>
    </r>
    <phoneticPr fontId="2" type="noConversion"/>
  </si>
  <si>
    <r>
      <t>빗물관리기법 적용 용량(</t>
    </r>
    <r>
      <rPr>
        <sz val="9"/>
        <color theme="1"/>
        <rFont val="맑은 고딕"/>
        <family val="3"/>
        <charset val="129"/>
      </rPr>
      <t>㎥), 불투수</t>
    </r>
    <r>
      <rPr>
        <sz val="9"/>
        <color theme="1"/>
        <rFont val="맑은 고딕"/>
        <family val="3"/>
        <charset val="129"/>
        <scheme val="minor"/>
      </rPr>
      <t xml:space="preserve">연계면적 비율(%)
</t>
    </r>
    <r>
      <rPr>
        <sz val="9"/>
        <color theme="1"/>
        <rFont val="맑은 고딕"/>
        <family val="3"/>
        <charset val="129"/>
      </rPr>
      <t>※빗물관리면적 = 대지면적-자연지반면적</t>
    </r>
    <phoneticPr fontId="2" type="noConversion"/>
  </si>
  <si>
    <t>건축면적의 3%, 건축면적 100% 연계</t>
    <phoneticPr fontId="2" type="noConversion"/>
  </si>
  <si>
    <r>
      <t>우수저수조 설치용량(</t>
    </r>
    <r>
      <rPr>
        <sz val="9"/>
        <color theme="1"/>
        <rFont val="맑은 고딕"/>
        <family val="3"/>
        <charset val="129"/>
      </rPr>
      <t>㎥) 및 연계면적
※ '물의 재이용 촉진 및 지원에 관한 법률'에 따른 의무시설일 경우, 법적 기준용량보다 5%를 추가하여야 함</t>
    </r>
    <phoneticPr fontId="2" type="noConversion"/>
  </si>
  <si>
    <t>적용점수 합계 6점</t>
    <phoneticPr fontId="2" type="noConversion"/>
  </si>
  <si>
    <t>적용점수 합계 4점</t>
    <phoneticPr fontId="2" type="noConversion"/>
  </si>
  <si>
    <t>적용점수 합계 5점</t>
    <phoneticPr fontId="2" type="noConversion"/>
  </si>
  <si>
    <t>3급+수돗물 관리 프로그램</t>
    <phoneticPr fontId="2" type="noConversion"/>
  </si>
  <si>
    <t>2급+물 소비량 감시, 관리</t>
    <phoneticPr fontId="2" type="noConversion"/>
  </si>
  <si>
    <t>수도계량기, 수돗물 관리 프로그램</t>
    <phoneticPr fontId="2" type="noConversion"/>
  </si>
  <si>
    <t>자전거주차장 설치</t>
    <phoneticPr fontId="2" type="noConversion"/>
  </si>
  <si>
    <r>
      <t>시험</t>
    </r>
    <r>
      <rPr>
        <b/>
        <sz val="10"/>
        <color theme="1"/>
        <rFont val="Tahoma"/>
        <family val="3"/>
        <charset val="1"/>
      </rPr>
      <t>․</t>
    </r>
    <r>
      <rPr>
        <b/>
        <sz val="10"/>
        <color theme="1"/>
        <rFont val="맑은 고딕"/>
        <family val="3"/>
        <charset val="129"/>
        <scheme val="minor"/>
      </rPr>
      <t>조정</t>
    </r>
    <r>
      <rPr>
        <b/>
        <sz val="10"/>
        <color theme="1"/>
        <rFont val="Tahoma"/>
        <family val="3"/>
        <charset val="1"/>
      </rPr>
      <t>․</t>
    </r>
    <r>
      <rPr>
        <b/>
        <sz val="10"/>
        <color theme="1"/>
        <rFont val="맑은 고딕"/>
        <family val="3"/>
        <charset val="129"/>
        <scheme val="minor"/>
      </rPr>
      <t>평가(TAB) 및 커미셔닝 실시</t>
    </r>
    <phoneticPr fontId="2" type="noConversion"/>
  </si>
  <si>
    <t>2.3</t>
    <phoneticPr fontId="2" type="noConversion"/>
  </si>
  <si>
    <t>2.4</t>
    <phoneticPr fontId="2" type="noConversion"/>
  </si>
  <si>
    <t>조명에너지 절약</t>
    <phoneticPr fontId="2" type="noConversion"/>
  </si>
  <si>
    <t>2.5</t>
    <phoneticPr fontId="2" type="noConversion"/>
  </si>
  <si>
    <t>1.5</t>
    <phoneticPr fontId="2" type="noConversion"/>
  </si>
  <si>
    <t>적정 일조권 확보를 위한 배치계획</t>
    <phoneticPr fontId="2" type="noConversion"/>
  </si>
  <si>
    <t>2.6</t>
    <phoneticPr fontId="2" type="noConversion"/>
  </si>
  <si>
    <t>2.7</t>
    <phoneticPr fontId="2" type="noConversion"/>
  </si>
  <si>
    <t>2.8</t>
    <phoneticPr fontId="2" type="noConversion"/>
  </si>
  <si>
    <t>냉방에너지 절감을 위한 일사조절 계획 수립</t>
    <phoneticPr fontId="2" type="noConversion"/>
  </si>
  <si>
    <t>오존층 보호 및 지구온난화 저감</t>
    <phoneticPr fontId="2" type="noConversion"/>
  </si>
  <si>
    <t>저탄소 에너지원 기술의 적용</t>
    <phoneticPr fontId="2" type="noConversion"/>
  </si>
  <si>
    <t>운동장 먼지발생 억제</t>
    <phoneticPr fontId="2" type="noConversion"/>
  </si>
  <si>
    <t>6.1</t>
    <phoneticPr fontId="2" type="noConversion"/>
  </si>
  <si>
    <t>6.4</t>
    <phoneticPr fontId="2" type="noConversion"/>
  </si>
  <si>
    <t>6.5</t>
    <phoneticPr fontId="2" type="noConversion"/>
  </si>
  <si>
    <t>연계된 녹지축 조성</t>
    <phoneticPr fontId="2" type="noConversion"/>
  </si>
  <si>
    <t>비오톱 조성</t>
    <phoneticPr fontId="2" type="noConversion"/>
  </si>
  <si>
    <t>생태학습원 조성</t>
    <phoneticPr fontId="2" type="noConversion"/>
  </si>
  <si>
    <t>CO₂ 모니터링시스템 운영 및 환기량 평가</t>
    <phoneticPr fontId="2" type="noConversion"/>
  </si>
  <si>
    <t>쾌적한 실내환경 조절방식 채택</t>
    <phoneticPr fontId="2" type="noConversion"/>
  </si>
  <si>
    <t>객실 간 경계벽의 차음성능</t>
    <phoneticPr fontId="2" type="noConversion"/>
  </si>
  <si>
    <t>외기 급배기구의 설계</t>
    <phoneticPr fontId="2" type="noConversion"/>
  </si>
  <si>
    <t>직달일광 조절 및 현휘 감소를 위한 차양 설치</t>
    <phoneticPr fontId="2" type="noConversion"/>
  </si>
  <si>
    <t>전용 휴게공간 조성</t>
    <phoneticPr fontId="2" type="noConversion"/>
  </si>
  <si>
    <t>자연채광 성능 확보</t>
    <phoneticPr fontId="2" type="noConversion"/>
  </si>
  <si>
    <t>ID
7</t>
    <phoneticPr fontId="2" type="noConversion"/>
  </si>
  <si>
    <t>7.10</t>
    <phoneticPr fontId="2" type="noConversion"/>
  </si>
  <si>
    <t>제외</t>
    <phoneticPr fontId="2" type="noConversion"/>
  </si>
  <si>
    <t>가중치</t>
    <phoneticPr fontId="2" type="noConversion"/>
  </si>
  <si>
    <t>▶</t>
  </si>
  <si>
    <t>자전거주차장 설치대수,
샤워시설 설치 여부</t>
    <phoneticPr fontId="2" type="noConversion"/>
  </si>
  <si>
    <t>[1,2,3 중 선택]
1. 12 × [0.4 + {(EPI점수 - 70) ÷ 25} × 0.6] 
2. 건축물에너지효율등급인증</t>
    <phoneticPr fontId="2" type="noConversion"/>
  </si>
  <si>
    <t xml:space="preserve">1++등급 </t>
    <phoneticPr fontId="2" type="noConversion"/>
  </si>
  <si>
    <t xml:space="preserve">1+등급  </t>
    <phoneticPr fontId="2" type="noConversion"/>
  </si>
  <si>
    <t xml:space="preserve">1등급     </t>
    <phoneticPr fontId="2" type="noConversion"/>
  </si>
  <si>
    <t xml:space="preserve">2등급     </t>
    <phoneticPr fontId="2" type="noConversion"/>
  </si>
  <si>
    <t>TAB 및 커미셔닝 실시 여부</t>
    <phoneticPr fontId="2" type="noConversion"/>
  </si>
  <si>
    <t>커미셔닝 실시</t>
    <phoneticPr fontId="2" type="noConversion"/>
  </si>
  <si>
    <t>TAB 실시</t>
    <phoneticPr fontId="2" type="noConversion"/>
  </si>
  <si>
    <t>에너지원별 모니터링 및 분석기능</t>
    <phoneticPr fontId="2" type="noConversion"/>
  </si>
  <si>
    <t>4급+사용 용도별 모니터링 및 분석기능</t>
    <phoneticPr fontId="2" type="noConversion"/>
  </si>
  <si>
    <t>3급+실 용도별 모니터링 및 분석기능</t>
    <phoneticPr fontId="2" type="noConversion"/>
  </si>
  <si>
    <t>업무10점/학교9점/판매10점 이상</t>
    <phoneticPr fontId="2" type="noConversion"/>
  </si>
  <si>
    <t>업무8점/학교6점/판매8점 이상</t>
    <phoneticPr fontId="2" type="noConversion"/>
  </si>
  <si>
    <t>업무7점/학교3점/판매7점 이상</t>
    <phoneticPr fontId="2" type="noConversion"/>
  </si>
  <si>
    <t>업무4점/판매4점 이상</t>
    <phoneticPr fontId="2" type="noConversion"/>
  </si>
  <si>
    <t>5% 이상</t>
    <phoneticPr fontId="2" type="noConversion"/>
  </si>
  <si>
    <t>3% 이상</t>
    <phoneticPr fontId="2" type="noConversion"/>
  </si>
  <si>
    <t>2% 이상</t>
    <phoneticPr fontId="2" type="noConversion"/>
  </si>
  <si>
    <t>[아래 항목의 점수 합계]
 - 열병합발전(난방+급탕의 20% 이상) : 2점
 - 지역난방방식 : 2점
 - 지역냉방방식 : 1점
 - 2.3(신재생)항목 4급 이상 : 2점</t>
    <phoneticPr fontId="2" type="noConversion"/>
  </si>
  <si>
    <t>[아래 항목의 점수 합계]
 - 단열재 80% ODP 0, GWP 100 이하 : 1점
 - 냉방기 냉매 ODP 0. GWP 50 이하 : 3점
 - 냉방기 냉매 ODP 0. GWP 750 이하 : 1점</t>
    <phoneticPr fontId="2" type="noConversion"/>
  </si>
  <si>
    <t xml:space="preserve">4점 </t>
    <phoneticPr fontId="2" type="noConversion"/>
  </si>
  <si>
    <t>[아래 항목의 점수 합계]
조명밀도(업무/학교 or 판매)
- 9W/㎡ or 2.25 W/(㎡·100Lux) 이하(9점)
-12 W/㎡ or 3W/(㎡·100Lux) 이하(6점)
-15 W/㎡ or 3.75W/(㎡·100Lux) 이하(3점)
자연채광이용 여부(2점)
실내주차장 조명밀도 2 W/㎡ 이하  or 조명 자동 조절(1점)</t>
    <phoneticPr fontId="2" type="noConversion"/>
  </si>
  <si>
    <t>거실 외피면적당 평균 태양열 취득</t>
    <phoneticPr fontId="2" type="noConversion"/>
  </si>
  <si>
    <t>14W/㎡ 미만</t>
    <phoneticPr fontId="2" type="noConversion"/>
  </si>
  <si>
    <t>19W/㎡ 미만</t>
    <phoneticPr fontId="2" type="noConversion"/>
  </si>
  <si>
    <t>24W/㎡ 미만</t>
    <phoneticPr fontId="2" type="noConversion"/>
  </si>
  <si>
    <t>29W/㎡ 미만</t>
    <phoneticPr fontId="2" type="noConversion"/>
  </si>
  <si>
    <r>
      <t xml:space="preserve">환경성선언 제품(EPD) 사용 개수
</t>
    </r>
    <r>
      <rPr>
        <sz val="9"/>
        <color theme="1"/>
        <rFont val="맑은 고딕"/>
        <family val="3"/>
        <charset val="129"/>
      </rPr>
      <t>※ 주요 건축 부재에 사용(구조체, 외벽, 내벽, 지붕, 천장, ,바닥, 창호)</t>
    </r>
    <phoneticPr fontId="2" type="noConversion"/>
  </si>
  <si>
    <t>수도꼭지(1점)  샤워헤드(1점) 
양변기(1점)  소변기(1점)
무수소변기 10% 이상(1점)
층별감압밸브,0.245MPa(1점)
물사용절감율10% 이상(1점) 
물사용절감율 20% 이상(2점)</t>
    <phoneticPr fontId="2" type="noConversion"/>
  </si>
  <si>
    <t>적용점수 합계 7점 이상</t>
    <phoneticPr fontId="2" type="noConversion"/>
  </si>
  <si>
    <t>시공사 및 현장의 환경관리계획</t>
    <phoneticPr fontId="2" type="noConversion"/>
  </si>
  <si>
    <t>환경관리 담당조직, 환경관리 시행</t>
    <phoneticPr fontId="2" type="noConversion"/>
  </si>
  <si>
    <t>운영관리 도서 및 매뉴얼 제공</t>
    <phoneticPr fontId="2" type="noConversion"/>
  </si>
  <si>
    <t>필수도서+매뉴얼 8개 항목</t>
    <phoneticPr fontId="2" type="noConversion"/>
  </si>
  <si>
    <t>필수도서+매뉴얼 7개 항목</t>
    <phoneticPr fontId="2" type="noConversion"/>
  </si>
  <si>
    <t>필수도서+매뉴얼 6개 항목</t>
    <phoneticPr fontId="2" type="noConversion"/>
  </si>
  <si>
    <t>필수도서+매뉴얼 1~5개 항목</t>
    <phoneticPr fontId="2" type="noConversion"/>
  </si>
  <si>
    <t>운동장 먼지 발생 저감공법</t>
    <phoneticPr fontId="2" type="noConversion"/>
  </si>
  <si>
    <t>운동장 스프링클러 설치</t>
    <phoneticPr fontId="2" type="noConversion"/>
  </si>
  <si>
    <t>3급+먼지발생 적은 포장재 or 먼지억제제 시공</t>
    <phoneticPr fontId="2" type="noConversion"/>
  </si>
  <si>
    <t>녹색건축인증 관련 정보 소유주체에게 제공 여부</t>
    <phoneticPr fontId="2" type="noConversion"/>
  </si>
  <si>
    <t>녹색건축 인증 명판 부착</t>
    <phoneticPr fontId="2" type="noConversion"/>
  </si>
  <si>
    <t>녹지축 비율 50% 이상 or 2점</t>
    <phoneticPr fontId="2" type="noConversion"/>
  </si>
  <si>
    <t>녹지축 비율 40% 이상 or 1.6점</t>
    <phoneticPr fontId="2" type="noConversion"/>
  </si>
  <si>
    <t>녹지축 비율 30% 이상 or 1.2점</t>
    <phoneticPr fontId="2" type="noConversion"/>
  </si>
  <si>
    <t>녹지축 비율 20% 이상 or 1.0점</t>
    <phoneticPr fontId="2" type="noConversion"/>
  </si>
  <si>
    <t>[1,2 중 선택]
1. 대지 내부 녹지축 길이 비율
2. 내부 녹지축 및 외부 녹지 연결(1)과 2)의 점수 합계로 평가)
1) 연결폭 : 8m (1점) 6m(.0.8점) 4m(0.6점)
2) 내부녹지축길이비율 : 25%이상(1점) 20%이상(0.8점) 15%(0.6점) 10%(0.4점)</t>
    <phoneticPr fontId="2" type="noConversion"/>
  </si>
  <si>
    <t>생태면적률</t>
    <phoneticPr fontId="2" type="noConversion"/>
  </si>
  <si>
    <t>4급 + 최소면적 1.5배 이상</t>
    <phoneticPr fontId="2" type="noConversion"/>
  </si>
  <si>
    <t>수생 및 육생비오톱 조성</t>
    <phoneticPr fontId="2" type="noConversion"/>
  </si>
  <si>
    <t>2급 + 최소면적 1.5배 이상</t>
    <phoneticPr fontId="2" type="noConversion"/>
  </si>
  <si>
    <t>비오톱1종 조성</t>
    <phoneticPr fontId="2" type="noConversion"/>
  </si>
  <si>
    <t>수생 및 육생비오톱 조성
(육생 및 수생 조성시 각각 공통항목 2개+적용항목 5개 이상 적용 필요)
육생비오톱 최소면적 100㎡
수생비오톱 최소면적 50㎡</t>
    <phoneticPr fontId="2" type="noConversion"/>
  </si>
  <si>
    <t>50㎡ 이상 생태학습원 조성</t>
    <phoneticPr fontId="2" type="noConversion"/>
  </si>
  <si>
    <t>30㎡ 이상 생태학습원 조성</t>
    <phoneticPr fontId="2" type="noConversion"/>
  </si>
  <si>
    <t>개폐가능창 면적비율 2% 이상</t>
    <phoneticPr fontId="2" type="noConversion"/>
  </si>
  <si>
    <t>개폐가능창 면적비율 8% 이상</t>
    <phoneticPr fontId="2" type="noConversion"/>
  </si>
  <si>
    <t>개폐가능창 면적비율 6% 이상</t>
    <phoneticPr fontId="2" type="noConversion"/>
  </si>
  <si>
    <t>개폐가능창 면적비율 4% 이상</t>
    <phoneticPr fontId="2" type="noConversion"/>
  </si>
  <si>
    <t>지상층거실/객실/교실 바닥면적 대비 개폐가능한 창의 유효면적 비율</t>
    <phoneticPr fontId="2" type="noConversion"/>
  </si>
  <si>
    <t>[아래 항목의 점수 합계]
 - 급기구와 외부도로 직선거리 10m 이상 이격 : 1점
 - 급기구와 배기구를 직선거리 10m 이상 이격 : 1점
 - 설계풍량의 30% 이상 신선 외기 공급 : 1점</t>
    <phoneticPr fontId="2" type="noConversion"/>
  </si>
  <si>
    <t>2점 이상</t>
    <phoneticPr fontId="2" type="noConversion"/>
  </si>
  <si>
    <t>1.7점</t>
    <phoneticPr fontId="2" type="noConversion"/>
  </si>
  <si>
    <t>0.7점</t>
    <phoneticPr fontId="2" type="noConversion"/>
  </si>
  <si>
    <t>100% 이상</t>
    <phoneticPr fontId="2" type="noConversion"/>
  </si>
  <si>
    <t>40% 이상</t>
    <phoneticPr fontId="2" type="noConversion"/>
  </si>
  <si>
    <t>실내환경 2종 직접 조절</t>
    <phoneticPr fontId="2" type="noConversion"/>
  </si>
  <si>
    <t>실내환경 1종 직접 조절</t>
    <phoneticPr fontId="2" type="noConversion"/>
  </si>
  <si>
    <t>[아래 1과 2의 점수 합계]
1. 매장 내 CO₂ 모니터링 시스템
 - 상시 감시/제어 중앙 시스템 운영 + 매장 내 디스플레이 설치 : 1점
 - 감시/제어 시스템 운영 : 0.7점
2. 매장 내 환기성능
 - 600ppm 이하 : 1점 
 - 800ppm 이하 : 0.7점</t>
    <phoneticPr fontId="2" type="noConversion"/>
  </si>
  <si>
    <t>Rw+C 48db 이상</t>
    <phoneticPr fontId="2" type="noConversion"/>
  </si>
  <si>
    <t>Rw+C 53db 이상</t>
    <phoneticPr fontId="2" type="noConversion"/>
  </si>
  <si>
    <t>Rw+C 58dB 이상</t>
    <phoneticPr fontId="2" type="noConversion"/>
  </si>
  <si>
    <t>Rw+C 63dB 이상 or 객실경계벽 공유 없음</t>
    <phoneticPr fontId="2" type="noConversion"/>
  </si>
  <si>
    <t>[1,2 중 선택]
1. 객실 간 경계벽의 공기전달음 차단성능 Rw+C
2. 객실 간 경계벽 두께(구조에 따라 기준이 다름)</t>
    <phoneticPr fontId="2" type="noConversion"/>
  </si>
  <si>
    <t>LAeq 30dB 미만</t>
    <phoneticPr fontId="2" type="noConversion"/>
  </si>
  <si>
    <t>LAeq 35dB 미만</t>
    <phoneticPr fontId="2" type="noConversion"/>
  </si>
  <si>
    <t>LAeq 40dB 미만</t>
    <phoneticPr fontId="2" type="noConversion"/>
  </si>
  <si>
    <t>LAeq 45dB 미만</t>
    <phoneticPr fontId="2" type="noConversion"/>
  </si>
  <si>
    <t>교통소음에 대한
실내외 소음도 LAeq (dB(A))</t>
    <phoneticPr fontId="2" type="noConversion"/>
  </si>
  <si>
    <t>차양 설치 여부</t>
    <phoneticPr fontId="2" type="noConversion"/>
  </si>
  <si>
    <t>일반교실의 50% 이상 차양 설치</t>
    <phoneticPr fontId="2" type="noConversion"/>
  </si>
  <si>
    <t>일반교실의 40% 이상 차양 설치</t>
    <phoneticPr fontId="2" type="noConversion"/>
  </si>
  <si>
    <t>일반교실의 30% 이상 차양 설치</t>
    <phoneticPr fontId="2" type="noConversion"/>
  </si>
  <si>
    <t>일반교실의 20% 이상 차양 설치</t>
    <phoneticPr fontId="2" type="noConversion"/>
  </si>
  <si>
    <t>전용 휴게공간 조성
 - 실별 조명 제어, 냉난방, 환기설비(또는 개폐가능한 창) 포함
 - 1개소 15㎡ 이상, 해당 용도의 연면적 10,000㎡ 이상은 2개소 설치
식재공간(or 수공간) 조성
 - 1개소 15㎡ 이상, 토심 30cm 이상, 급배수 설비 포함</t>
    <phoneticPr fontId="2" type="noConversion"/>
  </si>
  <si>
    <t>4점</t>
    <phoneticPr fontId="2" type="noConversion"/>
  </si>
  <si>
    <t>제로에너지건축물 인증</t>
    <phoneticPr fontId="2" type="noConversion"/>
  </si>
  <si>
    <t>1등급</t>
    <phoneticPr fontId="2" type="noConversion"/>
  </si>
  <si>
    <t>2등급</t>
    <phoneticPr fontId="2" type="noConversion"/>
  </si>
  <si>
    <t>3등급</t>
    <phoneticPr fontId="2" type="noConversion"/>
  </si>
  <si>
    <t>4등급</t>
    <phoneticPr fontId="2" type="noConversion"/>
  </si>
  <si>
    <t>5등금</t>
    <phoneticPr fontId="2" type="noConversion"/>
  </si>
  <si>
    <t>5급</t>
    <phoneticPr fontId="2" type="noConversion"/>
  </si>
  <si>
    <t>건축물 전과정평가(LAC) 수행</t>
    <phoneticPr fontId="2" type="noConversion"/>
  </si>
  <si>
    <t>전과정평가(LCA) 수행 + 제3자 검증</t>
    <phoneticPr fontId="2" type="noConversion"/>
  </si>
  <si>
    <t>개략 전과정평가 수행 + 제3자 검증</t>
    <phoneticPr fontId="2" type="noConversion"/>
  </si>
  <si>
    <t>주요구조부의 재사용률</t>
    <phoneticPr fontId="2" type="noConversion"/>
  </si>
  <si>
    <t>60% 이상 재사용</t>
    <phoneticPr fontId="2" type="noConversion"/>
  </si>
  <si>
    <t>50% 이상 재사용</t>
    <phoneticPr fontId="2" type="noConversion"/>
  </si>
  <si>
    <t>40% 이상 재사용</t>
    <phoneticPr fontId="2" type="noConversion"/>
  </si>
  <si>
    <t>30% 이상 재사용</t>
    <phoneticPr fontId="2" type="noConversion"/>
  </si>
  <si>
    <t>중수 사용률</t>
    <phoneticPr fontId="2" type="noConversion"/>
  </si>
  <si>
    <t>모든 항목 수행</t>
    <phoneticPr fontId="2" type="noConversion"/>
  </si>
  <si>
    <t>(5),(6),(7) 항목 수행</t>
    <phoneticPr fontId="2" type="noConversion"/>
  </si>
  <si>
    <t>3급 + (1),(2),(3) 항목 중 1개 수행</t>
    <phoneticPr fontId="2" type="noConversion"/>
  </si>
  <si>
    <t>4급 + (4) 항목 수행</t>
    <phoneticPr fontId="2" type="noConversion"/>
  </si>
  <si>
    <t>건설현장 환경관리 수행
(수행 항목 (1)~(7) 별도 기준)</t>
    <phoneticPr fontId="2" type="noConversion"/>
  </si>
  <si>
    <t>표토재활용 비율 V</t>
    <phoneticPr fontId="2" type="noConversion"/>
  </si>
  <si>
    <t>V 40% 이상</t>
    <phoneticPr fontId="2" type="noConversion"/>
  </si>
  <si>
    <t>V 30% 이상</t>
    <phoneticPr fontId="2" type="noConversion"/>
  </si>
  <si>
    <t>V 20% 이상</t>
    <phoneticPr fontId="2" type="noConversion"/>
  </si>
  <si>
    <t>V 10% 이상</t>
    <phoneticPr fontId="2" type="noConversion"/>
  </si>
  <si>
    <t>평균 주광률 및 균제도</t>
    <phoneticPr fontId="2" type="noConversion"/>
  </si>
  <si>
    <t>평균 주광률 2.0% 이상 + 균제도 0.3 이상</t>
    <phoneticPr fontId="2" type="noConversion"/>
  </si>
  <si>
    <t>평균 주광률 2.0% 이상</t>
    <phoneticPr fontId="2" type="noConversion"/>
  </si>
  <si>
    <t>평균 주광률 1.5% 이상</t>
    <phoneticPr fontId="2" type="noConversion"/>
  </si>
  <si>
    <t>평균 주광률 1.0% 이상</t>
    <phoneticPr fontId="2" type="noConversion"/>
  </si>
  <si>
    <t>녹색건축인증전문가 설계 참여</t>
    <phoneticPr fontId="2" type="noConversion"/>
  </si>
  <si>
    <t>혁신적인 녹색건축 심의 결과</t>
    <phoneticPr fontId="2" type="noConversion"/>
  </si>
  <si>
    <t>90점 이상</t>
    <phoneticPr fontId="2" type="noConversion"/>
  </si>
  <si>
    <t>80점 이상</t>
    <phoneticPr fontId="2" type="noConversion"/>
  </si>
  <si>
    <t>60점 이상</t>
    <phoneticPr fontId="2" type="noConversion"/>
  </si>
  <si>
    <t>-</t>
    <phoneticPr fontId="2" type="noConversion"/>
  </si>
  <si>
    <t>데이터유효성 검사용입니다. 삭제하지 마세요</t>
    <phoneticPr fontId="2" type="noConversion"/>
  </si>
  <si>
    <t>총점</t>
    <phoneticPr fontId="2" type="noConversion"/>
  </si>
  <si>
    <t>최우수</t>
    <phoneticPr fontId="2" type="noConversion"/>
  </si>
  <si>
    <t>우수</t>
    <phoneticPr fontId="2" type="noConversion"/>
  </si>
  <si>
    <t>우량</t>
    <phoneticPr fontId="2" type="noConversion"/>
  </si>
  <si>
    <t>일반</t>
    <phoneticPr fontId="2" type="noConversion"/>
  </si>
  <si>
    <t>등급 산출용</t>
    <phoneticPr fontId="2" type="noConversion"/>
  </si>
  <si>
    <t>자동온도조절장치 설치 비율
 - 비주거용 : 냉난방 간감면적 200㎡ 당
 - 숙박/학교 : 객실/일반교실 당</t>
    <phoneticPr fontId="2" type="noConversion"/>
  </si>
  <si>
    <t>해당사항 없음</t>
    <phoneticPr fontId="2" type="noConversion"/>
  </si>
  <si>
    <t>업무공간의 30% 이상에서 실내환경(온도, 환기, 풍량, 조명)의 조절 가능 여부 
 (개별제어 20㎡ 당)</t>
    <phoneticPr fontId="2" type="noConversion"/>
  </si>
  <si>
    <t>냉난방 공간 바닥면적 200㎡ 당 자동온도조절장치 1unit 설치 권장</t>
    <phoneticPr fontId="2" type="noConversion"/>
  </si>
  <si>
    <t>복합건축물 총점</t>
    <phoneticPr fontId="2" type="noConversion"/>
  </si>
  <si>
    <t>업무시설</t>
    <phoneticPr fontId="2" type="noConversion"/>
  </si>
  <si>
    <t>용도</t>
    <phoneticPr fontId="2" type="noConversion"/>
  </si>
  <si>
    <t>바닥면적</t>
    <phoneticPr fontId="2" type="noConversion"/>
  </si>
  <si>
    <t>일반건축물</t>
    <phoneticPr fontId="2" type="noConversion"/>
  </si>
  <si>
    <t>총 바닥면적</t>
    <phoneticPr fontId="2" type="noConversion"/>
  </si>
  <si>
    <t>복합건축물 총점 =</t>
    <phoneticPr fontId="2" type="noConversion"/>
  </si>
  <si>
    <t>∑(용도별 총점 ×용도별 바닥면적)</t>
    <phoneticPr fontId="2" type="noConversion"/>
  </si>
  <si>
    <t>대상건축물의 바닥면적의 합</t>
    <phoneticPr fontId="2" type="noConversion"/>
  </si>
  <si>
    <t>근린생활시설 면적을 20% 미만으로 설계할 경우 단일 용도로 평가 가능</t>
    <phoneticPr fontId="2" type="noConversion"/>
  </si>
  <si>
    <t>법정주차대수 30% + 샤워시설</t>
    <phoneticPr fontId="2" type="noConversion"/>
  </si>
  <si>
    <t>법정주차대수 20% + 샤워시설</t>
    <phoneticPr fontId="2" type="noConversion"/>
  </si>
  <si>
    <t xml:space="preserve">법정주차대수 20% </t>
    <phoneticPr fontId="2" type="noConversion"/>
  </si>
  <si>
    <t>법정주차대수 15%</t>
    <phoneticPr fontId="2" type="noConversion"/>
  </si>
  <si>
    <t>2급</t>
  </si>
  <si>
    <t>&lt;최종마감재&gt;
벽체(2점)/천장(1점)/바닥(2점)
&lt;접착제&gt;
벽체(1점)/천장(1점)/바닥(2점)
&lt;내장재&gt;
벽체(1점)/천장(1점)/바닥(1점)</t>
    <phoneticPr fontId="2" type="noConversion"/>
  </si>
  <si>
    <t>평점
계산</t>
  </si>
  <si>
    <t>설계풍량의 30% 이상 신선 외기 공급 권장
 - 전열교환기 설치 필요
 - 실별로 급기구 및 배기구 필요</t>
    <phoneticPr fontId="2" type="noConversion"/>
  </si>
  <si>
    <t xml:space="preserve"> 평점 = 각 적용 층의 점수의 합 / (층수 × 4) = </t>
    <phoneticPr fontId="2" type="noConversion"/>
  </si>
  <si>
    <t>근린생활시설 내 전용휴게공간 15㎡ 이상 계획 권장
 - 실별 조명 제어, 냉난방, 환기설비(또는 개폐가능한 창) 포함</t>
    <phoneticPr fontId="2" type="noConversion"/>
  </si>
  <si>
    <t>3급</t>
  </si>
  <si>
    <t>냉난방공간의 모드 실내마감자재를 친환경 자재로 적용
 - 최소 1.2점 이상 적용 필수</t>
    <phoneticPr fontId="2" type="noConversion"/>
  </si>
  <si>
    <t>G-SEED ver.2016-6</t>
    <phoneticPr fontId="2" type="noConversion"/>
  </si>
  <si>
    <t>예비인증</t>
    <phoneticPr fontId="2" type="noConversion"/>
  </si>
  <si>
    <t>운동장 천연잔디</t>
  </si>
  <si>
    <t>To Do Action 진행률</t>
    <phoneticPr fontId="2" type="noConversion"/>
  </si>
  <si>
    <t>P2</t>
  </si>
  <si>
    <t>P2</t>
    <phoneticPr fontId="2" type="noConversion"/>
  </si>
  <si>
    <t>P3</t>
    <phoneticPr fontId="2" type="noConversion"/>
  </si>
  <si>
    <t>친환경-121</t>
  </si>
  <si>
    <t>건축-A711</t>
  </si>
  <si>
    <t>기계-A731</t>
  </si>
  <si>
    <t>기계-A732</t>
  </si>
  <si>
    <t>기계-A751</t>
  </si>
  <si>
    <t>친환경-A751</t>
  </si>
  <si>
    <t>건축-A7101</t>
  </si>
  <si>
    <t>친환경-B111</t>
    <phoneticPr fontId="2" type="noConversion"/>
  </si>
  <si>
    <t>토목-B131</t>
    <phoneticPr fontId="2" type="noConversion"/>
  </si>
  <si>
    <t>친환경-B161</t>
    <phoneticPr fontId="2" type="noConversion"/>
  </si>
  <si>
    <t>건축-B171</t>
    <phoneticPr fontId="2" type="noConversion"/>
  </si>
  <si>
    <t>친환경-B211</t>
    <phoneticPr fontId="2" type="noConversion"/>
  </si>
  <si>
    <t>전기-B231</t>
    <phoneticPr fontId="2" type="noConversion"/>
  </si>
  <si>
    <t>친환경-B251</t>
    <phoneticPr fontId="2" type="noConversion"/>
  </si>
  <si>
    <t>건축-B251</t>
    <phoneticPr fontId="2" type="noConversion"/>
  </si>
  <si>
    <t>전기-B251</t>
    <phoneticPr fontId="2" type="noConversion"/>
  </si>
  <si>
    <t>기계-B251</t>
    <phoneticPr fontId="2" type="noConversion"/>
  </si>
  <si>
    <t>건축-B271</t>
    <phoneticPr fontId="2" type="noConversion"/>
  </si>
  <si>
    <t>건축-B311</t>
    <phoneticPr fontId="2" type="noConversion"/>
  </si>
  <si>
    <t>친환경-B311</t>
    <phoneticPr fontId="2" type="noConversion"/>
  </si>
  <si>
    <t>건축-B321</t>
    <phoneticPr fontId="2" type="noConversion"/>
  </si>
  <si>
    <t>친환경-B321</t>
    <phoneticPr fontId="2" type="noConversion"/>
  </si>
  <si>
    <t>건축-B331</t>
    <phoneticPr fontId="2" type="noConversion"/>
  </si>
  <si>
    <t>친환경-B331</t>
    <phoneticPr fontId="2" type="noConversion"/>
  </si>
  <si>
    <t>건축-B341</t>
    <phoneticPr fontId="2" type="noConversion"/>
  </si>
  <si>
    <t>친환경-B341</t>
    <phoneticPr fontId="2" type="noConversion"/>
  </si>
  <si>
    <t>건축-B361</t>
    <phoneticPr fontId="2" type="noConversion"/>
  </si>
  <si>
    <t>조경-B411</t>
    <phoneticPr fontId="2" type="noConversion"/>
  </si>
  <si>
    <t>조경-B412</t>
    <phoneticPr fontId="2" type="noConversion"/>
  </si>
  <si>
    <t>토목-B411</t>
    <phoneticPr fontId="2" type="noConversion"/>
  </si>
  <si>
    <t>기계-B421</t>
    <phoneticPr fontId="2" type="noConversion"/>
  </si>
  <si>
    <t>기계-B422</t>
    <phoneticPr fontId="2" type="noConversion"/>
  </si>
  <si>
    <t>기계-B433</t>
    <phoneticPr fontId="2" type="noConversion"/>
  </si>
  <si>
    <t>기계-B434</t>
    <phoneticPr fontId="2" type="noConversion"/>
  </si>
  <si>
    <t>기계-B444</t>
    <phoneticPr fontId="2" type="noConversion"/>
  </si>
  <si>
    <t>친환경-B511</t>
    <phoneticPr fontId="2" type="noConversion"/>
  </si>
  <si>
    <t>친환경-B521</t>
    <phoneticPr fontId="2" type="noConversion"/>
  </si>
  <si>
    <t>친환경-B541</t>
    <phoneticPr fontId="2" type="noConversion"/>
  </si>
  <si>
    <t>건축-121</t>
  </si>
  <si>
    <t>건축-B711</t>
    <phoneticPr fontId="2" type="noConversion"/>
  </si>
  <si>
    <t>기계-B731</t>
    <phoneticPr fontId="2" type="noConversion"/>
  </si>
  <si>
    <t>기계-B732</t>
    <phoneticPr fontId="2" type="noConversion"/>
  </si>
  <si>
    <t>기계-B751</t>
    <phoneticPr fontId="2" type="noConversion"/>
  </si>
  <si>
    <t>친환경-B751</t>
    <phoneticPr fontId="2" type="noConversion"/>
  </si>
  <si>
    <t>건축-B7101</t>
    <phoneticPr fontId="2" type="noConversion"/>
  </si>
  <si>
    <t>컨설팅 진행률</t>
    <phoneticPr fontId="2" type="noConversion"/>
  </si>
  <si>
    <t>4종 분리수거 2개소 이상</t>
    <phoneticPr fontId="2" type="noConversion"/>
  </si>
  <si>
    <t>신축 비주거-일반건축물</t>
  </si>
  <si>
    <t>신축 비주거-일반건축물</t>
    <phoneticPr fontId="2" type="noConversion"/>
  </si>
  <si>
    <t>신축 비주거-업무용건축물</t>
    <phoneticPr fontId="2" type="noConversion"/>
  </si>
  <si>
    <t>신축 비주거-학교</t>
    <phoneticPr fontId="2" type="noConversion"/>
  </si>
  <si>
    <t>신축 비주거-판매시설</t>
    <phoneticPr fontId="2" type="noConversion"/>
  </si>
  <si>
    <t>신축 비주거-숙박시설</t>
    <phoneticPr fontId="2" type="noConversion"/>
  </si>
  <si>
    <t>빗물관리면적x0.03, 연계면적 80%</t>
    <phoneticPr fontId="2" type="noConversion"/>
  </si>
  <si>
    <t>빗물관리면적x0.02, 연계면적 80%</t>
    <phoneticPr fontId="2" type="noConversion"/>
  </si>
  <si>
    <t>빗물관리면적x0.01, 연계면적 50%</t>
    <phoneticPr fontId="2" type="noConversion"/>
  </si>
  <si>
    <t>빗물관리면적x0.005, 연계면적 50%</t>
    <phoneticPr fontId="2" type="noConversion"/>
  </si>
  <si>
    <t>건축면적의 2%, 건축면적 67% 연계</t>
    <phoneticPr fontId="2" type="noConversion"/>
  </si>
  <si>
    <t>건축면적의 1%, 건축면적 34% 연계</t>
    <phoneticPr fontId="2" type="noConversion"/>
  </si>
  <si>
    <t>건축면적의 0.5%, 건축면적 17% 연계</t>
    <phoneticPr fontId="2" type="noConversion"/>
  </si>
  <si>
    <t>4급+물사용량 디스플레이(ex,로비)</t>
    <phoneticPr fontId="2" type="noConversion"/>
  </si>
  <si>
    <t>환경표지인증 수도계량기</t>
    <phoneticPr fontId="2" type="noConversion"/>
  </si>
  <si>
    <t>ISO 14001 보유</t>
    <phoneticPr fontId="2" type="noConversion"/>
  </si>
  <si>
    <t>현장 환경관리+담당조직+환경관리</t>
    <phoneticPr fontId="2" type="noConversion"/>
  </si>
  <si>
    <t>사내운영지침+담당 조직+환경관리</t>
    <phoneticPr fontId="2" type="noConversion"/>
  </si>
  <si>
    <t>3급+인증서 및 배점표 게시(3개월)</t>
    <phoneticPr fontId="2" type="noConversion"/>
  </si>
  <si>
    <t>4급+인증서 및 배점표 소유주체 제공</t>
    <phoneticPr fontId="2" type="noConversion"/>
  </si>
  <si>
    <t>전용 휴게공간 or 식재공간(or 수공간)</t>
    <phoneticPr fontId="2" type="noConversion"/>
  </si>
  <si>
    <t>전용 휴게공간 + 식재공간(or 수공간)</t>
    <phoneticPr fontId="2" type="noConversion"/>
  </si>
  <si>
    <t>2급+인증 제출서류 소유주체 제공</t>
    <phoneticPr fontId="2" type="noConversion"/>
  </si>
  <si>
    <t>복합건축물 전체 총점</t>
    <phoneticPr fontId="2" type="noConversion"/>
  </si>
  <si>
    <t xml:space="preserve">일반등급(그린4등급) </t>
    <phoneticPr fontId="2" type="noConversion"/>
  </si>
  <si>
    <t>우량등급(그린3등급)</t>
    <phoneticPr fontId="2" type="noConversion"/>
  </si>
  <si>
    <t>우수등급(그린2등급)</t>
    <phoneticPr fontId="2" type="noConversion"/>
  </si>
  <si>
    <t>최우수등급(그린1등급)</t>
    <phoneticPr fontId="2" type="noConversion"/>
  </si>
  <si>
    <t>복합건축물 평가 중 '일반건축물(근린생활시설)' 부분 총점</t>
    <phoneticPr fontId="2" type="noConversion"/>
  </si>
  <si>
    <t>CONSULTING PROGRESS</t>
    <phoneticPr fontId="2" type="noConversion"/>
  </si>
  <si>
    <t>G-SEED CONSULTING</t>
    <phoneticPr fontId="2" type="noConversion"/>
  </si>
  <si>
    <t>조경-B172</t>
    <phoneticPr fontId="2" type="noConversion"/>
  </si>
  <si>
    <t>4급+재활용창고 10+2㎡/1000㎡</t>
    <phoneticPr fontId="2" type="noConversion"/>
  </si>
  <si>
    <r>
      <t>4급+재활용창고 10+1.5㎡/1000</t>
    </r>
    <r>
      <rPr>
        <sz val="10"/>
        <color theme="1"/>
        <rFont val="맑은 고딕"/>
        <family val="3"/>
        <charset val="129"/>
      </rPr>
      <t>㎡</t>
    </r>
    <phoneticPr fontId="2" type="noConversion"/>
  </si>
  <si>
    <t>4급+재활용창고 10+1㎡/1000㎡</t>
    <phoneticPr fontId="2" type="noConversion"/>
  </si>
  <si>
    <t>전기-B444</t>
    <phoneticPr fontId="2" type="noConversion"/>
  </si>
  <si>
    <t>복합건축물의 경우 단일부분 총점이 최소 50점 이상 필수임</t>
    <phoneticPr fontId="2" type="noConversion"/>
  </si>
  <si>
    <t>건축-BI11</t>
    <phoneticPr fontId="2" type="noConversion"/>
  </si>
  <si>
    <t>친환경-BI+1</t>
    <phoneticPr fontId="2" type="noConversion"/>
  </si>
  <si>
    <t>논현동 88-9 업무시설 - 일반건축물(교육연구시설) 부분(B)</t>
    <phoneticPr fontId="2" type="noConversion"/>
  </si>
  <si>
    <t>건축-B362</t>
    <phoneticPr fontId="2" type="noConversion"/>
  </si>
  <si>
    <t>재활용 보관창고 도면에 반영</t>
    <phoneticPr fontId="2" type="noConversion"/>
  </si>
  <si>
    <r>
      <rPr>
        <b/>
        <sz val="10"/>
        <color theme="1"/>
        <rFont val="Segoe UI Symbol"/>
        <family val="3"/>
      </rPr>
      <t>✔</t>
    </r>
    <r>
      <rPr>
        <b/>
        <sz val="10"/>
        <color theme="1"/>
        <rFont val="맑은 고딕"/>
        <family val="3"/>
        <charset val="129"/>
        <scheme val="major"/>
      </rPr>
      <t xml:space="preserve"> 목표등급 : 일반등급(서울시 기준)     </t>
    </r>
    <r>
      <rPr>
        <b/>
        <sz val="10"/>
        <color theme="1"/>
        <rFont val="Segoe UI Symbol"/>
        <family val="3"/>
      </rPr>
      <t>✔</t>
    </r>
    <r>
      <rPr>
        <b/>
        <sz val="10"/>
        <color theme="1"/>
        <rFont val="맑은 고딕"/>
        <family val="3"/>
        <charset val="129"/>
        <scheme val="major"/>
      </rPr>
      <t xml:space="preserve"> 복합건축물 기준(업무용건축물+일반건축물) 중 '일반건축물(교육연구시설) 부분  </t>
    </r>
    <r>
      <rPr>
        <b/>
        <sz val="10"/>
        <color theme="1"/>
        <rFont val="Calibri"/>
        <family val="3"/>
      </rPr>
      <t xml:space="preserve"> </t>
    </r>
    <r>
      <rPr>
        <b/>
        <sz val="10"/>
        <color theme="1"/>
        <rFont val="Segoe UI Symbol"/>
        <family val="3"/>
      </rPr>
      <t>✔</t>
    </r>
    <r>
      <rPr>
        <b/>
        <sz val="10"/>
        <color theme="1"/>
        <rFont val="Calibri"/>
        <family val="3"/>
      </rPr>
      <t xml:space="preserve"> </t>
    </r>
    <r>
      <rPr>
        <b/>
        <sz val="10"/>
        <color theme="1"/>
        <rFont val="맑은 고딕"/>
        <family val="3"/>
        <charset val="129"/>
        <scheme val="major"/>
      </rPr>
      <t>연면적</t>
    </r>
    <r>
      <rPr>
        <b/>
        <sz val="10"/>
        <color theme="1"/>
        <rFont val="Calibri"/>
        <family val="3"/>
      </rPr>
      <t xml:space="preserve"> 1,303.80</t>
    </r>
    <r>
      <rPr>
        <b/>
        <sz val="10"/>
        <color theme="1"/>
        <rFont val="Segoe UI Symbol"/>
        <family val="3"/>
      </rPr>
      <t>㎡</t>
    </r>
    <phoneticPr fontId="2" type="noConversion"/>
  </si>
  <si>
    <r>
      <rPr>
        <sz val="10"/>
        <color theme="1"/>
        <rFont val="Segoe UI Symbol"/>
        <family val="3"/>
      </rPr>
      <t>✔</t>
    </r>
    <r>
      <rPr>
        <sz val="10"/>
        <color theme="1"/>
        <rFont val="맑은 고딕"/>
        <family val="3"/>
        <charset val="129"/>
        <scheme val="minor"/>
      </rPr>
      <t xml:space="preserve"> 분리수거용기 4종 설치공간 2개소 계획 필요
 -건물 내부 공용공간 활용 가능
 -업무시설/근린생활시설 각각 2개소씩 적용해야 함
</t>
    </r>
    <r>
      <rPr>
        <sz val="10"/>
        <color theme="1"/>
        <rFont val="Segoe UI Symbol"/>
        <family val="3"/>
      </rPr>
      <t>✔</t>
    </r>
    <r>
      <rPr>
        <sz val="10"/>
        <color theme="1"/>
        <rFont val="맑은 고딕"/>
        <family val="3"/>
        <charset val="129"/>
        <scheme val="minor"/>
      </rPr>
      <t xml:space="preserve"> [230206_건축협의] 재활용보관창고 (교육연구시설만)
 - 기본 10</t>
    </r>
    <r>
      <rPr>
        <sz val="10"/>
        <color theme="1"/>
        <rFont val="Segoe UI Symbol"/>
        <family val="3"/>
      </rPr>
      <t>㎡</t>
    </r>
    <r>
      <rPr>
        <sz val="10"/>
        <color theme="1"/>
        <rFont val="맑은 고딕"/>
        <family val="3"/>
        <charset val="129"/>
        <scheme val="minor"/>
      </rPr>
      <t>+2</t>
    </r>
    <r>
      <rPr>
        <sz val="10"/>
        <color theme="1"/>
        <rFont val="Segoe UI Symbol"/>
        <family val="3"/>
      </rPr>
      <t>㎡</t>
    </r>
    <r>
      <rPr>
        <sz val="10"/>
        <color theme="1"/>
        <rFont val="맑은 고딕"/>
        <family val="3"/>
        <charset val="129"/>
        <scheme val="minor"/>
      </rPr>
      <t xml:space="preserve"> = 총 12</t>
    </r>
    <r>
      <rPr>
        <sz val="10"/>
        <color theme="1"/>
        <rFont val="Segoe UI Symbol"/>
        <family val="3"/>
      </rPr>
      <t>㎡</t>
    </r>
    <r>
      <rPr>
        <sz val="10"/>
        <color theme="1"/>
        <rFont val="맑은 고딕"/>
        <family val="3"/>
        <charset val="129"/>
        <scheme val="minor"/>
      </rPr>
      <t xml:space="preserve"> 필요 (연면적 1,303.80</t>
    </r>
    <r>
      <rPr>
        <sz val="10"/>
        <color theme="1"/>
        <rFont val="Segoe UI Symbol"/>
        <family val="3"/>
      </rPr>
      <t>㎡</t>
    </r>
    <r>
      <rPr>
        <sz val="10"/>
        <color theme="1"/>
        <rFont val="맑은 고딕"/>
        <family val="3"/>
        <charset val="129"/>
        <scheme val="minor"/>
      </rPr>
      <t>)
 - 한쪽면이 2m 이상, 천정고 2.1m 이상</t>
    </r>
    <phoneticPr fontId="2" type="noConversion"/>
  </si>
  <si>
    <t>에너지소비총량제(ECO2-OD)</t>
    <phoneticPr fontId="2" type="noConversion"/>
  </si>
  <si>
    <t>수질오염총량제</t>
    <phoneticPr fontId="2" type="noConversion"/>
  </si>
  <si>
    <t>녹색건축인증</t>
    <phoneticPr fontId="2" type="noConversion"/>
  </si>
  <si>
    <t>경관심의</t>
    <phoneticPr fontId="2" type="noConversion"/>
  </si>
  <si>
    <t>장수명주택인증</t>
    <phoneticPr fontId="2" type="noConversion"/>
  </si>
  <si>
    <t>관련법규</t>
    <phoneticPr fontId="2" type="noConversion"/>
  </si>
  <si>
    <t>인허가/사업승인시</t>
    <phoneticPr fontId="2" type="noConversion"/>
  </si>
  <si>
    <r>
      <rPr>
        <b/>
        <sz val="11"/>
        <color theme="1"/>
        <rFont val="맑은 고딕"/>
        <family val="3"/>
        <charset val="129"/>
        <scheme val="minor"/>
      </rPr>
      <t xml:space="preserve">주택법 제15조(사업계획의 승인) </t>
    </r>
    <r>
      <rPr>
        <sz val="11"/>
        <color theme="1"/>
        <rFont val="맑은 고딕"/>
        <family val="2"/>
        <charset val="129"/>
        <scheme val="minor"/>
      </rPr>
      <t xml:space="preserve">
① 대통령령으로 정하는 호수 이상의 주택건설사업을 시행하려는 자 또는 대통령령으로 정하는 면적 이상의 대지조성사업을 시행하려는 자는 다음 각 호의 사업계획승인권자(이하 “사업계획승인권자”라 한다. 국가 및 한국토지주택공사가 시행하는 경우와 대통령령으로 정하는 경우에는 국토교통부장관을 말하며, 이하 이 조, 제16조부터 제19조까지 및 제21조에서 같다)에게 사업계획승인을 받아야 한다. 다만, 주택 외의 시설과 주택을 동일 건축물로 건축하는 경우 등 대통령령으로 정하는 경우에는 그러하지 아니하다.</t>
    </r>
    <phoneticPr fontId="2" type="noConversion"/>
  </si>
  <si>
    <r>
      <rPr>
        <b/>
        <sz val="11"/>
        <color theme="1"/>
        <rFont val="맑은 고딕"/>
        <family val="3"/>
        <charset val="129"/>
        <scheme val="minor"/>
      </rPr>
      <t xml:space="preserve">주택법 시행령 제27조(사업계획의 승인) </t>
    </r>
    <r>
      <rPr>
        <sz val="11"/>
        <color theme="1"/>
        <rFont val="맑은 고딕"/>
        <family val="2"/>
        <charset val="129"/>
        <scheme val="minor"/>
      </rPr>
      <t xml:space="preserve">
① 법 제15조제1항 각 호 외의 부분 본문에서 “대통령령으로 정하는 호수”란 다음 각 호의 구분에 따른 호수 및 세대수를 말한다. 
2. 공동주택: 30세대(리모델링의 경우에는 증가하는 세대수를 기준으로 한다). 다만, 다음 각 목의 어느 하나에 해당하는 공동주택을 건설(리모델링의 경우는 제외한다)하는 경우에는 50세대로 한다.</t>
    </r>
    <phoneticPr fontId="2" type="noConversion"/>
  </si>
  <si>
    <r>
      <rPr>
        <b/>
        <sz val="11"/>
        <color theme="1"/>
        <rFont val="맑은 고딕"/>
        <family val="3"/>
        <charset val="129"/>
        <scheme val="minor"/>
      </rPr>
      <t xml:space="preserve">녹색건축물 조성지원법 제14조(에너지 절약계획서 제출) </t>
    </r>
    <r>
      <rPr>
        <sz val="11"/>
        <color theme="1"/>
        <rFont val="맑은 고딕"/>
        <family val="2"/>
        <charset val="129"/>
        <scheme val="minor"/>
      </rPr>
      <t xml:space="preserve">
① 대통령령으로 정하는 건축물의 건축주가 다음 각 호의 어느 하나에 해당하는 신청을 하는 경우에는 대통령령으로 정하는 바에 따라 에너지 절약계획서를 제출하여야 한다. &lt;개정 2016. 1. 19.&gt;
1. 「건축법」 제11조에 따른 건축허가(대수선은 제외한다)
2. 「건축법」 제19조제2항에 따른 용도변경 허가 또는 신고
3. 「건축법」 제19조제3항에 따른 건축물대장 기재내용 변경</t>
    </r>
    <phoneticPr fontId="2" type="noConversion"/>
  </si>
  <si>
    <r>
      <rPr>
        <b/>
        <sz val="11"/>
        <color theme="1"/>
        <rFont val="맑은 고딕"/>
        <family val="3"/>
        <charset val="129"/>
        <scheme val="minor"/>
      </rPr>
      <t xml:space="preserve">녹색건축물 조성 지원법 시행령 제10조(에너지 절약계획서 제출 대상 등) </t>
    </r>
    <r>
      <rPr>
        <sz val="11"/>
        <color theme="1"/>
        <rFont val="맑은 고딕"/>
        <family val="2"/>
        <charset val="129"/>
        <scheme val="minor"/>
      </rPr>
      <t xml:space="preserve">
① 법 제14조제1항 각 호 외의 부분에서 “대통령령으로 정하는 건축물”이란 연면적의 합계가 500제곱미터 이상인 건축물을 말한다. 다만, 다음 각 호의 어느 하나에 해당하는 건축물을 건축하려는 건축주는 에너지 절약계획서를 제출하지 아니한다. &lt;개정 2013. 3. 23., 2015. 5. 28., 2016. 12. 30.&gt;
1. 「건축법 시행령」 별표 1 제1호에 따른 단독주택
2. 문화 및 집회시설 중 동ㆍ식물원
3. 「건축법 시행령」 별표 1 제17호부터 제26호까지의 건축물 중 냉방 및 난방 설비를 모두 설치하지 아니하는 건축물
4. 그 밖에 국토교통부장관이 에너지 절약계획서를 첨부할 필요가 없다고 정하여 고시하는 건축물</t>
    </r>
    <phoneticPr fontId="2" type="noConversion"/>
  </si>
  <si>
    <r>
      <rPr>
        <b/>
        <sz val="11"/>
        <color theme="1"/>
        <rFont val="맑은 고딕"/>
        <family val="3"/>
        <charset val="129"/>
        <scheme val="minor"/>
      </rPr>
      <t>주택건설기준 등에 관한 규정 64조(에너지절약형 친환경 주택의 건설기준 등)</t>
    </r>
    <r>
      <rPr>
        <sz val="11"/>
        <color theme="1"/>
        <rFont val="맑은 고딕"/>
        <family val="2"/>
        <charset val="129"/>
        <scheme val="minor"/>
      </rPr>
      <t xml:space="preserve">
① 「주택법」 제15조에 따른 사업계획승인을 받은 공동주택을 건설하는 경우에는 다음 각 호의 어느 하나 이상의 기술을 이용하여 주택의 총 에너지사용량 또는 총 이산화탄소배출량을 절감할 수 있는 에너지절약형 친환경 주택(이하 이 장에서 “친환경 주택”이라 한다)으로 건설하여야 한다. &lt;개정 2014. 12. 23., 2016. 2. 29., 2016. 8. 11.&gt;</t>
    </r>
    <phoneticPr fontId="2" type="noConversion"/>
  </si>
  <si>
    <t>공동주택 소음 예측 및 실측</t>
    <phoneticPr fontId="2" type="noConversion"/>
  </si>
  <si>
    <r>
      <rPr>
        <b/>
        <sz val="11"/>
        <color theme="1"/>
        <rFont val="맑은 고딕"/>
        <family val="3"/>
        <charset val="129"/>
        <scheme val="minor"/>
      </rPr>
      <t>주택건설기준 등에 관한 규정 제65조(건강친화형 주택의 건설기준)</t>
    </r>
    <r>
      <rPr>
        <sz val="11"/>
        <color theme="1"/>
        <rFont val="맑은 고딕"/>
        <family val="2"/>
        <charset val="129"/>
        <scheme val="minor"/>
      </rPr>
      <t xml:space="preserve"> 
① 500세대 이상의 공동주택을 건설하는 경우에는 다음 각 호의 사항을 고려하여 세대 내의 실내공기 오염물질 등을 최소화할 수 있는 건강친화형 주택으로 건설하여야 한다. &lt;개정 2013. 12. 4.&gt;</t>
    </r>
    <phoneticPr fontId="2" type="noConversion"/>
  </si>
  <si>
    <r>
      <rPr>
        <b/>
        <sz val="11"/>
        <color theme="1"/>
        <rFont val="맑은 고딕"/>
        <family val="3"/>
        <charset val="129"/>
        <scheme val="minor"/>
      </rPr>
      <t xml:space="preserve">건축물의 에너지절약설계기준 제21조(건축물의 에너지소요량의 평가대상 및 에너지소요량 평가서의 판정) </t>
    </r>
    <r>
      <rPr>
        <sz val="11"/>
        <color theme="1"/>
        <rFont val="맑은 고딕"/>
        <family val="2"/>
        <charset val="129"/>
        <scheme val="minor"/>
      </rPr>
      <t xml:space="preserve">
① 신축 또는 별동으로 증축하는 경우로서 다음 각 호의 어느 하나에 해당하는 건축물은 1차 에너지소요량 등을 평가하여 별지 제1호 서식에 따른 건축물 에너지소요량 평가서를 제출하여야 한다. 
1. 「건축법 시행령」 별표1에 따른 업무시설 중 연면적의 합계가 3천 제곱미터 이상인 건축물 
2. 「건축법 시행령」 별표1에 따른 교육연구시설 중 연면적의 합계가 3천 제곱미터 이상인 건축물 
3. 연면적의 합계가 500제곱미터 이상인 모든 용도의 공공기관 건축물 </t>
    </r>
    <phoneticPr fontId="2" type="noConversion"/>
  </si>
  <si>
    <r>
      <rPr>
        <b/>
        <sz val="11"/>
        <color theme="1"/>
        <rFont val="맑은 고딕"/>
        <family val="3"/>
        <charset val="129"/>
        <scheme val="minor"/>
      </rPr>
      <t xml:space="preserve">건축법 제53조의2(건축물의 범죄예방) </t>
    </r>
    <r>
      <rPr>
        <sz val="11"/>
        <color theme="1"/>
        <rFont val="맑은 고딕"/>
        <family val="2"/>
        <charset val="129"/>
        <scheme val="minor"/>
      </rPr>
      <t xml:space="preserve">
① 국토교통부장관은 범죄를 예방하고 안전한 생활환경을 조성하기 위하여 건축물, 건축설비 및 대지에 관한 범죄예방 기준을 정하여 고시할 수 있다.
② 대통령령으로 정하는 건축물은 제1항의 범죄예방 기준에 따라 건축하여야 한다.</t>
    </r>
    <phoneticPr fontId="2" type="noConversion"/>
  </si>
  <si>
    <r>
      <rPr>
        <b/>
        <sz val="11"/>
        <color theme="1"/>
        <rFont val="맑은 고딕"/>
        <family val="3"/>
        <charset val="129"/>
        <scheme val="minor"/>
      </rPr>
      <t xml:space="preserve">건축법 시행령 제63조의6(건축물의 범죄예방) </t>
    </r>
    <r>
      <rPr>
        <sz val="11"/>
        <color theme="1"/>
        <rFont val="맑은 고딕"/>
        <family val="2"/>
        <charset val="129"/>
        <scheme val="minor"/>
      </rPr>
      <t xml:space="preserve">
법 제53조의2제2항에서 “대통령령으로 정하는 건축물”이란 다음 각 호의 어느 하나에 해당하는 건축물을 말한다.&lt;개정 2018. 12. 31.&gt;
1. 다가구주택, 아파트, 연립주택 및 다세대주택
2. 제1종 근린생활시설 중 일용품을 판매하는 소매점
3. 제2종 근린생활시설 중 다중생활시설
4. 문화 및 집회시설(동ㆍ식물원은 제외한다)
5. 교육연구시설(연구소 및 도서관은 제외한다)
6. 노유자시설
7. 수련시설
8. 업무시설 중 오피스텔
9. 숙박시설 중 다중생활시설</t>
    </r>
    <phoneticPr fontId="2" type="noConversion"/>
  </si>
  <si>
    <r>
      <rPr>
        <b/>
        <sz val="11"/>
        <color theme="1"/>
        <rFont val="맑은 고딕"/>
        <family val="3"/>
        <charset val="129"/>
        <scheme val="minor"/>
      </rPr>
      <t xml:space="preserve">서울특별시 물순환 회복 및 저영향개발 기본 조례 제9조(사전협의 대상과 시기) </t>
    </r>
    <r>
      <rPr>
        <sz val="11"/>
        <color theme="1"/>
        <rFont val="맑은 고딕"/>
        <family val="2"/>
        <charset val="129"/>
        <scheme val="minor"/>
      </rPr>
      <t xml:space="preserve">  
① 다음 각 호의 어느 하나에 해당하는 개발사업의 시행자 또는 사용승인 및 인ㆍ허가권자는 사업구역내에서 빗물의 외부 유출이 최소화 될 수 있도록 빗물분담량을 적용한 빗물관리시설 도입을 계획하여 물순환 관리 주관부서에 사전협의하여야 한다. 단, 건축연면적의 변경, 10퍼센트이내의 건축면적 변경(증축ㆍ개축ㆍ재축을 포함한다)등 토지이용계획 변경이 없는 경미한 변경 사항에 대하여는 그러하지 아니한다. &lt;개정 2015.10.8, 2018.1.4, 2019.3.28&gt;
1. 제11조에 따른 빗물관리시설 설치 대상사업 
2. 제12조에 따른 빗물관리시설 설치 권고사업 
3. 그 밖에 빗물관리가 필요한 시설로서 시장이 정하는 시설 
② 대지면적 1만제곱미터 이상 대규모 개발사업은 사전협의 전 제21조의 물순환 시민위원회의 자문을 받아야 한다. &lt;신설 2018.1.4&gt;</t>
    </r>
    <phoneticPr fontId="2" type="noConversion"/>
  </si>
  <si>
    <r>
      <rPr>
        <b/>
        <sz val="11"/>
        <color theme="1"/>
        <rFont val="맑은 고딕"/>
        <family val="3"/>
        <charset val="129"/>
        <scheme val="minor"/>
      </rPr>
      <t>서울특별시 물순환 회복 및 저영향개발 기본 조례 제11조(빗물관리시설의 설치 대상 등)</t>
    </r>
    <r>
      <rPr>
        <sz val="11"/>
        <color theme="1"/>
        <rFont val="맑은 고딕"/>
        <family val="2"/>
        <charset val="129"/>
        <scheme val="minor"/>
      </rPr>
      <t xml:space="preserve">
1. 「건축법」 제29조에 따른 건축 협의 대상 중 대지면적이 2천제곱미터 이상이거나 건축연면적이 3천제곱미터 이상인 건축(신축ㆍ증축ㆍ개축ㆍ재축 또는 이전을 포함한다) 
2. 「고등교육법」 제2조에 따른 학교를 설립하는 경우의 건축공사</t>
    </r>
    <phoneticPr fontId="2" type="noConversion"/>
  </si>
  <si>
    <r>
      <rPr>
        <b/>
        <sz val="11"/>
        <color theme="1"/>
        <rFont val="맑은 고딕"/>
        <family val="3"/>
        <charset val="129"/>
        <scheme val="minor"/>
      </rPr>
      <t xml:space="preserve">서울특별시 물순환 회복 및 저영향개발 기본 조례 제12조(빗물관리시설의 설치 권고 등)   
</t>
    </r>
    <r>
      <rPr>
        <sz val="11"/>
        <color theme="1"/>
        <rFont val="맑은 고딕"/>
        <family val="2"/>
        <charset val="129"/>
        <scheme val="minor"/>
      </rPr>
      <t xml:space="preserve">① 시장은 다음 각 호의 어느 하나에 해당하는 시설물 또는 건축물의 설치자 및 관리자에게 빗물관리시설의 설치를 권고할 수 있다. &lt;개정 2015.10.8, 2019.3.28&gt;
1. 「자연재해대책법」 제5조에 따른 재해영향평가등의 협의 대상 개발사업 
2. 「자연재해대책법」 제19조의6에 따른 우수유출저감대책 수립 대상사업 
3. 「환경영향평가법」 제22조제1항에 따른 환경영향평가 대상사업 및 「서울특별시 환경영향평가 조례」 제4조에 따른 환경영향평가 대상시설 
4. 「건축법」 제2조제1항제2호에 따른 건축물중 대지면적 1,000제곱미터 이상이거나 연면적이 1,500제곱미터 이상인 건축물 
5. 「건축법」 제11조제2항에 따른 건축허가 사전승인대상 건축물 
6. 「건축법」 제2조제1항제11호에 따른 도로 </t>
    </r>
    <phoneticPr fontId="2" type="noConversion"/>
  </si>
  <si>
    <r>
      <rPr>
        <b/>
        <sz val="11"/>
        <color theme="1"/>
        <rFont val="맑은 고딕"/>
        <family val="3"/>
        <charset val="129"/>
        <scheme val="minor"/>
      </rPr>
      <t xml:space="preserve">주택건설기준 등에 관한 규정 제65조의2(장수명 주택의 인증대상 및 인증등급 등) </t>
    </r>
    <r>
      <rPr>
        <sz val="11"/>
        <color theme="1"/>
        <rFont val="맑은 고딕"/>
        <family val="2"/>
        <charset val="129"/>
        <scheme val="minor"/>
      </rPr>
      <t xml:space="preserve">
② 법 제38조제3항에서 “대통령령으로 정하는 호수”란 1,000세대를 말한다. &lt;개정 2016. 8. 11.&gt;</t>
    </r>
    <phoneticPr fontId="2" type="noConversion"/>
  </si>
  <si>
    <r>
      <rPr>
        <b/>
        <sz val="11"/>
        <color theme="1"/>
        <rFont val="맑은 고딕"/>
        <family val="3"/>
        <charset val="129"/>
        <scheme val="minor"/>
      </rPr>
      <t xml:space="preserve">주택건설기준 등에 관한 규정 제14조의3(벽체 및 창호 등) </t>
    </r>
    <r>
      <rPr>
        <sz val="11"/>
        <color theme="1"/>
        <rFont val="맑은 고딕"/>
        <family val="2"/>
        <charset val="129"/>
        <scheme val="minor"/>
      </rPr>
      <t xml:space="preserve">
① 500세대 이상의 공동주택을 건설하는 경우 벽체의 접합부위나 난방설비가 설치되는 공간의 창호는 국토교통부장관이 정하여 고시하는 기준에 적합한 결로(結露)방지 성능을 갖추어야 한다.</t>
    </r>
    <phoneticPr fontId="2" type="noConversion"/>
  </si>
  <si>
    <r>
      <rPr>
        <b/>
        <sz val="11"/>
        <color theme="1"/>
        <rFont val="맑은 고딕"/>
        <family val="3"/>
        <charset val="129"/>
        <scheme val="minor"/>
      </rPr>
      <t xml:space="preserve">녹색건축물 조성 지원법 제16조(녹색건축의 인증) </t>
    </r>
    <r>
      <rPr>
        <sz val="11"/>
        <color theme="1"/>
        <rFont val="맑은 고딕"/>
        <family val="2"/>
        <charset val="129"/>
        <scheme val="minor"/>
      </rPr>
      <t xml:space="preserve">
⑦ 대통령령으로 정하는 건축물을 건축 또는 리모델링하는 건축주는 해당 건축물에 대하여 녹색건축의 인증을 받아 그 결과를 표시하고, 「건축법」 제22조에 따라 건축물의 사용승인을 신청할 때 관련 서류를 첨부하여야 한다. 이 경우 사용승인을 한 허가권자는 「건축법」 제38조에 따른 건축물대장에 해당 사항을 지체 없이 적어야 한다. </t>
    </r>
    <phoneticPr fontId="2" type="noConversion"/>
  </si>
  <si>
    <r>
      <rPr>
        <b/>
        <sz val="11"/>
        <color theme="1"/>
        <rFont val="맑은 고딕"/>
        <family val="3"/>
        <charset val="129"/>
        <scheme val="minor"/>
      </rPr>
      <t xml:space="preserve">녹색건축물 조성 지원법 시행령 제11조의3(녹색건축 인증대상 건축물) </t>
    </r>
    <r>
      <rPr>
        <sz val="11"/>
        <color theme="1"/>
        <rFont val="맑은 고딕"/>
        <family val="2"/>
        <charset val="129"/>
        <scheme val="minor"/>
      </rPr>
      <t xml:space="preserve">
법 제16조제7항 전단에서 “대통령령으로 정하는 건축물”이란 다음 각 호의 기준에 모두 해당하는 건축물을 말한다.&lt;개정 2019. 12. 31.&gt;
1. 제9조제2항 각 호의 기관이 소유 또는 관리하는 건축물일 것
2. 신축ㆍ재축 또는 증축하는 건축물일 것. 다만, 증축의 경우에는 건축물이 있는 대지에 별개의 건축물로 증축하는 경우로 한정한다.
3. 연면적(하나의 대지에 복수의 건축물이 있는 경우 모든 건축물의 연면적을 합산한 면적을 말한다)이 3천제곱미터 이상일 것
4. 법 제14조제1항에 따른 에너지 절약계획서 제출 대상일 것</t>
    </r>
    <phoneticPr fontId="2" type="noConversion"/>
  </si>
  <si>
    <t>주택건설기준 등에 관한 규정
[시행 2022. 12. 8.] [대통령령 제33023호, 2022. 12. 6., 타법개정] 전체조문보기
  제58조(공동주택성능등급의 표시) 법 제39조 각 호 외의 부분에서 “대통령령으로 정하는 호수”란 500세대를 말한다.&lt;개정 2016. 8. 11., 2018. 12. 31.&gt;
[본조신설 2014. 6. 27.]</t>
    <phoneticPr fontId="2" type="noConversion"/>
  </si>
  <si>
    <t>(국토교통부) 녹색건축 인증 기준
[시행 2021. 4. 1.] [국토교통부고시 제2021-278호, 2021. 3. 26., 일부개정]
제7조(녹색건축 인증의 취득 의무) ① 삭제 
② 「건축법 시행령」 별표 1 제14호가목의 공공업무시설 중 「녹색건축물 조성 지원법 시행령」제11조의3에 해당하는 건축물의 경우 우수(그린2등급) 등급 이상을 취득하여야 한다.</t>
    <phoneticPr fontId="2" type="noConversion"/>
  </si>
  <si>
    <t>녹색건축물 조성 지원법 ( 약칭: 녹색건축법 )
[시행 2022. 3. 25.] [법률 제18469호, 2021. 9. 24., 타법개정]
제17조(건축물의 에너지효율등급 인증 및 제로에너지건축물 인증)
⑥ 대통령령으로 정하는 건축물을 건축 또는 리모델링하려는 건축주는 해당 건축물에 대하여 에너지효율등급 인증 또는 제로에너지건축물 인증을 받아 그 결과를 표시하고, 「건축법」 제22조에 따라 건축물의 사용승인을 신청할 때 관련 서류를 첨부하여야 한다. 이 경우 사용승인을 한 허가권자는 「건축법」 제38조에 따른 건축물대장에 해당 사항을 지체 없이 적어야 한다. &lt;</t>
    <phoneticPr fontId="2" type="noConversion"/>
  </si>
  <si>
    <t>녹색건축물 조성 지원법 시행령
[시행 2023. 1. 1.] [대통령령 제33133호, 2022. 12. 27., 일부개정] 전체조문보기
  제12조(건축물의 에너지효율등급 인증 및 제로에너지건축물 인증 대상 건축물 등) 
② 법 제17조제6항 전단에 따라 에너지효율등급 인증 또는 제로에너지건축물 인증을 받아 그 결과를 표시해야 하는 건축물은 각각 별표 1 각 호의 요건을 모두 갖춘 건축물로 한다. &lt;개정 2019. 12. 31.&gt;
[제목개정 2016. 12. 30.]</t>
    <phoneticPr fontId="2" type="noConversion"/>
  </si>
  <si>
    <t>장애인ㆍ노인ㆍ임산부 등의 편의증진 보장에 관한 법률
[시행 2022. 7. 28.] [법률 제18332호, 2021. 7. 27., 일부개정]
제10조의2(장애물 없는 생활환경 인증) 
   ③ 다음 각 호의 어느 하나에 해당하는 대상시설(이하 "의무인증시설"이라 한다)의 경우에는 의무적으로 인증(제2항 후단에 따른 예비인증을 포함한다)을 받아야 한다. 이 경우 인증을 받은 의무인증시설의 시설주는 제10조의3에 따라 인증의 유효기간 연장을 받아야 한다. &lt;개정 2019.12.3, 2021.6.8&gt;
1. 국가나 지방자치단체가 지정ㆍ인증 또는 설치하는 공원 중 「도시공원 및 녹지 등에 관한 법률」 제2조제3호가목의 도시공원 및 같은 법 제2조제4호의 공원시설
2. 국가, 지방자치단체 또는 「공공기관의 운영에 관한 법률」에 따른 공공기관이 신축ㆍ증축(건축물이 있는 대지에 별개의 건축물로 증축하는 경우에 한정한다. 이하 같다)ㆍ개축(전부를 개축하는 경우에 한정한다. 이하 같다) 또는 재축하는 청사, 문화시설 등의 공공건물 및 공중이용시설 중에서 대통령령으로 정하는 시설
3. 국가, 지방자치단체 또는 「공공기관의 운영에 관한 법률」에 따른 공공기관 외의 자가 신축ㆍ증축ㆍ개축 또는 재축하는 공공건물 및 공중이용시설로서 시설의 규모, 용도 등을 고려하여 대통령령으로 정하는 시설</t>
    <phoneticPr fontId="2" type="noConversion"/>
  </si>
  <si>
    <t>법규1</t>
    <phoneticPr fontId="2" type="noConversion"/>
  </si>
  <si>
    <t>법규2</t>
    <phoneticPr fontId="2" type="noConversion"/>
  </si>
  <si>
    <t>법규3</t>
    <phoneticPr fontId="2" type="noConversion"/>
  </si>
  <si>
    <t>사업계획승인 대상 공동주택 의무</t>
    <phoneticPr fontId="2" type="noConversion"/>
  </si>
  <si>
    <t>공동주택</t>
    <phoneticPr fontId="2" type="noConversion"/>
  </si>
  <si>
    <t>사업계획승인</t>
    <phoneticPr fontId="2" type="noConversion"/>
  </si>
  <si>
    <t>프로젝트명</t>
    <phoneticPr fontId="2" type="noConversion"/>
  </si>
  <si>
    <t>일반 주거용 건축물</t>
    <phoneticPr fontId="2" type="noConversion"/>
  </si>
  <si>
    <t>관련 법규 원문</t>
    <phoneticPr fontId="2" type="noConversion"/>
  </si>
  <si>
    <t>요약 설명</t>
    <phoneticPr fontId="2" type="noConversion"/>
  </si>
  <si>
    <t>주택건설기준 등에 관한 규정 ( 약칭: 주택건설기준규정 )
[시행 2022. 12. 8.] [대통령령 제33023호, 2022. 12. 6., 타법개정]
제9조(소음방지대책의 수립) ①사업주체는 공동주택을 건설하는 지점의 소음도(이하 “실외소음도”라 한다)가 65데시벨 미만이 되도록 하되, 65데시벨 이상인 경우에는 방음벽ㆍ방음림(소음막이숲) 등의 방음시설을 설치하여 해당 공동주택의 건설지점의 소음도가 65데시벨 미만이 되도록 법 제42조제1항에 따른 소음방지대책을 수립해야 한다. 다만, 공동주택이 「국토의 계획 및 이용에 관한 법률」 제36조에 따른 도시지역(주택단지 면적이 30만제곱미터 미만인 경우로 한정한다) 또는 「소음ㆍ진동관리법」 제27조에 따라 지정된 지역에 건축되는 경우로서 다음 각 호의 기준을 모두 충족하는 경우에는 그 공동주택의 6층 이상인 부분에 대하여 본문을 적용하지 않는다. &lt;개정 2007. 7. 24., 2010. 6. 28., 2013. 6. 17., 2016. 8. 11., 2021. 1. 5.&gt;
  1. 세대 안에 설치된 모든 창호(窓戶)를 닫은 상태에서 거실에서 측정한 소음도(이하 “실내소음도”라 한다)가 45데시벨 이하일 것</t>
    <phoneticPr fontId="2" type="noConversion"/>
  </si>
  <si>
    <t>주택법
[시행 2022. 8. 4.] [법률 제18834호, 2022. 2. 3., 일부개정]
제42조(소음방지대책의 수립) ① 사업계획승인권자는 주택의 건설에 따른 소음의 피해를 방지하고 주택건설 지역 주민의 평온한 생활을 유지하기 위하여 주택건설사업을 시행하려는 사업주체에게 대통령령으로 정하는 바에 따라 소음방지대책을 수립하도록 하여야 한다.
② 사업계획승인권자는 대통령령으로 정하는 주택건설 지역이 도로와 인접한 경우에는 해당 도로의 관리청과 소음방지대책을 미리 협의하여야 한다. 이 경우 해당 도로의 관리청은 소음 관계 법률에서 정하는 소음기준 범위에서 필요한 의견을 제시할 수 있다.
③ 제1항에 따른 소음방지대책 수립에 필요한 실외소음도와 실외소음도를 측정하는 기준은 대통령령으로 정한다.
④ 국토교통부장관은 제3항에 따른 실외소음도를 측정할 수 있는 측정기관(이하 “실외소음도 측정기관”이라 한다)을 지정할 수 있다.
⑤ 국토교통부장관은 실외소음도 측정기관이 다음 각 호의 어느 하나에 해당하는 경우에는 그 지정을 취소할 수 있다. 다만, 제1호에 해당하는 경우 그 지정을 취소하여야 한다.
1. 거짓이나 그 밖의 부정한 방법으로 실외소음도 측정기관으로 지정을 받은 경우
2. 제3항에 따른 실외소음도 측정기준을 위반하여 업무를 수행한 경우
3. 제6항에 따른 실외소음도 측정기관의 지정 요건에 미달하게 된 경우
⑥ 실외소음도 측정기관의 지정 요건, 측정에 소요되는 수수료 등 실외소음도 측정에 필요한 사항은 대통령령으로 정한다</t>
    <phoneticPr fontId="2" type="noConversion"/>
  </si>
  <si>
    <t>주택법 시행령
[시행 2022. 2. 11.] [대통령령 제32411호, 2022. 2. 11., 일부개정] 전체조문보기
  제27조(사업계획의 승인) ① 법 제15조제1항 각 호 외의 부분 본문에서 “대통령령으로 정하는 호수”란 다음 각 호의 구분에 따른 호수 및 세대수를 말한다. &lt;개정 2018. 2. 9.&gt;
1. 단독주택: 30호. 다만, 다음 각 목의 어느 하나에 해당하는 단독주택의 경우에는 50호로 한다.
가. 법 제2조제24호 각 목의 어느 하나에 해당하는 공공사업에 따라 조성된 용지를 개별 필지로 구분하지 아니하고 일단(一團)의 토지로 공급받아 해당 토지에 건설하는 단독주택
나. 「건축법 시행령」 제2조제16호에 따른 한옥
2. 공동주택: 30세대(리모델링의 경우에는 증가하는 세대수를 기준으로 한다). 다만, 다음 각 목의 어느 하나에 해당하는 공동주택을 건설(리모델링의 경우는 제외한다)하는 경우에는 50세대로 한다.
가. 다음의 요건을 모두 갖춘 단지형 연립주택 또는 단지형 다세대주택
　 1) 세대별 주거전용면적이 30제곱미터 이상일 것
　 2) 해당 주택단지 진입도로의 폭이 6미터 이상일 것. 다만, 해당 주택단지의 진입도로가 두 개 이상인 경우에는 다음의 요건을 모두 갖추면 진입도로의 폭을 4미터 이상 6미터 미만으로 할 수 있다.
　 가) 두 개의 진입도로 폭의 합계가 10미터 이상일 것
　 나) 폭 4미터 이상 6미터 미만인 진입도로는 제5조에 따른 도로와 통행거리가 200미터 이내일 것</t>
    <phoneticPr fontId="2" type="noConversion"/>
  </si>
  <si>
    <t>건축물 용도</t>
    <phoneticPr fontId="2" type="noConversion"/>
  </si>
  <si>
    <t>관련 법규 정리</t>
    <phoneticPr fontId="2" type="noConversion"/>
  </si>
  <si>
    <t>건축물 용도(=공동주택)</t>
    <phoneticPr fontId="2" type="noConversion"/>
  </si>
  <si>
    <t>세대수(&gt;=30)</t>
    <phoneticPr fontId="2" type="noConversion"/>
  </si>
  <si>
    <r>
      <t xml:space="preserve">사업계획승인을 받아야 하는 호수 </t>
    </r>
    <r>
      <rPr>
        <sz val="11"/>
        <color theme="1"/>
        <rFont val="맑은 고딕"/>
        <family val="3"/>
        <charset val="129"/>
      </rPr>
      <t>→</t>
    </r>
    <r>
      <rPr>
        <sz val="9.35"/>
        <color theme="1"/>
        <rFont val="맑은 고딕"/>
        <family val="3"/>
        <charset val="129"/>
      </rPr>
      <t xml:space="preserve"> </t>
    </r>
    <r>
      <rPr>
        <sz val="11"/>
        <color theme="1"/>
        <rFont val="맑은 고딕"/>
        <family val="2"/>
        <charset val="129"/>
        <scheme val="minor"/>
      </rPr>
      <t>대통령령</t>
    </r>
    <phoneticPr fontId="2" type="noConversion"/>
  </si>
  <si>
    <r>
      <t xml:space="preserve">사업계획승인 대상 공동주택 = 30세대 이상의 공동주택
</t>
    </r>
    <r>
      <rPr>
        <sz val="11"/>
        <color theme="1"/>
        <rFont val="맑은 고딕"/>
        <family val="3"/>
        <charset val="129"/>
      </rPr>
      <t>※ 다세대주택 등 일부 경우에 한해, 50세대 이상일 경우 사업계획승인 대상일 수 있음, 이런 경우는 발주처에 별도로 '사업계획승인 대상 여부'를 확인</t>
    </r>
    <phoneticPr fontId="2" type="noConversion"/>
  </si>
  <si>
    <t>✔</t>
    <phoneticPr fontId="2" type="noConversion"/>
  </si>
  <si>
    <t>:</t>
    <phoneticPr fontId="2" type="noConversion"/>
  </si>
  <si>
    <t>에너지절약형 친환경주택</t>
    <phoneticPr fontId="2" type="noConversion"/>
  </si>
  <si>
    <t>교육환경평가 심의</t>
    <phoneticPr fontId="2" type="noConversion"/>
  </si>
  <si>
    <t>신재생에너지 설치 의무(공공)</t>
    <phoneticPr fontId="2" type="noConversion"/>
  </si>
  <si>
    <t>신재생에너지 설치 의무(지자체)</t>
    <phoneticPr fontId="2" type="noConversion"/>
  </si>
  <si>
    <t>경관 심의</t>
    <phoneticPr fontId="2" type="noConversion"/>
  </si>
  <si>
    <t>프로젝트 개요</t>
    <phoneticPr fontId="2" type="noConversion"/>
  </si>
  <si>
    <t>본인증</t>
    <phoneticPr fontId="2" type="noConversion"/>
  </si>
  <si>
    <t>신재생에너지</t>
    <phoneticPr fontId="2" type="noConversion"/>
  </si>
  <si>
    <t>심의 대행</t>
    <phoneticPr fontId="2" type="noConversion"/>
  </si>
  <si>
    <t>인허가 
및
사업승인</t>
    <phoneticPr fontId="2" type="noConversion"/>
  </si>
  <si>
    <t>친환경 관련 법규 검토 SHEET</t>
    <phoneticPr fontId="2" type="noConversion"/>
  </si>
  <si>
    <t>연면적(㎡)</t>
    <phoneticPr fontId="2" type="noConversion"/>
  </si>
  <si>
    <t>에너지절약 계획서-주거용</t>
    <phoneticPr fontId="2" type="noConversion"/>
  </si>
  <si>
    <t>주택건설기준 등에 관한 규정 64조</t>
    <phoneticPr fontId="2" type="noConversion"/>
  </si>
  <si>
    <t>주택법 제15조</t>
    <phoneticPr fontId="2" type="noConversion"/>
  </si>
  <si>
    <t>주택법 시행령 제27조</t>
    <phoneticPr fontId="2" type="noConversion"/>
  </si>
  <si>
    <t>건축허가, 용도변경, 건축물대장 기재내용 변경 등 해당됨</t>
    <phoneticPr fontId="2" type="noConversion"/>
  </si>
  <si>
    <t>건축허가</t>
    <phoneticPr fontId="2" type="noConversion"/>
  </si>
  <si>
    <r>
      <t>1. 연면적 500</t>
    </r>
    <r>
      <rPr>
        <sz val="11"/>
        <color theme="1"/>
        <rFont val="맑은 고딕"/>
        <family val="3"/>
        <charset val="129"/>
      </rPr>
      <t>㎡ 이상은 대부분 해당</t>
    </r>
    <r>
      <rPr>
        <sz val="11"/>
        <color theme="1"/>
        <rFont val="맑은 고딕"/>
        <family val="3"/>
        <charset val="129"/>
        <scheme val="minor"/>
      </rPr>
      <t xml:space="preserve">
2. 단독주택, 동식물원, 제외
3. 냉방 및 난방 모두 하지 않는 건축물은 제외됨</t>
    </r>
    <phoneticPr fontId="2" type="noConversion"/>
  </si>
  <si>
    <t>에너지절약 계획서-비주거용</t>
    <phoneticPr fontId="2" type="noConversion"/>
  </si>
  <si>
    <t>녹색건축물 조성지원법 제14조</t>
    <phoneticPr fontId="2" type="noConversion"/>
  </si>
  <si>
    <t>녹색건축물 조성 지원법 시행령 제10조</t>
    <phoneticPr fontId="2" type="noConversion"/>
  </si>
  <si>
    <t>건축물의 에너지절약설계기준 제21조</t>
    <phoneticPr fontId="2" type="noConversion"/>
  </si>
  <si>
    <t>연면적(&gt;=500)</t>
    <phoneticPr fontId="2" type="noConversion"/>
  </si>
  <si>
    <t>연면적(&gt;=3000)</t>
    <phoneticPr fontId="2" type="noConversion"/>
  </si>
  <si>
    <t>1. 신축 또는 별동 증축
2. 업무시설 또는 교육연구시설의 경우, 연면적 3천 이상
3. 공공기관 건축물, 연면적 5백 이상(모든 용도)</t>
    <phoneticPr fontId="2" type="noConversion"/>
  </si>
  <si>
    <t>범죄예방 건축기준</t>
    <phoneticPr fontId="2" type="noConversion"/>
  </si>
  <si>
    <t>건축법 제53조의2</t>
    <phoneticPr fontId="2" type="noConversion"/>
  </si>
  <si>
    <t>건축법 시행령 제63조의6</t>
    <phoneticPr fontId="2" type="noConversion"/>
  </si>
  <si>
    <t>상기 용도에 해당될 경우</t>
    <phoneticPr fontId="2" type="noConversion"/>
  </si>
  <si>
    <t>오피스텔</t>
    <phoneticPr fontId="2" type="noConversion"/>
  </si>
  <si>
    <t>오른쪽 목록에 해당</t>
    <phoneticPr fontId="2" type="noConversion"/>
  </si>
  <si>
    <t>건강친화형주택 건설기준</t>
    <phoneticPr fontId="2" type="noConversion"/>
  </si>
  <si>
    <t>주택건설기준 등에 관한 규정 제65조</t>
    <phoneticPr fontId="2" type="noConversion"/>
  </si>
  <si>
    <t>500세대 이상 공동주택</t>
    <phoneticPr fontId="2" type="noConversion"/>
  </si>
  <si>
    <t>세대수(&gt;=500)</t>
    <phoneticPr fontId="2" type="noConversion"/>
  </si>
  <si>
    <t>저영향개발 사전협의</t>
    <phoneticPr fontId="2" type="noConversion"/>
  </si>
  <si>
    <t>서울특별시 물순환 회복 및 저영향개발 기본 조례 제9조</t>
    <phoneticPr fontId="2" type="noConversion"/>
  </si>
  <si>
    <t>서울특별시 물순환 회복 및 저영향개발 기본 조례 제11조</t>
    <phoneticPr fontId="2" type="noConversion"/>
  </si>
  <si>
    <t>서울특별시 물순환 회복 및 저영향개발 기본 조례 제12조</t>
    <phoneticPr fontId="2" type="noConversion"/>
  </si>
  <si>
    <t>대지면적(㎡)</t>
    <phoneticPr fontId="2" type="noConversion"/>
  </si>
  <si>
    <t>대지면적 2천 이상
건축연면적 3천 이상
학교 신축</t>
    <phoneticPr fontId="2" type="noConversion"/>
  </si>
  <si>
    <t>서울시
대지면적 1만 제곱미터 이상</t>
    <phoneticPr fontId="2" type="noConversion"/>
  </si>
  <si>
    <t>지역</t>
    <phoneticPr fontId="2" type="noConversion"/>
  </si>
  <si>
    <t>지역(=서울특별시)</t>
    <phoneticPr fontId="2" type="noConversion"/>
  </si>
  <si>
    <t>서울특별시</t>
    <phoneticPr fontId="2" type="noConversion"/>
  </si>
  <si>
    <t>대지면적(&gt;=1000)</t>
    <phoneticPr fontId="2" type="noConversion"/>
  </si>
  <si>
    <t>연면적(&gt;=1000)</t>
    <phoneticPr fontId="2" type="noConversion"/>
  </si>
  <si>
    <t>연면적(&gt;=1500)</t>
    <phoneticPr fontId="2" type="noConversion"/>
  </si>
  <si>
    <t>건축물 용도(=학교)</t>
    <phoneticPr fontId="2" type="noConversion"/>
  </si>
  <si>
    <t>학교</t>
    <phoneticPr fontId="2" type="noConversion"/>
  </si>
  <si>
    <t>20세대 이상 공동주택</t>
    <phoneticPr fontId="2" type="noConversion"/>
  </si>
  <si>
    <t>한강수계, 낙동강수계, 금강수계, 영산강수계 해당지역</t>
    <phoneticPr fontId="2" type="noConversion"/>
  </si>
  <si>
    <t>오염총량관리 기본방침</t>
    <phoneticPr fontId="2" type="noConversion"/>
  </si>
  <si>
    <t>세대수(&gt;=20)</t>
    <phoneticPr fontId="2" type="noConversion"/>
  </si>
  <si>
    <t>주택법 제42조</t>
    <phoneticPr fontId="2" type="noConversion"/>
  </si>
  <si>
    <t>주택건설기준등에관한규정 제9조</t>
    <phoneticPr fontId="2" type="noConversion"/>
  </si>
  <si>
    <t>30세대 이상 공동주택</t>
    <phoneticPr fontId="2" type="noConversion"/>
  </si>
  <si>
    <t>공동주택 결로방지 설계기준</t>
    <phoneticPr fontId="2" type="noConversion"/>
  </si>
  <si>
    <t>공동주택 결로 방지를 위한 설계기준</t>
    <phoneticPr fontId="2" type="noConversion"/>
  </si>
  <si>
    <r>
      <rPr>
        <b/>
        <sz val="11"/>
        <color theme="1"/>
        <rFont val="맑은 고딕"/>
        <family val="3"/>
        <charset val="129"/>
        <scheme val="minor"/>
      </rPr>
      <t>공동주택 결로 방지를 위한 설계기준</t>
    </r>
    <r>
      <rPr>
        <sz val="11"/>
        <color theme="1"/>
        <rFont val="맑은 고딕"/>
        <family val="2"/>
        <charset val="129"/>
        <scheme val="minor"/>
      </rPr>
      <t xml:space="preserve">
제3조(적용범위) 이 기준은 「주택법」 제15조에 따른 사업계획승인을 받아 건설하는 500세대 이상의 공동주택에 적용한다.</t>
    </r>
    <phoneticPr fontId="2" type="noConversion"/>
  </si>
  <si>
    <t>녹색건축물 조성 지원법 제16조</t>
    <phoneticPr fontId="2" type="noConversion"/>
  </si>
  <si>
    <t>녹색건축물 조성 지원법 시행령 제11조의3</t>
    <phoneticPr fontId="2" type="noConversion"/>
  </si>
  <si>
    <t>공공기관</t>
    <phoneticPr fontId="2" type="noConversion"/>
  </si>
  <si>
    <t>신축</t>
    <phoneticPr fontId="2" type="noConversion"/>
  </si>
  <si>
    <t>녹색건축 인증 기준 제7조</t>
    <phoneticPr fontId="2" type="noConversion"/>
  </si>
  <si>
    <t>공공업무시설+연면적 3천이상 = 우수등급</t>
    <phoneticPr fontId="2" type="noConversion"/>
  </si>
  <si>
    <t>공공기관 발주 모든 건축물+연면적 3천이상 = 일반등급</t>
    <phoneticPr fontId="2" type="noConversion"/>
  </si>
  <si>
    <t>건축물 용도(=업무시설)</t>
    <phoneticPr fontId="2" type="noConversion"/>
  </si>
  <si>
    <t>공동주택 성능등급 인증</t>
    <phoneticPr fontId="2" type="noConversion"/>
  </si>
  <si>
    <t>주택법 제39조</t>
    <phoneticPr fontId="2" type="noConversion"/>
  </si>
  <si>
    <t>주택건설기준 등에 관한 규정 제58조</t>
    <phoneticPr fontId="2" type="noConversion"/>
  </si>
  <si>
    <t xml:space="preserve">주택법
[시행 2022. 8. 4.] [법률 제18834호, 2022. 2. 3., 일부개정]
제39조(공동주택성능등급의 표시) 사업주체가 대통령령으로 정하는 호수 이상의 공동주택을 공급할 때에는 주택의 성능 및 품질을 입주자가 알 수 있도록 「녹색건축물 조성 지원법」에 따라 다음 각 호의 공동주택성능에 대한 등급을 발급받아 국토교통부령으로 정하는 방법으로 입주자 모집공고에 표시하여야 한다.
</t>
    <phoneticPr fontId="2" type="noConversion"/>
  </si>
  <si>
    <t>건축물에너지효율등급 인증</t>
    <phoneticPr fontId="2" type="noConversion"/>
  </si>
  <si>
    <t>녹색건축물 조성 지원법 제17조</t>
    <phoneticPr fontId="2" type="noConversion"/>
  </si>
  <si>
    <t>녹색건축물 조성 지원법 시행령 제12조</t>
    <phoneticPr fontId="2" type="noConversion"/>
  </si>
  <si>
    <t>녹색건축물 조성 지원법 시행령 [별표1]</t>
    <phoneticPr fontId="2" type="noConversion"/>
  </si>
  <si>
    <t>[별표1] 
&lt;소유 또는 관리주체&gt;
가. 제9조제2항 각 호의 기관
나. 교육감
다. 「공공주택 특별법」 제4조에 따른 공공주택사업자
&lt;건축 형식&gt;
신축ㆍ재축 또는 증축하는 경우일 것. 다만, 증축의 경우에는 기존 건축물의 대지에 별개의 건축물로 증축하는 경우로 한정한다.
법 제17조제5항제1호에 따라 국토교통부와 산업통상자원부의 공동부령으로 정하는 
&lt;건축물 종류 및 범위&gt;
  가. 공동주택의 경우: 전체 세대수 30세대 이상
  나. 기숙사의 경우: 연면적 3천제곱미터 이상
  다. 공동주택 및 기숙사 외의 건축물의 경우: 연면적 5백제곱미터 이상
&lt;에너지절약계획서&gt;
  가. 공동주택의 경우: 「주택건설기준 등에 관한 규정」 제64조제2항에 따른 친환경 주택 에너지 절약계획 제출 대상일 것
  나. 공동주택 외의 건축물의 경우: 법 제14조제1항에 따른 에너지 절약계획서 제출 대상일 것
※ 기숙사의 경우 제로에너지는 제외됨(건물에너지효율등급은 해야 함)</t>
    <phoneticPr fontId="2" type="noConversion"/>
  </si>
  <si>
    <t>건축물 용도(=기숙사)</t>
    <phoneticPr fontId="2" type="noConversion"/>
  </si>
  <si>
    <t>기숙사</t>
    <phoneticPr fontId="2" type="noConversion"/>
  </si>
  <si>
    <t>건축물 용도(=공동주택 및 기숙사 외)</t>
    <phoneticPr fontId="2" type="noConversion"/>
  </si>
  <si>
    <t>법규4</t>
    <phoneticPr fontId="2" type="noConversion"/>
  </si>
  <si>
    <t>공공기관 에너지이용 합리화 추진에 관한 규정 제6조</t>
    <phoneticPr fontId="2" type="noConversion"/>
  </si>
  <si>
    <r>
      <t xml:space="preserve">공공기관 에너지이용 합리화 추진에 관한 규정
[시행 2020. 11. 19.] [산업통상자원부고시 제2020-197호, 2020. 11. 19., 일부개정]
 제6조(신축건축물의 에너지이용 효율화 추진) ① 공공기관에서 「녹색건축물 조성 지원법」 제14조 및 같은 법 시행령 제10조에 따른 에너지절약계획서 제출대상 중 연면적이 1,000㎡이상이고, 「건축물 에너지효율등급 인증 및 제로에너지건축물 인증 기준(산업통상자원부·국토교통부 고시)」(이하 "건축물 인증 기준"이라고 한다)에서 건축물 인증 기준이 마련된 건축물을 신축·재축하거나 연면적 1,000㎡ 이상을 별동으로 증축하는 경우에는 건축물 인증 기준에 따른 제로에너지건축물 인증을 취득하여야 한다. 다만, 「건축법 시행령」별표 1의 제2호에 따른 공동주택은 제외한다. 
</t>
    </r>
    <r>
      <rPr>
        <b/>
        <sz val="11"/>
        <color theme="1"/>
        <rFont val="맑은 고딕"/>
        <family val="3"/>
        <charset val="129"/>
        <scheme val="minor"/>
      </rPr>
      <t xml:space="preserve">② 제1항에도 불구하고 공공기관에서 「녹색건축물 조성 지원법」 제14조 및 같은 법 시행령 제10조에 따른 에너지절약계획서 제출대상 또는 「주택법」 제15조 및 「주택건설기준 등에 관한 규정」 제64조에 따른 친환경주택 에너지절약계획서 제출대상 중 연면적이 1,000㎡ 이상인 「건축법 시행령」 별표 1의 제2호에 따른 공동주택을 신축·재축·개축하거나 별동으로 증축하는 경우에는 건축물에너지효율 1등급 이상을 의무적으로 취득하여야 한다. </t>
    </r>
    <phoneticPr fontId="2" type="noConversion"/>
  </si>
  <si>
    <t>제로에너지건축물(ZEB) 인증</t>
    <phoneticPr fontId="2" type="noConversion"/>
  </si>
  <si>
    <r>
      <t xml:space="preserve">공공기관 에너지이용 합리화 추진에 관한 규정
[시행 2020. 11. 19.] [산업통상자원부고시 제2020-197호, 2020. 11. 19., 일부개정]
 제6조(신축건축물의 에너지이용 효율화 추진) ① </t>
    </r>
    <r>
      <rPr>
        <b/>
        <sz val="11"/>
        <color theme="1"/>
        <rFont val="맑은 고딕"/>
        <family val="3"/>
        <charset val="129"/>
        <scheme val="minor"/>
      </rPr>
      <t xml:space="preserve">공공기관에서 「녹색건축물 조성 지원법」 제14조 및 같은 법 시행령 제10조에 따른 에너지절약계획서 제출대상 중 연면적이 1,000㎡이상이고, 「건축물 에너지효율등급 인증 및 제로에너지건축물 인증 기준(산업통상자원부·국토교통부 고시)」(이하 "건축물 인증 기준"이라고 한다)에서 건축물 인증 기준이 마련된 건축물을 신축·재축하거나 연면적 1,000㎡ 이상을 별동으로 증축하는 경우에는 건축물 인증 기준에 따른 제로에너지건축물 인증을 취득하여야 한다. 다만, 「건축법 시행령」별표 1의 제2호에 따른 공동주택은 제외한다. </t>
    </r>
    <r>
      <rPr>
        <sz val="11"/>
        <color theme="1"/>
        <rFont val="맑은 고딕"/>
        <family val="2"/>
        <charset val="129"/>
        <scheme val="minor"/>
      </rPr>
      <t xml:space="preserve">
</t>
    </r>
    <r>
      <rPr>
        <sz val="11"/>
        <color theme="1"/>
        <rFont val="맑은 고딕"/>
        <family val="3"/>
        <charset val="129"/>
        <scheme val="minor"/>
      </rPr>
      <t xml:space="preserve">② 제1항에도 불구하고 공공기관에서 「녹색건축물 조성 지원법」 제14조 및 같은 법 시행령 제10조에 따른 에너지절약계획서 제출대상 또는 「주택법」 제15조 및 「주택건설기준 등에 관한 규정」 제64조에 따른 친환경주택 에너지절약계획서 제출대상 중 연면적이 1,000㎡ 이상인 「건축법 시행령」 별표 1의 제2호에 따른 공동주택을 신축·재축·개축하거나 별동으로 증축하는 경우에는 건축물에너지효율 1등급 이상을 의무적으로 취득하여야 한다. </t>
    </r>
    <phoneticPr fontId="2" type="noConversion"/>
  </si>
  <si>
    <t>공공기관 발주+공동주택+30세대이상 = 제로의무(등급무관)
공공기관 발주+공동주택 외+연면적5백이상 = 제로의무(등급무관)</t>
    <phoneticPr fontId="2" type="noConversion"/>
  </si>
  <si>
    <t>공공기관 발주+공동주택+30세대이상 = 에효의무(등급무관)
공공기관 발주+기숙사+연면적3천이상 = 에효의무(등급무관)
공공기관 발주+공동주택 및 기숙사 외+연면적5백이상 = 에효의무(등급무관)</t>
    <phoneticPr fontId="2" type="noConversion"/>
  </si>
  <si>
    <t>공공기관 발주+공동주택+연면적1천 이상 = 에효의무(1등급)</t>
    <phoneticPr fontId="2" type="noConversion"/>
  </si>
  <si>
    <t>건축물 용도(=공동주택 외)</t>
    <phoneticPr fontId="2" type="noConversion"/>
  </si>
  <si>
    <r>
      <t xml:space="preserve">공공기관 발주+공동주택 외+연면적1천 이상 = 제로의무(등급무관) 
</t>
    </r>
    <r>
      <rPr>
        <sz val="11"/>
        <color theme="1"/>
        <rFont val="맑은 고딕"/>
        <family val="3"/>
        <charset val="129"/>
      </rPr>
      <t>※ 좌측 내용과 중복되므로 의미 없어짐</t>
    </r>
    <phoneticPr fontId="2" type="noConversion"/>
  </si>
  <si>
    <t>장애물없는생활환경(BF) 인증</t>
    <phoneticPr fontId="2" type="noConversion"/>
  </si>
  <si>
    <t>장애인ㆍ노인ㆍ임산부 등의 편의증진 보장에 관한 법률 제10조의2</t>
    <phoneticPr fontId="2" type="noConversion"/>
  </si>
  <si>
    <t>건축물 용도(=공원시설)</t>
    <phoneticPr fontId="2" type="noConversion"/>
  </si>
  <si>
    <t>국가 또는 지방자치단체</t>
    <phoneticPr fontId="2" type="noConversion"/>
  </si>
  <si>
    <t>공원시설</t>
    <phoneticPr fontId="2" type="noConversion"/>
  </si>
  <si>
    <t>건축물 용도(=초고층건축물 및 지하연계 건축물)</t>
    <phoneticPr fontId="2" type="noConversion"/>
  </si>
  <si>
    <t>민간</t>
    <phoneticPr fontId="2" type="noConversion"/>
  </si>
  <si>
    <t>초고층건축물 및 지하연계 건축물</t>
    <phoneticPr fontId="2" type="noConversion"/>
  </si>
  <si>
    <t>주택건설기준 등에 관한 규정 65조의2</t>
    <phoneticPr fontId="2" type="noConversion"/>
  </si>
  <si>
    <t>1000세대 이상 공동주택</t>
    <phoneticPr fontId="2" type="noConversion"/>
  </si>
  <si>
    <t>세대수(&gt;=1000)</t>
    <phoneticPr fontId="2" type="noConversion"/>
  </si>
  <si>
    <t>제6조(교육환경평가서의 승인 등) ① 다음 각 호의 자는 교육환경에 미치는 영향에 관한 평가서(이하 “교육환경평가서”라 한다)를 대통령령으로 정하는 바에 따라 관할 교육감에게 제출하고 그 승인을 받아야 한다.
1. 학교를 설립하려는 자
2. 「국토의 계획 및 이용에 관한 법률」 제24조에 따른 도시ㆍ군관리계획의 입안자
3. 「학교용지 확보 등에 관한 특례법」 제3조제1항에 따른 개발사업시행자
4. 학교(「고등교육법」 제2조 각 호에 따른 학교는 제외한다) 또는 제8조제1항에 따라 설정ㆍ고시된 교육환경보호구역이 「도시 및 주거환경정비법」 제2조제1호에 따른 정비구역으로 지정ㆍ고시되어 해당 구역에서 정비사업을 시행하려는 자
5. 제8조제1항에 따라 설정ㆍ고시된 교육환경보호구역에서 「건축법」 제11조제1항 단서에 따른 규모의 건축을 하려는 자</t>
    <phoneticPr fontId="2" type="noConversion"/>
  </si>
  <si>
    <t>교육환경 보호에 관한 법률</t>
    <phoneticPr fontId="2" type="noConversion"/>
  </si>
  <si>
    <t>층수(&gt;=21층)</t>
    <phoneticPr fontId="2" type="noConversion"/>
  </si>
  <si>
    <t>건축법 시행령
[시행 2023. 2. 14.] [대통령령 제33249호, 2023. 2. 14., 일부개정] 전체조문보기
  제8조(건축허가) ① 법 제11조제1항 단서에 따라 특별시장 또는 광역시장의 허가를 받아야 하는 건축물의 건축은 층수가 21층 이상이거나 연면적의 합계가 10만 제곱미터 이상인 건축물의 건축(연면적의 10분의 3 이상을 증축하여 층수가 21층 이상으로 되거나 연면적의 합계가 10만 제곱미터 이상으로 되는 경우를 포함한다)을 말한다. 다만, 다음 각 호의 어느 하나에 해당하는 건축물의 건축은 제외한다. &lt;개정 2008. 10. 29., 2009. 7. 16., 2010. 12. 13., 2012. 12. 12., 2014. 11. 11., 2014. 11. 28.&gt;
1. 공장
2. 창고
3. 지방건축위원회의 심의를 거친 건축물(특별시 또는 광역시의 건축조례로 정하는 바에 따라 해당 지방건축위원회의 심의사항으로 할 수 있는 건축물에 한정하며, 초고층 건축물은 제외한다)</t>
    <phoneticPr fontId="2" type="noConversion"/>
  </si>
  <si>
    <t>건축법 시행령 제8조</t>
    <phoneticPr fontId="2" type="noConversion"/>
  </si>
  <si>
    <t>연면적(&gt;=100000)</t>
    <phoneticPr fontId="2" type="noConversion"/>
  </si>
  <si>
    <t>용도변경</t>
    <phoneticPr fontId="2" type="noConversion"/>
  </si>
  <si>
    <t>건축물대장 기재사항 변경</t>
    <phoneticPr fontId="2" type="noConversion"/>
  </si>
  <si>
    <t>재축</t>
    <phoneticPr fontId="2" type="noConversion"/>
  </si>
  <si>
    <t>별동 증축</t>
    <phoneticPr fontId="2" type="noConversion"/>
  </si>
  <si>
    <t>그 외</t>
    <phoneticPr fontId="2" type="noConversion"/>
  </si>
  <si>
    <t>한강 수계 지역</t>
    <phoneticPr fontId="2" type="noConversion"/>
  </si>
  <si>
    <t>낙동강 수계 지역</t>
    <phoneticPr fontId="2" type="noConversion"/>
  </si>
  <si>
    <t>금강 수계 지역</t>
    <phoneticPr fontId="2" type="noConversion"/>
  </si>
  <si>
    <t>영산강,섬진강 수계 지역</t>
    <phoneticPr fontId="2" type="noConversion"/>
  </si>
  <si>
    <t>200m 이내 교육시설 존재</t>
    <phoneticPr fontId="2" type="noConversion"/>
  </si>
  <si>
    <t>데이터 유효성 목록</t>
    <phoneticPr fontId="2" type="noConversion"/>
  </si>
  <si>
    <t>세대수(공동주택일 경우)</t>
    <phoneticPr fontId="2" type="noConversion"/>
  </si>
  <si>
    <t>층수</t>
    <phoneticPr fontId="2" type="noConversion"/>
  </si>
  <si>
    <t>발주처 구분</t>
    <phoneticPr fontId="2" type="noConversion"/>
  </si>
  <si>
    <t>사업계획승인/인허가</t>
    <phoneticPr fontId="2" type="noConversion"/>
  </si>
  <si>
    <t>교육환경보호구역 해당</t>
    <phoneticPr fontId="2" type="noConversion"/>
  </si>
  <si>
    <t>4대강 수계 해당</t>
    <phoneticPr fontId="2" type="noConversion"/>
  </si>
  <si>
    <t>공동주택</t>
  </si>
  <si>
    <t>100kW</t>
    <phoneticPr fontId="2" type="noConversion"/>
  </si>
  <si>
    <t>인허가 및 사업승인 관련</t>
    <phoneticPr fontId="2" type="noConversion"/>
  </si>
  <si>
    <t>공급 의무 비율</t>
    <phoneticPr fontId="2" type="noConversion"/>
  </si>
  <si>
    <t>친환경 관련 의무 사항</t>
    <phoneticPr fontId="2" type="noConversion"/>
  </si>
  <si>
    <t>서울특별시</t>
  </si>
  <si>
    <t>신축</t>
  </si>
  <si>
    <t>난방 적용 건축물</t>
  </si>
  <si>
    <t>난방 적용 건축물</t>
    <phoneticPr fontId="2" type="noConversion"/>
  </si>
  <si>
    <t>난방 50% 미만(연면적) 건축물</t>
    <phoneticPr fontId="2" type="noConversion"/>
  </si>
  <si>
    <t>난방 미적용 건축물</t>
    <phoneticPr fontId="2" type="noConversion"/>
  </si>
  <si>
    <t>난방 적용 여부</t>
    <phoneticPr fontId="2" type="noConversion"/>
  </si>
  <si>
    <t>200m 이내 교육시설 존재</t>
  </si>
  <si>
    <t>도시정비사업 해당</t>
    <phoneticPr fontId="2" type="noConversion"/>
  </si>
  <si>
    <t>도시정비사업 아님</t>
    <phoneticPr fontId="2" type="noConversion"/>
  </si>
  <si>
    <t>해당지역 아님</t>
    <phoneticPr fontId="2" type="noConversion"/>
  </si>
  <si>
    <t>해당구역 아님</t>
    <phoneticPr fontId="2" type="noConversion"/>
  </si>
  <si>
    <t>필요용량(PV 적용시)</t>
    <phoneticPr fontId="2" type="noConversion"/>
  </si>
  <si>
    <t>지하주차장 연면적(㎡)</t>
    <phoneticPr fontId="2" type="noConversion"/>
  </si>
  <si>
    <t>사업계획승인/인허가(=사업계획승인)</t>
    <phoneticPr fontId="2" type="noConversion"/>
  </si>
  <si>
    <t>사업계획승인/인허가
(=건축허가, 용도변경, 건축물대장 기재내용 변경 해당)</t>
    <phoneticPr fontId="2" type="noConversion"/>
  </si>
  <si>
    <t>건축물 용도(=업무시설 또는 교육연구시설)</t>
    <phoneticPr fontId="2" type="noConversion"/>
  </si>
  <si>
    <t>신축/재축/증축 구분</t>
    <phoneticPr fontId="2" type="noConversion"/>
  </si>
  <si>
    <t>신축/재축/증축 구분(=신축, 재축, 별동증축)</t>
    <phoneticPr fontId="2" type="noConversion"/>
  </si>
  <si>
    <t>건축물 용도(=대부분 해당, 별도 확인 필요-BF)</t>
    <phoneticPr fontId="2" type="noConversion"/>
  </si>
  <si>
    <t>건축물 용도(=일반 주거용 건축물)</t>
  </si>
  <si>
    <t>건축물 용도(=비주거용건축물)</t>
  </si>
  <si>
    <t>건축물 용도(=별도 목록에 해당)</t>
  </si>
  <si>
    <t>발주처 구분(=공공기관)</t>
    <phoneticPr fontId="2" type="noConversion"/>
  </si>
  <si>
    <t>발주처 구분(=공공발주)</t>
    <phoneticPr fontId="2" type="noConversion"/>
  </si>
  <si>
    <t>발주처 구분(=국가 또는 지방자치단체)</t>
    <phoneticPr fontId="2" type="noConversion"/>
  </si>
  <si>
    <t>발주처 구분(=민간)</t>
    <phoneticPr fontId="2" type="noConversion"/>
  </si>
  <si>
    <t>사업계획승인/인허가(=건축허가)</t>
  </si>
  <si>
    <t>메인UI 입력값</t>
    <phoneticPr fontId="2" type="noConversion"/>
  </si>
  <si>
    <t>카테고리</t>
    <phoneticPr fontId="2" type="noConversion"/>
  </si>
  <si>
    <t xml:space="preserve">조건문 </t>
    <phoneticPr fontId="2" type="noConversion"/>
  </si>
  <si>
    <t>4대강 수계 해당(=4대강 수계 해당지역)</t>
  </si>
  <si>
    <t>조건 기준값</t>
    <phoneticPr fontId="2" type="noConversion"/>
  </si>
  <si>
    <t>별도 목록에 해당</t>
    <phoneticPr fontId="2" type="noConversion"/>
  </si>
  <si>
    <t>교육환경보호구역(=200m 이내 교육시설 존재)</t>
  </si>
  <si>
    <t>교육연구시설</t>
    <phoneticPr fontId="2" type="noConversion"/>
  </si>
  <si>
    <t>판정결과</t>
    <phoneticPr fontId="2" type="noConversion"/>
  </si>
  <si>
    <t>의무대상 여부 판정</t>
    <phoneticPr fontId="2" type="noConversion"/>
  </si>
  <si>
    <t>모두 만족
(AND)</t>
    <phoneticPr fontId="2" type="noConversion"/>
  </si>
  <si>
    <t>사업계획승인/인허가(=건축허가)</t>
    <phoneticPr fontId="2" type="noConversion"/>
  </si>
  <si>
    <t>건축물 용도(=일반 주거용 건축물)</t>
    <phoneticPr fontId="2" type="noConversion"/>
  </si>
  <si>
    <t>건축물 용도(=비주거용건축물)</t>
    <phoneticPr fontId="2" type="noConversion"/>
  </si>
  <si>
    <t>판정결과 불러오기</t>
    <phoneticPr fontId="2" type="noConversion"/>
  </si>
  <si>
    <t>▶
(OR)</t>
    <phoneticPr fontId="2" type="noConversion"/>
  </si>
  <si>
    <t>건축물 용도(=오피스텔)</t>
    <phoneticPr fontId="2" type="noConversion"/>
  </si>
  <si>
    <t>sum</t>
    <phoneticPr fontId="2" type="noConversion"/>
  </si>
  <si>
    <t>다가구/다세대/연립주택</t>
    <phoneticPr fontId="2" type="noConversion"/>
  </si>
  <si>
    <t>소매점(제1종 근린생활시설)</t>
    <phoneticPr fontId="2" type="noConversion"/>
  </si>
  <si>
    <t>다중생활시설(제2종 근린생활시설)</t>
    <phoneticPr fontId="2" type="noConversion"/>
  </si>
  <si>
    <t>문화 및 집회시설(동식물원 제외)</t>
    <phoneticPr fontId="2" type="noConversion"/>
  </si>
  <si>
    <t>교육연구시설(연구소 및 도서관 제외)</t>
    <phoneticPr fontId="2" type="noConversion"/>
  </si>
  <si>
    <t>노유자시설</t>
    <phoneticPr fontId="2" type="noConversion"/>
  </si>
  <si>
    <t>수련시설</t>
    <phoneticPr fontId="2" type="noConversion"/>
  </si>
  <si>
    <t>다중생활시설(숙박시설)</t>
    <phoneticPr fontId="2" type="noConversion"/>
  </si>
  <si>
    <t>건축물 용도(=다가구/다세대/연립주택)</t>
    <phoneticPr fontId="2" type="noConversion"/>
  </si>
  <si>
    <t>건축물 용도(=소매점(제1종 근린생활시설))</t>
    <phoneticPr fontId="2" type="noConversion"/>
  </si>
  <si>
    <t>건축물 용도(=다중생활시설(제2종 근린생활시설))</t>
    <phoneticPr fontId="2" type="noConversion"/>
  </si>
  <si>
    <t>건축물 용도(=다중생활시설(숙박시설))</t>
    <phoneticPr fontId="2" type="noConversion"/>
  </si>
  <si>
    <t>건축물 용도(=문화 및 집회시설(동식물원 제외))</t>
    <phoneticPr fontId="2" type="noConversion"/>
  </si>
  <si>
    <t>건축물 용도(=교육연구시설(연구소 및 도서관 제외))</t>
    <phoneticPr fontId="2" type="noConversion"/>
  </si>
  <si>
    <t>건축물 용도(=노유자시설)</t>
    <phoneticPr fontId="2" type="noConversion"/>
  </si>
  <si>
    <t>건축물 용도(=수련시설)</t>
    <phoneticPr fontId="2" type="noConversion"/>
  </si>
  <si>
    <t>하나라도 해당되면 의무대상</t>
    <phoneticPr fontId="2" type="noConversion"/>
  </si>
  <si>
    <t>4대강 수계 해당(=4대강 수계 해당지역)</t>
    <phoneticPr fontId="2" type="noConversion"/>
  </si>
  <si>
    <t>일반등급</t>
    <phoneticPr fontId="2" type="noConversion"/>
  </si>
  <si>
    <t>우수등급</t>
    <phoneticPr fontId="2" type="noConversion"/>
  </si>
  <si>
    <t>등급무관</t>
    <phoneticPr fontId="2" type="noConversion"/>
  </si>
  <si>
    <t>교육환경보호구역(=200m 이내 교육시설 존재)</t>
    <phoneticPr fontId="2" type="noConversion"/>
  </si>
  <si>
    <t>도시정비사업 해당(=도시정비사업 해당)</t>
    <phoneticPr fontId="2" type="noConversion"/>
  </si>
  <si>
    <t>도시정비사업 해당</t>
  </si>
  <si>
    <t>자세히 보기</t>
    <phoneticPr fontId="2" type="noConversion"/>
  </si>
  <si>
    <t>☞</t>
    <phoneticPr fontId="2" type="noConversion"/>
  </si>
  <si>
    <t>항목별 법규 요약</t>
    <phoneticPr fontId="2" type="noConversion"/>
  </si>
  <si>
    <t>신재생에너지 용량 자동 산출</t>
    <phoneticPr fontId="2" type="noConversion"/>
  </si>
  <si>
    <r>
      <t>친환경 관련 법규 해당사항</t>
    </r>
    <r>
      <rPr>
        <b/>
        <sz val="14"/>
        <color rgb="FFFF0000"/>
        <rFont val="맑은 고딕"/>
        <family val="3"/>
        <charset val="129"/>
        <scheme val="minor"/>
      </rPr>
      <t xml:space="preserve"> (요구등급 추가 예정, 지자체별 기준 적용 예정)</t>
    </r>
    <phoneticPr fontId="2" type="noConversion"/>
  </si>
  <si>
    <t>단열재 두께 자동 산출 예정</t>
    <phoneticPr fontId="2" type="noConversion"/>
  </si>
  <si>
    <t>단열재 종류별 두께 자동산출</t>
    <phoneticPr fontId="2" type="noConversion"/>
  </si>
  <si>
    <t>예상에너지 사용량 / 신재생에너지 필요용량 자동 산출</t>
    <phoneticPr fontId="2" type="noConversion"/>
  </si>
  <si>
    <t>각 항목별 법규 판단 근거 간략하게 자동 정리</t>
    <phoneticPr fontId="2" type="noConversion"/>
  </si>
  <si>
    <t>자세히 보기 탭 누르면 나올 내용들 (자동 알고리즘 구현 예정)</t>
    <phoneticPr fontId="2" type="noConversion"/>
  </si>
  <si>
    <t>**신재생에너지 자동화 아직 미적용 상태임</t>
    <phoneticPr fontId="2" type="noConversion"/>
  </si>
  <si>
    <t>**경관심의대상 관련 법규 조사해야 함</t>
    <phoneticPr fontId="2" type="noConversion"/>
  </si>
  <si>
    <t>남해군 상주항, 금전항 어촌뉴딜사업 해양레저스테이션</t>
    <phoneticPr fontId="2" type="noConversion"/>
  </si>
  <si>
    <t>공공기관</t>
  </si>
  <si>
    <t>대부분 해당, 별도 확인 필요(BF)</t>
    <phoneticPr fontId="2" type="noConversion"/>
  </si>
  <si>
    <t>Y=1   N=0</t>
    <phoneticPr fontId="2" type="noConversion"/>
  </si>
  <si>
    <t>입력값=조건기준값
일치 여부</t>
    <phoneticPr fontId="2" type="noConversion"/>
  </si>
  <si>
    <t>조건 일치 최종 판정
Y=조건일치    N=조건 불일치</t>
    <phoneticPr fontId="2" type="noConversion"/>
  </si>
  <si>
    <t>OR</t>
    <phoneticPr fontId="2" type="noConversion"/>
  </si>
  <si>
    <t>OR+NOT</t>
    <phoneticPr fontId="2" type="noConversion"/>
  </si>
  <si>
    <t>건축허가</t>
  </si>
  <si>
    <t>한강 수계 지역</t>
  </si>
  <si>
    <t>ver.230315b</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</si>
</sst>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76" formatCode="0_);[Red]\(0\)"/>
    <numFmt numFmtId="177" formatCode="0.0_);[Red]\(0.0\)"/>
    <numFmt numFmtId="181" formatCode="0.00_);[Red]\(0.00\)"/>
    <numFmt numFmtId="190" formatCode="0.0"/>
    <numFmt numFmtId="191" formatCode="0.00000"/>
    <numFmt numFmtId="192" formatCode="#,##0.00_ "/>
    <numFmt numFmtId="193" formatCode="&quot;(전문분야별 가중치 : &quot;#&quot;)&quot;"/>
    <numFmt numFmtId="194" formatCode="##&quot; )&quot;"/>
    <numFmt numFmtId="195" formatCode="&quot;( &quot;#0.00"/>
    <numFmt numFmtId="196" formatCode="[$-F800]dddd\,\ mmmm\ dd\,\ yyyy"/>
    <numFmt numFmtId="197" formatCode="&quot;업무시설 부분 총점  &quot;#0.00"/>
    <numFmt numFmtId="198" formatCode="#0.00\ &quot;%&quot;"/>
    <numFmt numFmtId="199" formatCode="###,###,###,###"/>
    <numFmt numFmtId="200" formatCode="#,##0&quot;건&quot;"/>
    <numFmt numFmtId="201" formatCode="#,##0&quot;건 해당&quot;"/>
    <numFmt numFmtId="202" formatCode="&quot;총 &quot;#,##0&quot;건 해당&quot;"/>
    <numFmt numFmtId="203" formatCode="&quot;조건문 갯수 = &quot;General"/>
  </numFmts>
  <fonts count="9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11"/>
      <color theme="1"/>
      <name val="맑은 고딕"/>
      <family val="3"/>
      <charset val="129"/>
      <scheme val="minor"/>
    </font>
    <font>
      <b/>
      <sz val="14"/>
      <color theme="1"/>
      <name val="맑은 고딕"/>
      <family val="3"/>
      <charset val="129"/>
      <scheme val="minor"/>
    </font>
    <font>
      <b/>
      <sz val="12"/>
      <color theme="1"/>
      <name val="맑은 고딕"/>
      <family val="3"/>
      <charset val="129"/>
      <scheme val="minor"/>
    </font>
    <font>
      <b/>
      <sz val="10"/>
      <color theme="1"/>
      <name val="맑은 고딕"/>
      <family val="3"/>
      <charset val="129"/>
      <scheme val="minor"/>
    </font>
    <font>
      <b/>
      <sz val="30"/>
      <color rgb="FFC4BD97"/>
      <name val="맑은 고딕"/>
      <family val="3"/>
      <charset val="129"/>
      <scheme val="minor"/>
    </font>
    <font>
      <b/>
      <sz val="18"/>
      <color theme="2" tint="-0.499984740745262"/>
      <name val="맑은 고딕"/>
      <family val="3"/>
      <charset val="129"/>
      <scheme val="minor"/>
    </font>
    <font>
      <sz val="10"/>
      <color theme="1"/>
      <name val="-윤고딕120"/>
      <family val="2"/>
      <charset val="129"/>
    </font>
    <font>
      <sz val="10"/>
      <color theme="1"/>
      <name val="맑은 고딕"/>
      <family val="3"/>
      <charset val="129"/>
    </font>
    <font>
      <sz val="10"/>
      <color theme="1"/>
      <name val="맑은 고딕"/>
      <family val="2"/>
      <charset val="129"/>
    </font>
    <font>
      <sz val="9"/>
      <color theme="1"/>
      <name val="맑은 고딕"/>
      <family val="3"/>
      <charset val="129"/>
      <scheme val="minor"/>
    </font>
    <font>
      <b/>
      <sz val="12"/>
      <color theme="0"/>
      <name val="맑은 고딕"/>
      <family val="3"/>
      <charset val="129"/>
      <scheme val="minor"/>
    </font>
    <font>
      <sz val="9"/>
      <color theme="0"/>
      <name val="맑은 고딕"/>
      <family val="3"/>
      <charset val="129"/>
      <scheme val="minor"/>
    </font>
    <font>
      <b/>
      <sz val="10"/>
      <color rgb="FFC4BD97"/>
      <name val="맑은 고딕"/>
      <family val="3"/>
      <charset val="129"/>
      <scheme val="minor"/>
    </font>
    <font>
      <b/>
      <sz val="11"/>
      <color rgb="FFC4BD97"/>
      <name val="맑은 고딕"/>
      <family val="3"/>
      <charset val="129"/>
      <scheme val="minor"/>
    </font>
    <font>
      <b/>
      <sz val="11"/>
      <color theme="0"/>
      <name val="맑은 고딕"/>
      <family val="3"/>
      <charset val="129"/>
      <scheme val="minor"/>
    </font>
    <font>
      <sz val="10"/>
      <color theme="0"/>
      <name val="맑은 고딕"/>
      <family val="3"/>
      <charset val="129"/>
      <scheme val="minor"/>
    </font>
    <font>
      <sz val="9"/>
      <color theme="1"/>
      <name val="맑은 고딕"/>
      <family val="3"/>
      <charset val="129"/>
    </font>
    <font>
      <b/>
      <sz val="9"/>
      <name val="맑은 고딕"/>
      <family val="3"/>
      <charset val="129"/>
      <scheme val="minor"/>
    </font>
    <font>
      <b/>
      <sz val="10"/>
      <color rgb="FFFF0000"/>
      <name val="맑은 고딕"/>
      <family val="3"/>
      <charset val="129"/>
      <scheme val="minor"/>
    </font>
    <font>
      <b/>
      <sz val="8"/>
      <color theme="0"/>
      <name val="맑은 고딕"/>
      <family val="3"/>
      <charset val="129"/>
      <scheme val="minor"/>
    </font>
    <font>
      <b/>
      <sz val="10"/>
      <color theme="9"/>
      <name val="맑은 고딕"/>
      <family val="3"/>
      <charset val="129"/>
      <scheme val="minor"/>
    </font>
    <font>
      <b/>
      <sz val="9"/>
      <color theme="9"/>
      <name val="맑은 고딕"/>
      <family val="3"/>
      <charset val="129"/>
      <scheme val="minor"/>
    </font>
    <font>
      <sz val="10"/>
      <color rgb="FFFF0000"/>
      <name val="맑은 고딕"/>
      <family val="3"/>
      <charset val="129"/>
      <scheme val="minor"/>
    </font>
    <font>
      <sz val="9"/>
      <name val="맑은 고딕"/>
      <family val="3"/>
      <charset val="129"/>
      <scheme val="minor"/>
    </font>
    <font>
      <b/>
      <sz val="12"/>
      <name val="맑은 고딕"/>
      <family val="3"/>
      <charset val="129"/>
      <scheme val="minor"/>
    </font>
    <font>
      <b/>
      <sz val="10"/>
      <name val="맑은 고딕"/>
      <family val="3"/>
      <charset val="129"/>
      <scheme val="minor"/>
    </font>
    <font>
      <sz val="10"/>
      <name val="맑은 고딕"/>
      <family val="3"/>
      <charset val="129"/>
      <scheme val="minor"/>
    </font>
    <font>
      <b/>
      <sz val="11"/>
      <name val="맑은 고딕"/>
      <family val="3"/>
      <charset val="129"/>
      <scheme val="minor"/>
    </font>
    <font>
      <sz val="11"/>
      <name val="맑은 고딕"/>
      <family val="3"/>
      <charset val="129"/>
      <scheme val="minor"/>
    </font>
    <font>
      <sz val="12"/>
      <color theme="1"/>
      <name val="맑은 고딕"/>
      <family val="3"/>
      <charset val="129"/>
      <scheme val="minor"/>
    </font>
    <font>
      <b/>
      <sz val="10"/>
      <color theme="1"/>
      <name val="Tahoma"/>
      <family val="3"/>
      <charset val="1"/>
    </font>
    <font>
      <sz val="10"/>
      <color theme="0"/>
      <name val="맑은 고딕"/>
      <family val="3"/>
      <charset val="129"/>
    </font>
    <font>
      <b/>
      <sz val="9"/>
      <color theme="0"/>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2"/>
      <name val="맑은 고딕"/>
      <family val="3"/>
      <charset val="129"/>
      <scheme val="minor"/>
    </font>
    <font>
      <b/>
      <sz val="11"/>
      <color theme="1"/>
      <name val="맑은 고딕"/>
      <family val="3"/>
      <charset val="129"/>
      <scheme val="minor"/>
    </font>
    <font>
      <b/>
      <sz val="13"/>
      <color theme="1"/>
      <name val="맑은 고딕"/>
      <family val="3"/>
      <charset val="129"/>
      <scheme val="minor"/>
    </font>
    <font>
      <b/>
      <sz val="13"/>
      <name val="맑은 고딕"/>
      <family val="3"/>
      <charset val="129"/>
      <scheme val="minor"/>
    </font>
    <font>
      <b/>
      <sz val="20"/>
      <name val="맑은 고딕"/>
      <family val="3"/>
      <charset val="129"/>
      <scheme val="minor"/>
    </font>
    <font>
      <sz val="10"/>
      <color theme="1"/>
      <name val="Segoe UI Symbol"/>
      <family val="3"/>
    </font>
    <font>
      <b/>
      <sz val="13"/>
      <color theme="0"/>
      <name val="맑은 고딕"/>
      <family val="3"/>
      <charset val="129"/>
      <scheme val="minor"/>
    </font>
    <font>
      <b/>
      <sz val="14"/>
      <color theme="0"/>
      <name val="맑은 고딕"/>
      <family val="3"/>
      <charset val="129"/>
      <scheme val="minor"/>
    </font>
    <font>
      <b/>
      <sz val="14"/>
      <color rgb="FF0000FF"/>
      <name val="맑은 고딕"/>
      <family val="3"/>
      <charset val="129"/>
      <scheme val="minor"/>
    </font>
    <font>
      <b/>
      <sz val="16"/>
      <name val="맑은 고딕"/>
      <family val="3"/>
      <charset val="129"/>
      <scheme val="minor"/>
    </font>
    <font>
      <b/>
      <sz val="20"/>
      <color rgb="FFBDAFA2"/>
      <name val="맑은 고딕"/>
      <family val="3"/>
      <charset val="129"/>
      <scheme val="minor"/>
    </font>
    <font>
      <b/>
      <sz val="20"/>
      <color rgb="FFC4BD97"/>
      <name val="맑은 고딕"/>
      <family val="3"/>
      <charset val="129"/>
      <scheme val="minor"/>
    </font>
    <font>
      <b/>
      <sz val="10"/>
      <color theme="1"/>
      <name val="Segoe UI Symbol"/>
      <family val="3"/>
    </font>
    <font>
      <b/>
      <sz val="10"/>
      <color theme="1"/>
      <name val="Calibri"/>
      <family val="3"/>
    </font>
    <font>
      <b/>
      <sz val="18"/>
      <color theme="0"/>
      <name val="맑은 고딕"/>
      <family val="3"/>
      <charset val="129"/>
      <scheme val="minor"/>
    </font>
    <font>
      <b/>
      <sz val="10"/>
      <color theme="0"/>
      <name val="맑은 고딕"/>
      <family val="3"/>
      <charset val="129"/>
      <scheme val="minor"/>
    </font>
    <font>
      <b/>
      <sz val="10"/>
      <color theme="0"/>
      <name val="맑은 고딕"/>
      <family val="3"/>
      <charset val="129"/>
    </font>
    <font>
      <b/>
      <sz val="10"/>
      <color theme="1"/>
      <name val="맑은 고딕"/>
      <family val="3"/>
      <charset val="129"/>
      <scheme val="major"/>
    </font>
    <font>
      <sz val="10"/>
      <color theme="1"/>
      <name val="맑은 고딕"/>
      <family val="3"/>
      <charset val="129"/>
      <scheme val="major"/>
    </font>
    <font>
      <b/>
      <sz val="16"/>
      <name val="맑은 고딕"/>
      <family val="3"/>
      <charset val="129"/>
      <scheme val="major"/>
    </font>
    <font>
      <sz val="11"/>
      <color theme="1"/>
      <name val="맑은 고딕"/>
      <family val="3"/>
      <charset val="129"/>
    </font>
    <font>
      <b/>
      <sz val="16"/>
      <color theme="1"/>
      <name val="맑은 고딕"/>
      <family val="3"/>
      <charset val="129"/>
      <scheme val="minor"/>
    </font>
    <font>
      <sz val="9.35"/>
      <color theme="1"/>
      <name val="맑은 고딕"/>
      <family val="3"/>
      <charset val="129"/>
    </font>
    <font>
      <b/>
      <sz val="14"/>
      <name val="맑은 고딕"/>
      <family val="3"/>
      <charset val="129"/>
      <scheme val="minor"/>
    </font>
    <font>
      <b/>
      <sz val="11"/>
      <name val="Segoe UI Symbol"/>
      <family val="3"/>
    </font>
    <font>
      <sz val="11"/>
      <name val="Segoe UI Symbol"/>
      <family val="3"/>
    </font>
    <font>
      <b/>
      <sz val="11"/>
      <color theme="1"/>
      <name val="맑은 고딕"/>
      <family val="3"/>
      <charset val="129"/>
    </font>
    <font>
      <b/>
      <sz val="16"/>
      <color rgb="FFBDAFA2"/>
      <name val="맑은 고딕"/>
      <family val="3"/>
      <charset val="129"/>
      <scheme val="minor"/>
    </font>
    <font>
      <b/>
      <sz val="14"/>
      <name val="맑은 고딕"/>
      <family val="3"/>
      <charset val="129"/>
    </font>
    <font>
      <b/>
      <sz val="16"/>
      <color theme="0"/>
      <name val="맑은 고딕"/>
      <family val="3"/>
      <charset val="129"/>
      <scheme val="minor"/>
    </font>
    <font>
      <b/>
      <sz val="16"/>
      <color rgb="FFBDAFA2"/>
      <name val="맑은 고딕"/>
      <family val="3"/>
      <charset val="129"/>
    </font>
    <font>
      <sz val="24"/>
      <name val="맑은 고딕"/>
      <family val="3"/>
      <charset val="129"/>
    </font>
    <font>
      <sz val="24"/>
      <name val="맑은 고딕"/>
      <family val="3"/>
      <charset val="129"/>
      <scheme val="minor"/>
    </font>
    <font>
      <b/>
      <sz val="10"/>
      <color rgb="FFBDAFA2"/>
      <name val="맑은 고딕"/>
      <family val="3"/>
      <charset val="129"/>
      <scheme val="minor"/>
    </font>
    <font>
      <b/>
      <sz val="12"/>
      <color rgb="FFCEC3B9"/>
      <name val="맑은 고딕"/>
      <family val="3"/>
      <charset val="129"/>
      <scheme val="minor"/>
    </font>
    <font>
      <b/>
      <sz val="11"/>
      <color rgb="FF0000FF"/>
      <name val="맑은 고딕"/>
      <family val="3"/>
      <charset val="129"/>
      <scheme val="minor"/>
    </font>
    <font>
      <b/>
      <sz val="14"/>
      <color theme="1"/>
      <name val="맑은 고딕"/>
      <family val="3"/>
      <charset val="129"/>
    </font>
    <font>
      <b/>
      <sz val="11"/>
      <color rgb="FFFF0000"/>
      <name val="맑은 고딕"/>
      <family val="3"/>
      <charset val="129"/>
      <scheme val="minor"/>
    </font>
    <font>
      <b/>
      <sz val="11"/>
      <name val="맑은 고딕"/>
      <family val="3"/>
      <charset val="129"/>
    </font>
    <font>
      <b/>
      <sz val="12"/>
      <name val="맑은 고딕"/>
      <family val="3"/>
      <charset val="129"/>
    </font>
    <font>
      <sz val="12"/>
      <name val="맑은 고딕"/>
      <family val="3"/>
      <charset val="129"/>
    </font>
    <font>
      <b/>
      <sz val="20"/>
      <color theme="1"/>
      <name val="맑은 고딕"/>
      <family val="3"/>
      <charset val="129"/>
      <scheme val="minor"/>
    </font>
    <font>
      <b/>
      <sz val="28"/>
      <name val="맑은 고딕"/>
      <family val="3"/>
      <charset val="129"/>
    </font>
    <font>
      <b/>
      <sz val="20"/>
      <color theme="0"/>
      <name val="맑은 고딕"/>
      <family val="3"/>
      <charset val="129"/>
      <scheme val="minor"/>
    </font>
    <font>
      <b/>
      <sz val="14"/>
      <color rgb="FFCEC3B9"/>
      <name val="맑은 고딕"/>
      <family val="3"/>
      <charset val="129"/>
      <scheme val="minor"/>
    </font>
    <font>
      <b/>
      <sz val="14"/>
      <color rgb="FFFF0000"/>
      <name val="맑은 고딕"/>
      <family val="3"/>
      <charset val="129"/>
      <scheme val="minor"/>
    </font>
    <font>
      <b/>
      <sz val="12"/>
      <color rgb="FFFF0000"/>
      <name val="맑은 고딕"/>
      <family val="3"/>
      <charset val="129"/>
      <scheme val="minor"/>
    </font>
    <font>
      <sz val="9"/>
      <color rgb="FF0000FF"/>
      <name val="맑은 고딕"/>
      <family val="3"/>
      <charset val="129"/>
      <scheme val="minor"/>
    </font>
    <font>
      <sz val="9"/>
      <color rgb="FFFF0000"/>
      <name val="맑은 고딕"/>
      <family val="3"/>
      <charset val="129"/>
      <scheme val="minor"/>
    </font>
  </fonts>
  <fills count="4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E2DECC"/>
        <bgColor indexed="64"/>
      </patternFill>
    </fill>
    <fill>
      <patternFill patternType="solid">
        <fgColor theme="2"/>
        <bgColor indexed="64"/>
      </patternFill>
    </fill>
    <fill>
      <patternFill patternType="solid">
        <fgColor rgb="FF415454"/>
        <bgColor indexed="64"/>
      </patternFill>
    </fill>
    <fill>
      <patternFill patternType="solid">
        <fgColor rgb="FFB2A99A"/>
        <bgColor indexed="64"/>
      </patternFill>
    </fill>
    <fill>
      <patternFill patternType="solid">
        <fgColor rgb="FF40543D"/>
        <bgColor indexed="64"/>
      </patternFill>
    </fill>
    <fill>
      <patternFill patternType="solid">
        <fgColor rgb="FF707F6E"/>
        <bgColor indexed="64"/>
      </patternFill>
    </fill>
    <fill>
      <patternFill patternType="solid">
        <fgColor rgb="FF96A194"/>
        <bgColor indexed="64"/>
      </patternFill>
    </fill>
    <fill>
      <patternFill patternType="solid">
        <fgColor rgb="FFD0D5CF"/>
        <bgColor indexed="64"/>
      </patternFill>
    </fill>
    <fill>
      <patternFill patternType="solid">
        <fgColor rgb="FFBDAFA2"/>
        <bgColor indexed="64"/>
      </patternFill>
    </fill>
    <fill>
      <patternFill patternType="solid">
        <fgColor rgb="FFCEC3B9"/>
        <bgColor indexed="64"/>
      </patternFill>
    </fill>
    <fill>
      <patternFill patternType="solid">
        <fgColor rgb="FFDBD3CC"/>
        <bgColor indexed="64"/>
      </patternFill>
    </fill>
    <fill>
      <patternFill patternType="solid">
        <fgColor rgb="FFEFEBE8"/>
        <bgColor indexed="64"/>
      </patternFill>
    </fill>
    <fill>
      <patternFill patternType="solid">
        <fgColor theme="1"/>
        <bgColor indexed="64"/>
      </patternFill>
    </fill>
    <fill>
      <patternFill patternType="solid">
        <fgColor theme="2" tint="-9.9978637043366805E-2"/>
        <bgColor indexed="64"/>
      </patternFill>
    </fill>
    <fill>
      <patternFill patternType="solid">
        <fgColor theme="5"/>
        <bgColor indexed="64"/>
      </patternFill>
    </fill>
    <fill>
      <patternFill patternType="solid">
        <fgColor theme="9"/>
        <bgColor indexed="64"/>
      </patternFill>
    </fill>
    <fill>
      <patternFill patternType="solid">
        <fgColor rgb="FFFF0000"/>
        <bgColor indexed="64"/>
      </patternFill>
    </fill>
    <fill>
      <patternFill patternType="solid">
        <fgColor rgb="FF0000FF"/>
        <bgColor indexed="64"/>
      </patternFill>
    </fill>
    <fill>
      <patternFill patternType="solid">
        <fgColor rgb="FFCC9900"/>
        <bgColor indexed="64"/>
      </patternFill>
    </fill>
    <fill>
      <patternFill patternType="solid">
        <fgColor rgb="FF7030A0"/>
        <bgColor indexed="64"/>
      </patternFill>
    </fill>
    <fill>
      <patternFill patternType="solid">
        <fgColor rgb="FF33CC33"/>
        <bgColor indexed="64"/>
      </patternFill>
    </fill>
    <fill>
      <patternFill patternType="solid">
        <fgColor theme="9" tint="-0.499984740745262"/>
        <bgColor indexed="64"/>
      </patternFill>
    </fill>
    <fill>
      <patternFill patternType="solid">
        <fgColor rgb="FF666699"/>
        <bgColor indexed="64"/>
      </patternFill>
    </fill>
    <fill>
      <patternFill patternType="solid">
        <fgColor rgb="FFC00000"/>
        <bgColor indexed="64"/>
      </patternFill>
    </fill>
    <fill>
      <patternFill patternType="solid">
        <fgColor rgb="FF00FFFF"/>
        <bgColor indexed="64"/>
      </patternFill>
    </fill>
    <fill>
      <patternFill patternType="solid">
        <fgColor rgb="FF9933FF"/>
        <bgColor indexed="64"/>
      </patternFill>
    </fill>
    <fill>
      <patternFill patternType="solid">
        <fgColor rgb="FFFFC000"/>
        <bgColor indexed="64"/>
      </patternFill>
    </fill>
    <fill>
      <patternFill patternType="solid">
        <fgColor rgb="FFFF9966"/>
        <bgColor indexed="64"/>
      </patternFill>
    </fill>
    <fill>
      <patternFill patternType="solid">
        <fgColor theme="4"/>
        <bgColor indexed="64"/>
      </patternFill>
    </fill>
    <fill>
      <patternFill patternType="solid">
        <fgColor theme="7"/>
        <bgColor indexed="64"/>
      </patternFill>
    </fill>
    <fill>
      <patternFill patternType="solid">
        <fgColor theme="0" tint="-4.9989318521683403E-2"/>
        <bgColor indexed="64"/>
      </patternFill>
    </fill>
  </fills>
  <borders count="70">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n">
        <color auto="1"/>
      </left>
      <right style="thin">
        <color auto="1"/>
      </right>
      <top/>
      <bottom style="thin">
        <color auto="1"/>
      </bottom>
      <diagonal/>
    </border>
    <border>
      <left/>
      <right/>
      <top/>
      <bottom style="thin">
        <color indexed="64"/>
      </bottom>
      <diagonal/>
    </border>
    <border>
      <left/>
      <right/>
      <top style="thin">
        <color auto="1"/>
      </top>
      <bottom/>
      <diagonal/>
    </border>
    <border>
      <left/>
      <right/>
      <top style="thick">
        <color indexed="64"/>
      </top>
      <bottom/>
      <diagonal/>
    </border>
    <border>
      <left/>
      <right style="thick">
        <color theme="0"/>
      </right>
      <top/>
      <bottom/>
      <diagonal/>
    </border>
    <border>
      <left style="thick">
        <color theme="0"/>
      </left>
      <right style="thick">
        <color theme="0"/>
      </right>
      <top/>
      <bottom/>
      <diagonal/>
    </border>
    <border>
      <left style="thick">
        <color theme="0"/>
      </left>
      <right/>
      <top/>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right/>
      <top style="medium">
        <color theme="0"/>
      </top>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bottom style="thin">
        <color theme="0"/>
      </bottom>
      <diagonal/>
    </border>
    <border>
      <left/>
      <right/>
      <top style="thin">
        <color theme="0"/>
      </top>
      <bottom style="thin">
        <color indexed="64"/>
      </bottom>
      <diagonal/>
    </border>
    <border>
      <left/>
      <right/>
      <top style="medium">
        <color indexed="64"/>
      </top>
      <bottom/>
      <diagonal/>
    </border>
    <border>
      <left/>
      <right style="dotted">
        <color auto="1"/>
      </right>
      <top/>
      <bottom/>
      <diagonal/>
    </border>
    <border>
      <left style="dotted">
        <color auto="1"/>
      </left>
      <right/>
      <top/>
      <bottom/>
      <diagonal/>
    </border>
    <border>
      <left/>
      <right/>
      <top style="thin">
        <color theme="0"/>
      </top>
      <bottom/>
      <diagonal/>
    </border>
    <border>
      <left style="thin">
        <color theme="0"/>
      </left>
      <right/>
      <top/>
      <bottom style="medium">
        <color auto="1"/>
      </bottom>
      <diagonal/>
    </border>
    <border>
      <left style="thin">
        <color theme="0"/>
      </left>
      <right style="thin">
        <color theme="0"/>
      </right>
      <top/>
      <bottom style="medium">
        <color auto="1"/>
      </bottom>
      <diagonal/>
    </border>
    <border>
      <left style="thin">
        <color indexed="64"/>
      </left>
      <right/>
      <top/>
      <bottom style="medium">
        <color indexed="64"/>
      </bottom>
      <diagonal/>
    </border>
    <border>
      <left/>
      <right style="thin">
        <color theme="0"/>
      </right>
      <top/>
      <bottom style="medium">
        <color indexed="64"/>
      </bottom>
      <diagonal/>
    </border>
    <border>
      <left style="medium">
        <color auto="1"/>
      </left>
      <right/>
      <top style="medium">
        <color auto="1"/>
      </top>
      <bottom style="medium">
        <color auto="1"/>
      </bottom>
      <diagonal/>
    </border>
    <border>
      <left/>
      <right/>
      <top/>
      <bottom style="thin">
        <color theme="2" tint="-0.24994659260841701"/>
      </bottom>
      <diagonal/>
    </border>
    <border>
      <left/>
      <right/>
      <top style="thin">
        <color theme="2" tint="-0.24994659260841701"/>
      </top>
      <bottom style="thin">
        <color theme="2" tint="-0.24994659260841701"/>
      </bottom>
      <diagonal/>
    </border>
    <border>
      <left/>
      <right/>
      <top style="thin">
        <color theme="2" tint="-0.24994659260841701"/>
      </top>
      <bottom/>
      <diagonal/>
    </border>
    <border>
      <left/>
      <right style="medium">
        <color auto="1"/>
      </right>
      <top style="medium">
        <color auto="1"/>
      </top>
      <bottom style="medium">
        <color indexed="64"/>
      </bottom>
      <diagonal/>
    </border>
    <border>
      <left/>
      <right/>
      <top style="thin">
        <color rgb="FF707F6E"/>
      </top>
      <bottom/>
      <diagonal/>
    </border>
    <border>
      <left/>
      <right/>
      <top/>
      <bottom style="thin">
        <color rgb="FF707F6E"/>
      </bottom>
      <diagonal/>
    </border>
    <border>
      <left/>
      <right/>
      <top style="thin">
        <color rgb="FF707F6E"/>
      </top>
      <bottom style="thin">
        <color theme="2" tint="-0.24994659260841701"/>
      </bottom>
      <diagonal/>
    </border>
    <border>
      <left/>
      <right/>
      <top style="thin">
        <color theme="2" tint="-0.24994659260841701"/>
      </top>
      <bottom style="thin">
        <color rgb="FF707F6E"/>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thin">
        <color theme="1" tint="0.499984740745262"/>
      </bottom>
      <diagonal/>
    </border>
    <border>
      <left style="thick">
        <color auto="1"/>
      </left>
      <right/>
      <top/>
      <bottom style="thin">
        <color theme="0"/>
      </bottom>
      <diagonal/>
    </border>
    <border>
      <left/>
      <right style="thick">
        <color auto="1"/>
      </right>
      <top/>
      <bottom style="thin">
        <color theme="0"/>
      </bottom>
      <diagonal/>
    </border>
    <border>
      <left/>
      <right/>
      <top style="thin">
        <color theme="1" tint="0.499984740745262"/>
      </top>
      <bottom/>
      <diagonal/>
    </border>
    <border>
      <left/>
      <right/>
      <top style="thick">
        <color auto="1"/>
      </top>
      <bottom style="thick">
        <color auto="1"/>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top style="thin">
        <color theme="0"/>
      </top>
      <bottom style="thin">
        <color auto="1"/>
      </bottom>
      <diagonal/>
    </border>
  </borders>
  <cellStyleXfs count="10">
    <xf numFmtId="0" fontId="0" fillId="0" borderId="0">
      <alignment vertical="center"/>
    </xf>
    <xf numFmtId="0" fontId="5" fillId="0" borderId="0">
      <alignment vertical="center"/>
    </xf>
    <xf numFmtId="0" fontId="11" fillId="0" borderId="0">
      <alignment vertical="center"/>
    </xf>
    <xf numFmtId="0" fontId="12" fillId="0" borderId="0">
      <alignment vertical="center"/>
    </xf>
    <xf numFmtId="0" fontId="1" fillId="0" borderId="0">
      <alignment vertical="center"/>
    </xf>
    <xf numFmtId="0" fontId="13" fillId="0" borderId="0">
      <alignment vertical="center"/>
    </xf>
    <xf numFmtId="0" fontId="1"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cellStyleXfs>
  <cellXfs count="621">
    <xf numFmtId="0" fontId="0" fillId="0" borderId="0" xfId="0">
      <alignment vertical="center"/>
    </xf>
    <xf numFmtId="0" fontId="3" fillId="0" borderId="0" xfId="0" applyFont="1" applyAlignment="1">
      <alignment horizontal="center" vertical="center"/>
    </xf>
    <xf numFmtId="0" fontId="4" fillId="0" borderId="0" xfId="0" applyFo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177" fontId="4" fillId="0" borderId="0" xfId="0" applyNumberFormat="1" applyFont="1" applyAlignment="1">
      <alignment horizontal="center" vertical="center"/>
    </xf>
    <xf numFmtId="9" fontId="6" fillId="4" borderId="19" xfId="0" applyNumberFormat="1" applyFont="1" applyFill="1" applyBorder="1" applyAlignment="1">
      <alignment horizontal="center" vertical="center"/>
    </xf>
    <xf numFmtId="0" fontId="8" fillId="4" borderId="18" xfId="0" applyFont="1" applyFill="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0" fillId="0" borderId="5" xfId="0" applyFont="1" applyBorder="1" applyAlignment="1"/>
    <xf numFmtId="0" fontId="4" fillId="0" borderId="5" xfId="0" applyFont="1" applyBorder="1" applyAlignment="1">
      <alignment horizontal="center" vertical="center"/>
    </xf>
    <xf numFmtId="0" fontId="9" fillId="0" borderId="0" xfId="0" applyFont="1">
      <alignment vertical="center"/>
    </xf>
    <xf numFmtId="0" fontId="10" fillId="0" borderId="0" xfId="0" applyFont="1">
      <alignment vertical="center"/>
    </xf>
    <xf numFmtId="0" fontId="4" fillId="0" borderId="0" xfId="0" applyFont="1" applyAlignment="1">
      <alignment horizontal="left" vertical="center"/>
    </xf>
    <xf numFmtId="0" fontId="4" fillId="5" borderId="0" xfId="0" applyFont="1" applyFill="1">
      <alignment vertical="center"/>
    </xf>
    <xf numFmtId="0" fontId="8" fillId="0" borderId="0" xfId="0" applyFont="1" applyAlignment="1">
      <alignment horizontal="center" vertical="center"/>
    </xf>
    <xf numFmtId="0" fontId="8" fillId="0" borderId="21" xfId="0" applyFont="1" applyBorder="1" applyAlignment="1">
      <alignment horizontal="center" vertical="center"/>
    </xf>
    <xf numFmtId="176" fontId="4" fillId="0" borderId="0" xfId="0" applyNumberFormat="1" applyFont="1">
      <alignment vertical="center"/>
    </xf>
    <xf numFmtId="176" fontId="4" fillId="0" borderId="5" xfId="0" applyNumberFormat="1" applyFont="1" applyBorder="1">
      <alignment vertical="center"/>
    </xf>
    <xf numFmtId="176" fontId="16" fillId="0" borderId="0" xfId="0" applyNumberFormat="1" applyFont="1" applyAlignment="1">
      <alignment horizontal="center"/>
    </xf>
    <xf numFmtId="176" fontId="15" fillId="0" borderId="0" xfId="0" applyNumberFormat="1" applyFont="1" applyAlignment="1">
      <alignment horizontal="center" vertical="top"/>
    </xf>
    <xf numFmtId="0" fontId="8" fillId="0" borderId="23" xfId="0" applyFont="1" applyBorder="1" applyAlignment="1">
      <alignment horizontal="center" vertical="center"/>
    </xf>
    <xf numFmtId="9" fontId="6" fillId="0" borderId="23" xfId="0" applyNumberFormat="1" applyFont="1" applyBorder="1" applyAlignment="1">
      <alignment horizontal="center" vertical="center"/>
    </xf>
    <xf numFmtId="9" fontId="6" fillId="0" borderId="0" xfId="0" applyNumberFormat="1" applyFont="1" applyAlignment="1">
      <alignment horizontal="center" vertical="center"/>
    </xf>
    <xf numFmtId="9" fontId="6" fillId="0" borderId="21" xfId="0" applyNumberFormat="1" applyFont="1" applyBorder="1" applyAlignment="1">
      <alignment horizontal="center" vertical="center"/>
    </xf>
    <xf numFmtId="9" fontId="14" fillId="0" borderId="11" xfId="0" applyNumberFormat="1" applyFont="1" applyBorder="1" applyAlignment="1">
      <alignment horizontal="center"/>
    </xf>
    <xf numFmtId="177" fontId="7" fillId="0" borderId="11" xfId="0" applyNumberFormat="1" applyFont="1" applyBorder="1" applyAlignment="1">
      <alignment horizontal="center" vertical="top"/>
    </xf>
    <xf numFmtId="181" fontId="6" fillId="0" borderId="5" xfId="0" applyNumberFormat="1" applyFont="1" applyBorder="1" applyAlignment="1">
      <alignment horizontal="center" vertical="center"/>
    </xf>
    <xf numFmtId="0" fontId="6" fillId="0" borderId="5" xfId="0" applyFont="1" applyBorder="1" applyAlignment="1">
      <alignment horizontal="center" vertical="center"/>
    </xf>
    <xf numFmtId="177" fontId="7" fillId="0" borderId="0" xfId="0" applyNumberFormat="1" applyFont="1" applyAlignment="1">
      <alignment horizontal="center"/>
    </xf>
    <xf numFmtId="190" fontId="4" fillId="0" borderId="0" xfId="0" applyNumberFormat="1" applyFont="1" applyAlignment="1">
      <alignment horizontal="center"/>
    </xf>
    <xf numFmtId="190" fontId="7" fillId="0" borderId="0" xfId="0" applyNumberFormat="1" applyFont="1" applyAlignment="1">
      <alignment horizontal="center" vertical="top"/>
    </xf>
    <xf numFmtId="0" fontId="6" fillId="0" borderId="0" xfId="0" applyFont="1" applyAlignment="1">
      <alignment horizontal="center" vertical="center"/>
    </xf>
    <xf numFmtId="0" fontId="6" fillId="0" borderId="0" xfId="0" applyFont="1" applyAlignment="1">
      <alignment horizontal="right" vertical="center"/>
    </xf>
    <xf numFmtId="177" fontId="7" fillId="0" borderId="0" xfId="0" applyNumberFormat="1" applyFont="1" applyAlignment="1"/>
    <xf numFmtId="177" fontId="14" fillId="0" borderId="0" xfId="0" applyNumberFormat="1" applyFont="1" applyAlignment="1">
      <alignment horizontal="center"/>
    </xf>
    <xf numFmtId="0" fontId="18" fillId="0" borderId="0" xfId="0" applyFont="1" applyAlignment="1">
      <alignment horizontal="left" vertical="center"/>
    </xf>
    <xf numFmtId="0" fontId="4" fillId="0" borderId="0" xfId="0" applyFont="1" applyAlignment="1">
      <alignment horizontal="center" vertical="center" wrapText="1"/>
    </xf>
    <xf numFmtId="0" fontId="6" fillId="0" borderId="0" xfId="0" applyFont="1" applyAlignment="1">
      <alignment horizontal="left"/>
    </xf>
    <xf numFmtId="0" fontId="17" fillId="0" borderId="0" xfId="0" applyFont="1" applyAlignment="1">
      <alignment horizontal="left" vertical="center"/>
    </xf>
    <xf numFmtId="177" fontId="4" fillId="0" borderId="21" xfId="0" applyNumberFormat="1" applyFont="1" applyBorder="1" applyAlignment="1">
      <alignment horizontal="center" vertical="center"/>
    </xf>
    <xf numFmtId="0" fontId="4" fillId="0" borderId="21" xfId="0" applyFont="1" applyBorder="1" applyAlignment="1">
      <alignment horizontal="left" vertical="center"/>
    </xf>
    <xf numFmtId="9" fontId="4" fillId="0" borderId="0" xfId="0" applyNumberFormat="1" applyFont="1" applyAlignment="1">
      <alignment horizontal="left" vertical="center"/>
    </xf>
    <xf numFmtId="9" fontId="4" fillId="0" borderId="0" xfId="0" applyNumberFormat="1" applyFont="1">
      <alignment vertical="center"/>
    </xf>
    <xf numFmtId="177" fontId="7" fillId="0" borderId="0" xfId="0" applyNumberFormat="1" applyFont="1" applyAlignment="1">
      <alignment horizontal="center" vertical="top"/>
    </xf>
    <xf numFmtId="49" fontId="3" fillId="0" borderId="0" xfId="0" applyNumberFormat="1" applyFont="1" applyAlignment="1">
      <alignment horizontal="center" vertical="center"/>
    </xf>
    <xf numFmtId="49" fontId="7" fillId="0" borderId="0" xfId="0" applyNumberFormat="1" applyFont="1" applyAlignment="1">
      <alignment horizontal="center" vertical="center"/>
    </xf>
    <xf numFmtId="9" fontId="14" fillId="0" borderId="0" xfId="0" applyNumberFormat="1" applyFont="1" applyAlignment="1">
      <alignment horizontal="center"/>
    </xf>
    <xf numFmtId="9" fontId="24" fillId="10" borderId="27" xfId="0" applyNumberFormat="1" applyFont="1" applyFill="1" applyBorder="1" applyAlignment="1">
      <alignment horizontal="center" vertical="center"/>
    </xf>
    <xf numFmtId="176" fontId="25" fillId="0" borderId="0" xfId="0" applyNumberFormat="1" applyFont="1">
      <alignment vertical="center"/>
    </xf>
    <xf numFmtId="0" fontId="25" fillId="0" borderId="0" xfId="0" applyFont="1" applyAlignment="1">
      <alignment horizontal="left" vertical="center"/>
    </xf>
    <xf numFmtId="176" fontId="26" fillId="0" borderId="0" xfId="0" applyNumberFormat="1" applyFont="1" applyAlignment="1"/>
    <xf numFmtId="9" fontId="4" fillId="0" borderId="29" xfId="0" applyNumberFormat="1" applyFont="1" applyBorder="1">
      <alignment vertical="center"/>
    </xf>
    <xf numFmtId="0" fontId="4" fillId="11" borderId="0" xfId="0" applyFont="1" applyFill="1">
      <alignment vertical="center"/>
    </xf>
    <xf numFmtId="0" fontId="4" fillId="12" borderId="0" xfId="0" applyFont="1" applyFill="1">
      <alignment vertical="center"/>
    </xf>
    <xf numFmtId="9" fontId="20" fillId="0" borderId="0" xfId="0" applyNumberFormat="1" applyFont="1">
      <alignment vertical="center"/>
    </xf>
    <xf numFmtId="0" fontId="4" fillId="9" borderId="0" xfId="0" applyFont="1" applyFill="1">
      <alignment vertical="center"/>
    </xf>
    <xf numFmtId="0" fontId="4" fillId="13" borderId="0" xfId="0" applyFont="1" applyFill="1">
      <alignment vertical="center"/>
    </xf>
    <xf numFmtId="0" fontId="4" fillId="14" borderId="0" xfId="0" applyFont="1" applyFill="1">
      <alignment vertical="center"/>
    </xf>
    <xf numFmtId="0" fontId="4" fillId="15" borderId="0" xfId="0" applyFont="1" applyFill="1">
      <alignment vertical="center"/>
    </xf>
    <xf numFmtId="0" fontId="4" fillId="16" borderId="0" xfId="0" applyFont="1" applyFill="1">
      <alignment vertical="center"/>
    </xf>
    <xf numFmtId="0" fontId="4" fillId="17" borderId="0" xfId="0" applyFont="1" applyFill="1">
      <alignment vertical="center"/>
    </xf>
    <xf numFmtId="0" fontId="4" fillId="18" borderId="0" xfId="0" applyFont="1" applyFill="1">
      <alignment vertical="center"/>
    </xf>
    <xf numFmtId="0" fontId="4" fillId="19" borderId="0" xfId="0" applyFont="1" applyFill="1">
      <alignment vertical="center"/>
    </xf>
    <xf numFmtId="0" fontId="4" fillId="20" borderId="0" xfId="0" applyFont="1" applyFill="1">
      <alignment vertical="center"/>
    </xf>
    <xf numFmtId="0" fontId="19" fillId="13" borderId="2" xfId="0" applyFont="1" applyFill="1" applyBorder="1" applyAlignment="1">
      <alignment horizontal="center" vertical="center"/>
    </xf>
    <xf numFmtId="176" fontId="19" fillId="13" borderId="2" xfId="0" applyNumberFormat="1" applyFont="1" applyFill="1" applyBorder="1" applyAlignment="1">
      <alignment horizontal="center" vertical="center"/>
    </xf>
    <xf numFmtId="176" fontId="14" fillId="0" borderId="0" xfId="0" applyNumberFormat="1" applyFont="1" applyAlignment="1">
      <alignment horizontal="center"/>
    </xf>
    <xf numFmtId="9" fontId="8" fillId="20" borderId="28" xfId="0" applyNumberFormat="1" applyFont="1" applyFill="1" applyBorder="1">
      <alignment vertical="center"/>
    </xf>
    <xf numFmtId="9" fontId="4" fillId="20" borderId="28" xfId="0" applyNumberFormat="1" applyFont="1" applyFill="1" applyBorder="1" applyAlignment="1">
      <alignment horizontal="center" vertical="center"/>
    </xf>
    <xf numFmtId="176" fontId="22" fillId="18" borderId="28" xfId="0" applyNumberFormat="1" applyFont="1" applyFill="1" applyBorder="1" applyAlignment="1">
      <alignment horizontal="left" vertical="center"/>
    </xf>
    <xf numFmtId="0" fontId="29" fillId="15" borderId="12" xfId="0" applyFont="1" applyFill="1" applyBorder="1" applyAlignment="1">
      <alignment horizontal="center" vertical="center"/>
    </xf>
    <xf numFmtId="176" fontId="30" fillId="15" borderId="12" xfId="0" applyNumberFormat="1" applyFont="1" applyFill="1" applyBorder="1" applyAlignment="1">
      <alignment horizontal="center" vertical="center"/>
    </xf>
    <xf numFmtId="176" fontId="31" fillId="15" borderId="12" xfId="0" applyNumberFormat="1" applyFont="1" applyFill="1" applyBorder="1" applyAlignment="1">
      <alignment horizontal="center" vertical="center"/>
    </xf>
    <xf numFmtId="0" fontId="29" fillId="15" borderId="12" xfId="0" applyFont="1" applyFill="1" applyBorder="1" applyAlignment="1">
      <alignment horizontal="left" vertical="center"/>
    </xf>
    <xf numFmtId="0" fontId="31" fillId="15" borderId="12" xfId="0" applyFont="1" applyFill="1" applyBorder="1" applyAlignment="1">
      <alignment horizontal="left" vertical="center"/>
    </xf>
    <xf numFmtId="177" fontId="31" fillId="15" borderId="12" xfId="0" applyNumberFormat="1" applyFont="1" applyFill="1" applyBorder="1" applyAlignment="1">
      <alignment horizontal="center" vertical="center"/>
    </xf>
    <xf numFmtId="0" fontId="31" fillId="15" borderId="12" xfId="0" applyFont="1" applyFill="1" applyBorder="1" applyAlignment="1">
      <alignment horizontal="center" vertical="center"/>
    </xf>
    <xf numFmtId="181" fontId="33" fillId="15" borderId="12" xfId="0" applyNumberFormat="1" applyFont="1" applyFill="1" applyBorder="1" applyAlignment="1">
      <alignment horizontal="center" vertical="center"/>
    </xf>
    <xf numFmtId="181" fontId="32" fillId="15" borderId="12" xfId="0" applyNumberFormat="1" applyFont="1" applyFill="1" applyBorder="1" applyAlignment="1">
      <alignment horizontal="center" vertical="center"/>
    </xf>
    <xf numFmtId="49" fontId="8" fillId="0" borderId="0" xfId="0" applyNumberFormat="1" applyFont="1" applyAlignment="1">
      <alignment horizontal="center" vertical="center" wrapText="1"/>
    </xf>
    <xf numFmtId="0" fontId="8" fillId="0" borderId="0" xfId="0" applyFont="1" applyAlignment="1">
      <alignment horizontal="left" vertical="center" wrapText="1"/>
    </xf>
    <xf numFmtId="176" fontId="8" fillId="0" borderId="0" xfId="0" applyNumberFormat="1" applyFont="1" applyAlignment="1">
      <alignment horizontal="center" vertical="center"/>
    </xf>
    <xf numFmtId="176" fontId="14" fillId="0" borderId="0" xfId="0" applyNumberFormat="1" applyFont="1" applyAlignment="1">
      <alignment horizontal="left" vertical="top" wrapText="1"/>
    </xf>
    <xf numFmtId="190" fontId="34" fillId="0" borderId="22" xfId="0" applyNumberFormat="1" applyFont="1" applyBorder="1" applyAlignment="1">
      <alignment horizontal="center" vertical="center"/>
    </xf>
    <xf numFmtId="190" fontId="29" fillId="0" borderId="22" xfId="0" applyNumberFormat="1" applyFont="1" applyBorder="1" applyAlignment="1">
      <alignment horizontal="center" vertical="center"/>
    </xf>
    <xf numFmtId="0" fontId="3" fillId="0" borderId="0" xfId="0" applyFont="1" applyAlignment="1">
      <alignment horizontal="left" vertical="center"/>
    </xf>
    <xf numFmtId="0" fontId="4" fillId="0" borderId="22" xfId="0" applyFont="1" applyBorder="1" applyAlignment="1">
      <alignment horizontal="left" vertical="center"/>
    </xf>
    <xf numFmtId="177" fontId="4" fillId="0" borderId="22" xfId="0" applyNumberFormat="1" applyFont="1" applyBorder="1" applyAlignment="1">
      <alignment horizontal="center" vertical="center"/>
    </xf>
    <xf numFmtId="0" fontId="36" fillId="0" borderId="22" xfId="0" applyFont="1" applyBorder="1" applyAlignment="1">
      <alignment horizontal="center" vertical="center"/>
    </xf>
    <xf numFmtId="0" fontId="20" fillId="0" borderId="0" xfId="0" applyFont="1" applyAlignment="1">
      <alignment horizontal="center" vertical="center"/>
    </xf>
    <xf numFmtId="0" fontId="20" fillId="0" borderId="21" xfId="0" applyFont="1" applyBorder="1" applyAlignment="1">
      <alignment horizontal="center" vertical="center"/>
    </xf>
    <xf numFmtId="177" fontId="4" fillId="0" borderId="4" xfId="0" applyNumberFormat="1" applyFont="1" applyBorder="1" applyAlignment="1">
      <alignment horizontal="center" vertical="center"/>
    </xf>
    <xf numFmtId="177" fontId="4" fillId="0" borderId="0" xfId="0" applyNumberFormat="1" applyFont="1" applyAlignment="1">
      <alignment horizontal="left" vertical="center"/>
    </xf>
    <xf numFmtId="176" fontId="32" fillId="15" borderId="12" xfId="0" applyNumberFormat="1" applyFont="1" applyFill="1" applyBorder="1" applyAlignment="1">
      <alignment horizontal="center" vertical="center"/>
    </xf>
    <xf numFmtId="191" fontId="32" fillId="15" borderId="12" xfId="0" applyNumberFormat="1" applyFont="1" applyFill="1" applyBorder="1" applyAlignment="1">
      <alignment horizontal="center" vertical="center"/>
    </xf>
    <xf numFmtId="2" fontId="32" fillId="15" borderId="12" xfId="0" applyNumberFormat="1" applyFont="1" applyFill="1" applyBorder="1" applyAlignment="1">
      <alignment horizontal="center" vertical="center"/>
    </xf>
    <xf numFmtId="0" fontId="4" fillId="0" borderId="4" xfId="0" applyFont="1" applyBorder="1" applyAlignment="1">
      <alignment horizontal="center" vertical="center"/>
    </xf>
    <xf numFmtId="0" fontId="37" fillId="13" borderId="2" xfId="0" applyFont="1" applyFill="1" applyBorder="1" applyAlignment="1">
      <alignment horizontal="center" vertical="center"/>
    </xf>
    <xf numFmtId="2" fontId="22" fillId="15" borderId="12" xfId="0" applyNumberFormat="1" applyFont="1" applyFill="1" applyBorder="1" applyAlignment="1">
      <alignment horizontal="center" vertical="center"/>
    </xf>
    <xf numFmtId="2" fontId="22" fillId="20" borderId="33" xfId="0" applyNumberFormat="1" applyFont="1" applyFill="1" applyBorder="1" applyAlignment="1">
      <alignment horizontal="center" vertical="center"/>
    </xf>
    <xf numFmtId="2" fontId="22" fillId="20" borderId="34" xfId="0" applyNumberFormat="1" applyFont="1" applyFill="1" applyBorder="1" applyAlignment="1">
      <alignment horizontal="center" vertical="center"/>
    </xf>
    <xf numFmtId="192" fontId="22" fillId="20" borderId="33" xfId="0" applyNumberFormat="1" applyFont="1" applyFill="1" applyBorder="1" applyAlignment="1">
      <alignment horizontal="center" vertical="center"/>
    </xf>
    <xf numFmtId="192" fontId="22" fillId="20" borderId="34" xfId="0" applyNumberFormat="1" applyFont="1" applyFill="1" applyBorder="1" applyAlignment="1">
      <alignment horizontal="center" vertical="center"/>
    </xf>
    <xf numFmtId="0" fontId="0" fillId="2" borderId="0" xfId="0" applyFill="1">
      <alignment vertical="center"/>
    </xf>
    <xf numFmtId="176" fontId="22" fillId="18" borderId="33" xfId="0" applyNumberFormat="1" applyFont="1" applyFill="1" applyBorder="1" applyAlignment="1">
      <alignment horizontal="center" vertical="center"/>
    </xf>
    <xf numFmtId="176" fontId="22" fillId="18" borderId="34" xfId="0" applyNumberFormat="1" applyFont="1" applyFill="1" applyBorder="1" applyAlignment="1">
      <alignment horizontal="center" vertical="center"/>
    </xf>
    <xf numFmtId="10" fontId="3" fillId="0" borderId="0" xfId="9" applyNumberFormat="1" applyFont="1">
      <alignment vertical="center"/>
    </xf>
    <xf numFmtId="0" fontId="3" fillId="0" borderId="0" xfId="0" applyFont="1">
      <alignment vertical="center"/>
    </xf>
    <xf numFmtId="193" fontId="34" fillId="15" borderId="12" xfId="0" applyNumberFormat="1" applyFont="1" applyFill="1" applyBorder="1" applyAlignment="1">
      <alignment horizontal="center" vertical="center"/>
    </xf>
    <xf numFmtId="0" fontId="42" fillId="15" borderId="12" xfId="0" applyFont="1" applyFill="1" applyBorder="1" applyAlignment="1">
      <alignment horizontal="center" vertical="center"/>
    </xf>
    <xf numFmtId="0" fontId="44" fillId="0" borderId="0" xfId="0" applyFont="1" applyAlignment="1">
      <alignment horizontal="center" vertical="center"/>
    </xf>
    <xf numFmtId="181" fontId="44" fillId="0" borderId="0" xfId="0" applyNumberFormat="1" applyFont="1" applyAlignment="1">
      <alignment horizontal="center" vertical="center"/>
    </xf>
    <xf numFmtId="194" fontId="44" fillId="0" borderId="0" xfId="0" applyNumberFormat="1" applyFont="1" applyAlignment="1">
      <alignment horizontal="right" vertical="center"/>
    </xf>
    <xf numFmtId="181" fontId="45" fillId="15" borderId="12" xfId="0" applyNumberFormat="1" applyFont="1" applyFill="1" applyBorder="1" applyAlignment="1">
      <alignment horizontal="center" vertical="center"/>
    </xf>
    <xf numFmtId="195" fontId="44" fillId="0" borderId="0" xfId="0" applyNumberFormat="1" applyFont="1" applyAlignment="1">
      <alignment horizontal="left" vertical="center"/>
    </xf>
    <xf numFmtId="181" fontId="34" fillId="15" borderId="12" xfId="0" applyNumberFormat="1" applyFont="1" applyFill="1" applyBorder="1" applyAlignment="1">
      <alignment horizontal="center" vertical="center"/>
    </xf>
    <xf numFmtId="181" fontId="42" fillId="15" borderId="12" xfId="0" applyNumberFormat="1" applyFont="1" applyFill="1" applyBorder="1" applyAlignment="1">
      <alignment horizontal="center" vertical="center"/>
    </xf>
    <xf numFmtId="176" fontId="28" fillId="0" borderId="0" xfId="0" applyNumberFormat="1" applyFont="1" applyAlignment="1">
      <alignment vertical="center" wrapText="1"/>
    </xf>
    <xf numFmtId="176" fontId="4" fillId="0" borderId="35" xfId="0" applyNumberFormat="1" applyFont="1" applyBorder="1">
      <alignment vertical="center"/>
    </xf>
    <xf numFmtId="0" fontId="4" fillId="0" borderId="36" xfId="0" applyFont="1" applyBorder="1">
      <alignment vertical="center"/>
    </xf>
    <xf numFmtId="0" fontId="4" fillId="0" borderId="37" xfId="0" applyFont="1" applyBorder="1">
      <alignment vertical="center"/>
    </xf>
    <xf numFmtId="190" fontId="4" fillId="0" borderId="36" xfId="0" applyNumberFormat="1" applyFont="1" applyBorder="1" applyAlignment="1">
      <alignment horizontal="center"/>
    </xf>
    <xf numFmtId="190" fontId="4" fillId="0" borderId="37" xfId="0" applyNumberFormat="1" applyFont="1" applyBorder="1" applyAlignment="1">
      <alignment horizontal="center"/>
    </xf>
    <xf numFmtId="190" fontId="7" fillId="0" borderId="36" xfId="0" applyNumberFormat="1" applyFont="1" applyBorder="1" applyAlignment="1">
      <alignment horizontal="center" vertical="top"/>
    </xf>
    <xf numFmtId="190" fontId="7" fillId="0" borderId="37" xfId="0" applyNumberFormat="1" applyFont="1" applyBorder="1" applyAlignment="1">
      <alignment horizontal="center" vertical="top"/>
    </xf>
    <xf numFmtId="176" fontId="29" fillId="0" borderId="36" xfId="0" applyNumberFormat="1" applyFont="1" applyBorder="1">
      <alignment vertical="center"/>
    </xf>
    <xf numFmtId="176" fontId="29" fillId="0" borderId="37" xfId="0" applyNumberFormat="1" applyFont="1" applyBorder="1">
      <alignment vertical="center"/>
    </xf>
    <xf numFmtId="9" fontId="14" fillId="0" borderId="0" xfId="0" applyNumberFormat="1" applyFont="1" applyAlignment="1">
      <alignment horizontal="left"/>
    </xf>
    <xf numFmtId="0" fontId="15" fillId="13" borderId="31" xfId="0" applyFont="1" applyFill="1" applyBorder="1" applyAlignment="1">
      <alignment horizontal="center" vertical="center"/>
    </xf>
    <xf numFmtId="0" fontId="15" fillId="13" borderId="12" xfId="0" applyFont="1" applyFill="1" applyBorder="1" applyAlignment="1">
      <alignment horizontal="center" vertical="center"/>
    </xf>
    <xf numFmtId="0" fontId="28" fillId="0" borderId="0" xfId="0" applyFont="1" applyAlignment="1">
      <alignment horizontal="right" vertical="center" wrapText="1"/>
    </xf>
    <xf numFmtId="0" fontId="28" fillId="0" borderId="0" xfId="0" applyFont="1" applyAlignment="1">
      <alignment vertical="center" wrapText="1"/>
    </xf>
    <xf numFmtId="0" fontId="4" fillId="20" borderId="28" xfId="9" applyNumberFormat="1" applyFont="1" applyFill="1" applyBorder="1" applyAlignment="1">
      <alignment horizontal="center" vertical="center"/>
    </xf>
    <xf numFmtId="0" fontId="43" fillId="0" borderId="0" xfId="0" applyFont="1">
      <alignment vertical="center"/>
    </xf>
    <xf numFmtId="176" fontId="28" fillId="0" borderId="0" xfId="0" applyNumberFormat="1" applyFont="1" applyAlignment="1">
      <alignment horizontal="right" vertical="center" wrapText="1"/>
    </xf>
    <xf numFmtId="0" fontId="31" fillId="0" borderId="0" xfId="0" applyFont="1" applyAlignment="1">
      <alignment horizontal="left" vertical="center"/>
    </xf>
    <xf numFmtId="176" fontId="31" fillId="0" borderId="0" xfId="0" applyNumberFormat="1" applyFont="1" applyAlignment="1">
      <alignment horizontal="center" vertical="center"/>
    </xf>
    <xf numFmtId="0" fontId="29" fillId="14" borderId="33" xfId="0" applyFont="1" applyFill="1" applyBorder="1" applyAlignment="1">
      <alignment horizontal="center" vertical="center"/>
    </xf>
    <xf numFmtId="176" fontId="30" fillId="14" borderId="33" xfId="0" applyNumberFormat="1" applyFont="1" applyFill="1" applyBorder="1" applyAlignment="1">
      <alignment horizontal="center" vertical="center"/>
    </xf>
    <xf numFmtId="193" fontId="34" fillId="14" borderId="33" xfId="0" applyNumberFormat="1" applyFont="1" applyFill="1" applyBorder="1" applyAlignment="1">
      <alignment horizontal="center" vertical="center"/>
    </xf>
    <xf numFmtId="0" fontId="29" fillId="14" borderId="33" xfId="0" applyFont="1" applyFill="1" applyBorder="1" applyAlignment="1">
      <alignment horizontal="left" vertical="center"/>
    </xf>
    <xf numFmtId="0" fontId="31" fillId="14" borderId="33" xfId="0" applyFont="1" applyFill="1" applyBorder="1" applyAlignment="1">
      <alignment horizontal="left" vertical="center"/>
    </xf>
    <xf numFmtId="177" fontId="31" fillId="14" borderId="33" xfId="0" applyNumberFormat="1" applyFont="1" applyFill="1" applyBorder="1" applyAlignment="1">
      <alignment horizontal="center" vertical="center"/>
    </xf>
    <xf numFmtId="176" fontId="31" fillId="14" borderId="33" xfId="0" applyNumberFormat="1" applyFont="1" applyFill="1" applyBorder="1" applyAlignment="1">
      <alignment horizontal="center" vertical="center"/>
    </xf>
    <xf numFmtId="181" fontId="48" fillId="14" borderId="33" xfId="0" applyNumberFormat="1" applyFont="1" applyFill="1" applyBorder="1">
      <alignment vertical="center"/>
    </xf>
    <xf numFmtId="181" fontId="19" fillId="14" borderId="33" xfId="0" applyNumberFormat="1" applyFont="1" applyFill="1" applyBorder="1" applyAlignment="1">
      <alignment horizontal="right" vertical="center"/>
    </xf>
    <xf numFmtId="176" fontId="32" fillId="0" borderId="0" xfId="0" applyNumberFormat="1" applyFont="1" applyAlignment="1">
      <alignment horizontal="center" vertical="center"/>
    </xf>
    <xf numFmtId="2" fontId="32" fillId="0" borderId="0" xfId="0" applyNumberFormat="1" applyFont="1" applyAlignment="1">
      <alignment horizontal="center" vertical="center"/>
    </xf>
    <xf numFmtId="0" fontId="31" fillId="0" borderId="0" xfId="0" applyFont="1" applyAlignment="1">
      <alignment horizontal="center" vertical="center"/>
    </xf>
    <xf numFmtId="0" fontId="29" fillId="0" borderId="0" xfId="0" applyFont="1" applyAlignment="1">
      <alignment horizontal="center" vertical="center"/>
    </xf>
    <xf numFmtId="176" fontId="30" fillId="0" borderId="0" xfId="0" applyNumberFormat="1" applyFont="1" applyAlignment="1">
      <alignment horizontal="center" vertical="center"/>
    </xf>
    <xf numFmtId="193" fontId="34" fillId="0" borderId="0" xfId="0" applyNumberFormat="1" applyFont="1" applyAlignment="1">
      <alignment horizontal="center" vertical="center"/>
    </xf>
    <xf numFmtId="0" fontId="29" fillId="0" borderId="0" xfId="0" applyFont="1" applyAlignment="1">
      <alignment horizontal="left" vertical="center"/>
    </xf>
    <xf numFmtId="177" fontId="31" fillId="0" borderId="0" xfId="0" applyNumberFormat="1" applyFont="1" applyAlignment="1">
      <alignment horizontal="center" vertical="center"/>
    </xf>
    <xf numFmtId="181" fontId="32" fillId="0" borderId="0" xfId="0" applyNumberFormat="1" applyFont="1" applyAlignment="1">
      <alignment horizontal="center" vertical="center"/>
    </xf>
    <xf numFmtId="181" fontId="33" fillId="0" borderId="0" xfId="0" applyNumberFormat="1" applyFont="1" applyAlignment="1">
      <alignment horizontal="center" vertical="center"/>
    </xf>
    <xf numFmtId="181" fontId="42" fillId="0" borderId="0" xfId="0" applyNumberFormat="1" applyFont="1" applyAlignment="1">
      <alignment horizontal="center" vertical="center"/>
    </xf>
    <xf numFmtId="181" fontId="45" fillId="0" borderId="0" xfId="0" applyNumberFormat="1" applyFont="1" applyAlignment="1">
      <alignment horizontal="center" vertical="center"/>
    </xf>
    <xf numFmtId="0" fontId="49" fillId="0" borderId="0" xfId="0" applyFont="1" applyAlignment="1">
      <alignment horizontal="center" vertical="center"/>
    </xf>
    <xf numFmtId="181" fontId="49" fillId="0" borderId="0" xfId="0" applyNumberFormat="1" applyFont="1" applyAlignment="1">
      <alignment horizontal="center" vertical="center"/>
    </xf>
    <xf numFmtId="49" fontId="3" fillId="0" borderId="35" xfId="0" applyNumberFormat="1" applyFont="1" applyBorder="1" applyAlignment="1">
      <alignment horizontal="center" vertical="center"/>
    </xf>
    <xf numFmtId="0" fontId="4" fillId="0" borderId="35" xfId="0" applyFont="1" applyBorder="1">
      <alignment vertical="center"/>
    </xf>
    <xf numFmtId="0" fontId="4" fillId="0" borderId="35" xfId="0" applyFont="1" applyBorder="1" applyAlignment="1">
      <alignment horizontal="left" vertical="center"/>
    </xf>
    <xf numFmtId="177" fontId="4" fillId="0" borderId="35" xfId="0" applyNumberFormat="1" applyFont="1" applyBorder="1" applyAlignment="1">
      <alignment horizontal="center" vertical="center"/>
    </xf>
    <xf numFmtId="0" fontId="4" fillId="0" borderId="35" xfId="0" applyFont="1" applyBorder="1" applyAlignment="1">
      <alignment horizontal="center" vertical="center"/>
    </xf>
    <xf numFmtId="176" fontId="25" fillId="0" borderId="35" xfId="0" applyNumberFormat="1" applyFont="1" applyBorder="1">
      <alignment vertical="center"/>
    </xf>
    <xf numFmtId="0" fontId="4" fillId="0" borderId="35" xfId="0" applyFont="1" applyBorder="1" applyAlignment="1">
      <alignment horizontal="right" vertical="center"/>
    </xf>
    <xf numFmtId="196" fontId="31" fillId="0" borderId="0" xfId="0" applyNumberFormat="1" applyFont="1" applyAlignment="1">
      <alignment horizontal="right" vertical="center"/>
    </xf>
    <xf numFmtId="176" fontId="50" fillId="0" borderId="0" xfId="0" applyNumberFormat="1" applyFont="1" applyAlignment="1">
      <alignment horizontal="center" vertical="center"/>
    </xf>
    <xf numFmtId="197" fontId="4" fillId="0" borderId="0" xfId="0" applyNumberFormat="1" applyFont="1" applyAlignment="1">
      <alignment horizontal="right" vertical="center"/>
    </xf>
    <xf numFmtId="0" fontId="51" fillId="0" borderId="0" xfId="0" applyFont="1">
      <alignment vertical="center"/>
    </xf>
    <xf numFmtId="0" fontId="30" fillId="0" borderId="0" xfId="0" applyFont="1" applyAlignment="1">
      <alignment horizontal="right" vertical="center"/>
    </xf>
    <xf numFmtId="49" fontId="52" fillId="0" borderId="0" xfId="0" applyNumberFormat="1" applyFont="1" applyAlignment="1"/>
    <xf numFmtId="49" fontId="53" fillId="0" borderId="0" xfId="0" applyNumberFormat="1" applyFont="1" applyAlignment="1"/>
    <xf numFmtId="0" fontId="51" fillId="0" borderId="0" xfId="0" applyFont="1" applyAlignment="1">
      <alignment horizontal="center" vertical="center"/>
    </xf>
    <xf numFmtId="0" fontId="31" fillId="15" borderId="35" xfId="0" applyFont="1" applyFill="1" applyBorder="1">
      <alignment vertical="center"/>
    </xf>
    <xf numFmtId="0" fontId="31" fillId="15" borderId="5" xfId="0" applyFont="1" applyFill="1" applyBorder="1">
      <alignment vertical="center"/>
    </xf>
    <xf numFmtId="0" fontId="51" fillId="0" borderId="36" xfId="0" applyFont="1" applyBorder="1">
      <alignment vertical="center"/>
    </xf>
    <xf numFmtId="0" fontId="51" fillId="0" borderId="37" xfId="0" applyFont="1" applyBorder="1">
      <alignment vertical="center"/>
    </xf>
    <xf numFmtId="176" fontId="32" fillId="13" borderId="38" xfId="0" applyNumberFormat="1" applyFont="1" applyFill="1" applyBorder="1" applyAlignment="1">
      <alignment horizontal="center" vertical="center"/>
    </xf>
    <xf numFmtId="2" fontId="32" fillId="13" borderId="38" xfId="0" applyNumberFormat="1" applyFont="1" applyFill="1" applyBorder="1" applyAlignment="1">
      <alignment horizontal="center" vertical="center"/>
    </xf>
    <xf numFmtId="0" fontId="31" fillId="13" borderId="38" xfId="0" applyFont="1" applyFill="1" applyBorder="1" applyAlignment="1">
      <alignment horizontal="center" vertical="center"/>
    </xf>
    <xf numFmtId="181" fontId="15" fillId="14" borderId="33" xfId="0" applyNumberFormat="1" applyFont="1" applyFill="1" applyBorder="1" applyAlignment="1">
      <alignment horizontal="center" vertical="center"/>
    </xf>
    <xf numFmtId="0" fontId="57" fillId="21" borderId="5" xfId="0" applyFont="1" applyFill="1" applyBorder="1" applyAlignment="1">
      <alignment horizontal="center" vertical="center"/>
    </xf>
    <xf numFmtId="176" fontId="57" fillId="21" borderId="42" xfId="0" applyNumberFormat="1" applyFont="1" applyFill="1" applyBorder="1" applyAlignment="1">
      <alignment horizontal="center" vertical="center"/>
    </xf>
    <xf numFmtId="176" fontId="60" fillId="0" borderId="0" xfId="0" applyNumberFormat="1" applyFont="1">
      <alignment vertical="center"/>
    </xf>
    <xf numFmtId="0" fontId="61" fillId="0" borderId="0" xfId="0" applyFont="1" applyAlignment="1">
      <alignment horizontal="center" vertical="center"/>
    </xf>
    <xf numFmtId="0" fontId="60" fillId="0" borderId="0" xfId="0" applyFont="1" applyAlignment="1">
      <alignment horizontal="center" vertical="center"/>
    </xf>
    <xf numFmtId="176" fontId="4" fillId="0" borderId="0" xfId="0" applyNumberFormat="1" applyFont="1" applyAlignment="1">
      <alignment vertical="center" wrapText="1"/>
    </xf>
    <xf numFmtId="0" fontId="51" fillId="0" borderId="0" xfId="0" applyFont="1" applyAlignment="1">
      <alignment horizontal="center" vertical="center" wrapText="1"/>
    </xf>
    <xf numFmtId="0" fontId="17" fillId="0" borderId="0" xfId="0" applyFont="1" applyAlignment="1">
      <alignment horizontal="left" vertical="center" wrapText="1"/>
    </xf>
    <xf numFmtId="9" fontId="4" fillId="0" borderId="22" xfId="0" applyNumberFormat="1" applyFont="1" applyBorder="1" applyAlignment="1">
      <alignment vertical="top" wrapText="1"/>
    </xf>
    <xf numFmtId="9" fontId="4" fillId="0" borderId="0" xfId="0" applyNumberFormat="1" applyFont="1" applyAlignment="1">
      <alignment vertical="top" wrapText="1"/>
    </xf>
    <xf numFmtId="9" fontId="4" fillId="0" borderId="21" xfId="0" applyNumberFormat="1" applyFont="1" applyBorder="1" applyAlignment="1">
      <alignment vertical="top" wrapText="1"/>
    </xf>
    <xf numFmtId="9" fontId="4" fillId="0" borderId="0" xfId="0" applyNumberFormat="1" applyFont="1" applyAlignment="1">
      <alignment vertical="center" wrapText="1"/>
    </xf>
    <xf numFmtId="0" fontId="32" fillId="15" borderId="12" xfId="0" applyFont="1" applyFill="1" applyBorder="1" applyAlignment="1">
      <alignment horizontal="right" vertical="center" wrapText="1"/>
    </xf>
    <xf numFmtId="9" fontId="4" fillId="0" borderId="22" xfId="0" applyNumberFormat="1" applyFont="1" applyBorder="1" applyAlignment="1">
      <alignment vertical="center" wrapText="1"/>
    </xf>
    <xf numFmtId="9" fontId="4" fillId="0" borderId="21" xfId="0" applyNumberFormat="1" applyFont="1" applyBorder="1" applyAlignment="1">
      <alignment vertical="center" wrapText="1"/>
    </xf>
    <xf numFmtId="0" fontId="32" fillId="0" borderId="0" xfId="0" applyFont="1" applyAlignment="1">
      <alignment horizontal="right" vertical="center" wrapText="1"/>
    </xf>
    <xf numFmtId="0" fontId="19" fillId="14" borderId="33" xfId="0" applyFont="1" applyFill="1" applyBorder="1" applyAlignment="1">
      <alignment horizontal="right" vertical="center" wrapText="1"/>
    </xf>
    <xf numFmtId="2" fontId="49" fillId="13" borderId="38" xfId="0" applyNumberFormat="1" applyFont="1" applyFill="1" applyBorder="1" applyAlignment="1">
      <alignment horizontal="center" vertical="center" wrapText="1"/>
    </xf>
    <xf numFmtId="2" fontId="49" fillId="0" borderId="0" xfId="0" applyNumberFormat="1" applyFont="1" applyAlignment="1">
      <alignment horizontal="center" vertical="center" wrapText="1"/>
    </xf>
    <xf numFmtId="0" fontId="4" fillId="0" borderId="35"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43" fillId="0" borderId="0" xfId="0" applyFont="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5" fillId="0" borderId="4" xfId="0" applyFont="1" applyBorder="1" applyAlignment="1">
      <alignment vertical="top" wrapText="1"/>
    </xf>
    <xf numFmtId="0" fontId="0" fillId="0" borderId="4" xfId="0" applyBorder="1" applyAlignment="1">
      <alignment vertical="center" wrapText="1"/>
    </xf>
    <xf numFmtId="0" fontId="5" fillId="0" borderId="4" xfId="0" applyFont="1" applyBorder="1" applyAlignment="1">
      <alignment vertical="center" wrapText="1"/>
    </xf>
    <xf numFmtId="0" fontId="43" fillId="0" borderId="4" xfId="0" applyFont="1" applyBorder="1" applyAlignment="1">
      <alignment horizontal="center" vertical="center"/>
    </xf>
    <xf numFmtId="0" fontId="5" fillId="0" borderId="0" xfId="0" applyFont="1" applyAlignment="1">
      <alignment vertical="center" wrapText="1"/>
    </xf>
    <xf numFmtId="0" fontId="0" fillId="22" borderId="0" xfId="0" applyFill="1">
      <alignment vertical="center"/>
    </xf>
    <xf numFmtId="0" fontId="0" fillId="0" borderId="4" xfId="0" applyBorder="1">
      <alignment vertical="center"/>
    </xf>
    <xf numFmtId="0" fontId="43" fillId="0" borderId="0" xfId="0" applyFont="1" applyAlignment="1">
      <alignment horizontal="left" vertical="center"/>
    </xf>
    <xf numFmtId="0" fontId="7" fillId="8" borderId="4" xfId="0" applyFont="1" applyFill="1" applyBorder="1" applyAlignment="1">
      <alignment horizontal="center" vertical="center"/>
    </xf>
    <xf numFmtId="0" fontId="7" fillId="8" borderId="4" xfId="0" applyFont="1" applyFill="1" applyBorder="1" applyAlignment="1">
      <alignment horizontal="center" vertical="center" wrapText="1"/>
    </xf>
    <xf numFmtId="0" fontId="43" fillId="3" borderId="4" xfId="0" applyFont="1" applyFill="1" applyBorder="1" applyAlignment="1">
      <alignment horizontal="center" vertical="center"/>
    </xf>
    <xf numFmtId="0" fontId="66" fillId="0" borderId="0" xfId="0" applyFont="1" applyAlignment="1">
      <alignment horizontal="center" vertical="center"/>
    </xf>
    <xf numFmtId="49" fontId="4" fillId="0" borderId="0" xfId="0" applyNumberFormat="1" applyFont="1" applyAlignment="1">
      <alignment horizontal="center" vertical="center"/>
    </xf>
    <xf numFmtId="0" fontId="32" fillId="0" borderId="0" xfId="0" applyFont="1" applyAlignment="1">
      <alignment horizontal="center" vertical="center"/>
    </xf>
    <xf numFmtId="0" fontId="33" fillId="0" borderId="0" xfId="0" applyFont="1" applyAlignment="1">
      <alignment horizontal="left" vertical="center"/>
    </xf>
    <xf numFmtId="0" fontId="65" fillId="0" borderId="0" xfId="0" applyFont="1" applyAlignment="1">
      <alignment horizontal="center" vertical="center"/>
    </xf>
    <xf numFmtId="176" fontId="5" fillId="0" borderId="0" xfId="0" applyNumberFormat="1" applyFont="1">
      <alignment vertical="center"/>
    </xf>
    <xf numFmtId="0" fontId="63" fillId="0" borderId="0" xfId="0" applyFont="1" applyAlignment="1">
      <alignment horizontal="center" vertical="center"/>
    </xf>
    <xf numFmtId="0" fontId="68" fillId="0" borderId="0" xfId="0" applyFont="1">
      <alignment vertical="center"/>
    </xf>
    <xf numFmtId="0" fontId="34" fillId="0" borderId="0" xfId="0" applyFont="1" applyAlignment="1">
      <alignment horizontal="left" vertical="center"/>
    </xf>
    <xf numFmtId="0" fontId="51" fillId="0" borderId="0" xfId="0" applyFont="1" applyAlignment="1">
      <alignment horizontal="center"/>
    </xf>
    <xf numFmtId="0" fontId="32" fillId="0" borderId="0" xfId="0" applyFont="1" applyAlignment="1">
      <alignment horizontal="center"/>
    </xf>
    <xf numFmtId="0" fontId="65" fillId="0" borderId="0" xfId="0" applyFont="1" applyAlignment="1">
      <alignment horizontal="left"/>
    </xf>
    <xf numFmtId="0" fontId="29" fillId="0" borderId="0" xfId="0" applyFont="1">
      <alignment vertical="center"/>
    </xf>
    <xf numFmtId="0" fontId="69" fillId="0" borderId="0" xfId="0" applyFont="1" applyAlignment="1">
      <alignment horizontal="right"/>
    </xf>
    <xf numFmtId="0" fontId="6" fillId="0" borderId="0" xfId="0" applyFont="1" applyAlignment="1">
      <alignment horizontal="left" vertical="center"/>
    </xf>
    <xf numFmtId="0" fontId="6" fillId="23" borderId="0" xfId="0" applyFont="1" applyFill="1" applyAlignment="1">
      <alignment horizontal="left" vertical="center"/>
    </xf>
    <xf numFmtId="0" fontId="0" fillId="23" borderId="0" xfId="0" applyFill="1" applyAlignment="1">
      <alignment horizontal="center" vertical="center"/>
    </xf>
    <xf numFmtId="0" fontId="0" fillId="23" borderId="0" xfId="0" applyFill="1" applyAlignment="1">
      <alignment vertical="center" wrapText="1"/>
    </xf>
    <xf numFmtId="0" fontId="6" fillId="24" borderId="0" xfId="0" applyFont="1" applyFill="1" applyAlignment="1">
      <alignment horizontal="left" vertical="center"/>
    </xf>
    <xf numFmtId="0" fontId="0" fillId="24" borderId="0" xfId="0" applyFill="1" applyAlignment="1">
      <alignment horizontal="center" vertical="center"/>
    </xf>
    <xf numFmtId="0" fontId="0" fillId="24" borderId="0" xfId="0" applyFill="1" applyAlignment="1">
      <alignment vertical="center" wrapText="1"/>
    </xf>
    <xf numFmtId="0" fontId="6" fillId="25" borderId="0" xfId="0" applyFont="1" applyFill="1" applyAlignment="1">
      <alignment horizontal="left" vertical="center"/>
    </xf>
    <xf numFmtId="0" fontId="0" fillId="25" borderId="0" xfId="0" applyFill="1" applyAlignment="1">
      <alignment horizontal="center" vertical="center"/>
    </xf>
    <xf numFmtId="0" fontId="0" fillId="25" borderId="0" xfId="0" applyFill="1" applyAlignment="1">
      <alignment vertical="center" wrapText="1"/>
    </xf>
    <xf numFmtId="0" fontId="43" fillId="0" borderId="0" xfId="0" applyFont="1" applyAlignment="1">
      <alignment vertical="center" wrapText="1"/>
    </xf>
    <xf numFmtId="0" fontId="0" fillId="26" borderId="0" xfId="0" applyFill="1" applyAlignment="1">
      <alignment horizontal="center" vertical="center"/>
    </xf>
    <xf numFmtId="0" fontId="0" fillId="26" borderId="0" xfId="0" applyFill="1" applyAlignment="1">
      <alignment vertical="center" wrapText="1"/>
    </xf>
    <xf numFmtId="0" fontId="49" fillId="26" borderId="0" xfId="0" applyFont="1" applyFill="1" applyAlignment="1">
      <alignment horizontal="left" vertical="center"/>
    </xf>
    <xf numFmtId="0" fontId="0" fillId="26" borderId="0" xfId="0" applyFill="1">
      <alignment vertical="center"/>
    </xf>
    <xf numFmtId="0" fontId="43" fillId="27" borderId="0" xfId="0" applyFont="1" applyFill="1" applyAlignment="1">
      <alignment horizontal="center" vertical="center"/>
    </xf>
    <xf numFmtId="0" fontId="49" fillId="27" borderId="0" xfId="0" applyFont="1" applyFill="1" applyAlignment="1">
      <alignment horizontal="left" vertical="center"/>
    </xf>
    <xf numFmtId="0" fontId="0" fillId="27" borderId="0" xfId="0" applyFill="1" applyAlignment="1">
      <alignment horizontal="center" vertical="center"/>
    </xf>
    <xf numFmtId="0" fontId="0" fillId="27" borderId="0" xfId="0" applyFill="1" applyAlignment="1">
      <alignment vertical="center" wrapText="1"/>
    </xf>
    <xf numFmtId="0" fontId="0" fillId="27" borderId="0" xfId="0" applyFill="1">
      <alignment vertical="center"/>
    </xf>
    <xf numFmtId="0" fontId="49" fillId="28" borderId="0" xfId="0" applyFont="1" applyFill="1" applyAlignment="1">
      <alignment horizontal="left" vertical="center"/>
    </xf>
    <xf numFmtId="0" fontId="0" fillId="28" borderId="0" xfId="0" applyFill="1" applyAlignment="1">
      <alignment horizontal="center" vertical="center"/>
    </xf>
    <xf numFmtId="0" fontId="0" fillId="28" borderId="0" xfId="0" applyFill="1" applyAlignment="1">
      <alignment vertical="center" wrapText="1"/>
    </xf>
    <xf numFmtId="0" fontId="0" fillId="28" borderId="0" xfId="0" applyFill="1">
      <alignment vertical="center"/>
    </xf>
    <xf numFmtId="0" fontId="43" fillId="29" borderId="0" xfId="0" applyFont="1" applyFill="1" applyAlignment="1">
      <alignment horizontal="center" vertical="center"/>
    </xf>
    <xf numFmtId="0" fontId="49" fillId="29" borderId="0" xfId="0" applyFont="1" applyFill="1" applyAlignment="1">
      <alignment horizontal="left" vertical="center"/>
    </xf>
    <xf numFmtId="0" fontId="0" fillId="29" borderId="0" xfId="0" applyFill="1" applyAlignment="1">
      <alignment horizontal="center" vertical="center"/>
    </xf>
    <xf numFmtId="0" fontId="0" fillId="29" borderId="0" xfId="0" applyFill="1" applyAlignment="1">
      <alignment vertical="center" wrapText="1"/>
    </xf>
    <xf numFmtId="0" fontId="0" fillId="29" borderId="0" xfId="0" applyFill="1">
      <alignment vertical="center"/>
    </xf>
    <xf numFmtId="0" fontId="49" fillId="30" borderId="0" xfId="0" applyFont="1" applyFill="1" applyAlignment="1">
      <alignment horizontal="left" vertical="center"/>
    </xf>
    <xf numFmtId="0" fontId="0" fillId="30" borderId="0" xfId="0" applyFill="1" applyAlignment="1">
      <alignment horizontal="center" vertical="center"/>
    </xf>
    <xf numFmtId="0" fontId="0" fillId="30" borderId="0" xfId="0" applyFill="1" applyAlignment="1">
      <alignment vertical="center" wrapText="1"/>
    </xf>
    <xf numFmtId="0" fontId="0" fillId="30" borderId="0" xfId="0" applyFill="1">
      <alignment vertical="center"/>
    </xf>
    <xf numFmtId="0" fontId="43" fillId="31" borderId="0" xfId="0" applyFont="1" applyFill="1" applyAlignment="1">
      <alignment horizontal="center" vertical="center"/>
    </xf>
    <xf numFmtId="0" fontId="49" fillId="31" borderId="0" xfId="0" applyFont="1" applyFill="1" applyAlignment="1">
      <alignment horizontal="left" vertical="center"/>
    </xf>
    <xf numFmtId="0" fontId="0" fillId="31" borderId="0" xfId="0" applyFill="1" applyAlignment="1">
      <alignment horizontal="center" vertical="center"/>
    </xf>
    <xf numFmtId="0" fontId="0" fillId="31" borderId="0" xfId="0" applyFill="1" applyAlignment="1">
      <alignment vertical="center" wrapText="1"/>
    </xf>
    <xf numFmtId="0" fontId="0" fillId="31" borderId="0" xfId="0" applyFill="1">
      <alignment vertical="center"/>
    </xf>
    <xf numFmtId="0" fontId="43" fillId="32" borderId="0" xfId="0" applyFont="1" applyFill="1" applyAlignment="1">
      <alignment horizontal="center" vertical="center"/>
    </xf>
    <xf numFmtId="0" fontId="49" fillId="32" borderId="0" xfId="0" applyFont="1" applyFill="1" applyAlignment="1">
      <alignment horizontal="left" vertical="center"/>
    </xf>
    <xf numFmtId="0" fontId="0" fillId="32" borderId="0" xfId="0" applyFill="1" applyAlignment="1">
      <alignment horizontal="center" vertical="center"/>
    </xf>
    <xf numFmtId="0" fontId="0" fillId="32" borderId="0" xfId="0" applyFill="1" applyAlignment="1">
      <alignment vertical="center" wrapText="1"/>
    </xf>
    <xf numFmtId="0" fontId="0" fillId="32" borderId="0" xfId="0" applyFill="1">
      <alignment vertical="center"/>
    </xf>
    <xf numFmtId="0" fontId="43" fillId="33" borderId="0" xfId="0" applyFont="1" applyFill="1" applyAlignment="1">
      <alignment horizontal="center" vertical="center"/>
    </xf>
    <xf numFmtId="0" fontId="6" fillId="33" borderId="0" xfId="0" applyFont="1" applyFill="1" applyAlignment="1">
      <alignment horizontal="left" vertical="center"/>
    </xf>
    <xf numFmtId="0" fontId="5" fillId="33" borderId="0" xfId="0" applyFont="1" applyFill="1" applyAlignment="1">
      <alignment horizontal="center" vertical="center"/>
    </xf>
    <xf numFmtId="0" fontId="5" fillId="33" borderId="0" xfId="0" applyFont="1" applyFill="1" applyAlignment="1">
      <alignment vertical="center" wrapText="1"/>
    </xf>
    <xf numFmtId="0" fontId="5" fillId="33" borderId="0" xfId="0" applyFont="1" applyFill="1">
      <alignment vertical="center"/>
    </xf>
    <xf numFmtId="0" fontId="43" fillId="34" borderId="0" xfId="0" applyFont="1" applyFill="1" applyAlignment="1">
      <alignment horizontal="center" vertical="center"/>
    </xf>
    <xf numFmtId="0" fontId="49" fillId="34" borderId="0" xfId="0" applyFont="1" applyFill="1" applyAlignment="1">
      <alignment horizontal="left" vertical="center"/>
    </xf>
    <xf numFmtId="0" fontId="0" fillId="34" borderId="0" xfId="0" applyFill="1" applyAlignment="1">
      <alignment horizontal="center" vertical="center"/>
    </xf>
    <xf numFmtId="0" fontId="0" fillId="34" borderId="0" xfId="0" applyFill="1" applyAlignment="1">
      <alignment vertical="center" wrapText="1"/>
    </xf>
    <xf numFmtId="0" fontId="0" fillId="34" borderId="0" xfId="0" applyFill="1">
      <alignment vertical="center"/>
    </xf>
    <xf numFmtId="0" fontId="43" fillId="35" borderId="0" xfId="0" applyFont="1" applyFill="1" applyAlignment="1">
      <alignment horizontal="center" vertical="center"/>
    </xf>
    <xf numFmtId="0" fontId="6" fillId="35" borderId="0" xfId="0" applyFont="1" applyFill="1" applyAlignment="1">
      <alignment horizontal="left" vertical="center"/>
    </xf>
    <xf numFmtId="0" fontId="0" fillId="35" borderId="0" xfId="0" applyFill="1" applyAlignment="1">
      <alignment horizontal="center" vertical="center"/>
    </xf>
    <xf numFmtId="0" fontId="0" fillId="35" borderId="0" xfId="0" applyFill="1" applyAlignment="1">
      <alignment vertical="center" wrapText="1"/>
    </xf>
    <xf numFmtId="0" fontId="0" fillId="35" borderId="0" xfId="0" applyFill="1">
      <alignment vertical="center"/>
    </xf>
    <xf numFmtId="0" fontId="43" fillId="36" borderId="0" xfId="0" applyFont="1" applyFill="1" applyAlignment="1">
      <alignment horizontal="center" vertical="center"/>
    </xf>
    <xf numFmtId="0" fontId="49" fillId="36" borderId="0" xfId="0" applyFont="1" applyFill="1" applyAlignment="1">
      <alignment horizontal="left" vertical="center"/>
    </xf>
    <xf numFmtId="0" fontId="0" fillId="36" borderId="0" xfId="0" applyFill="1" applyAlignment="1">
      <alignment horizontal="center" vertical="center"/>
    </xf>
    <xf numFmtId="0" fontId="0" fillId="36" borderId="0" xfId="0" applyFill="1" applyAlignment="1">
      <alignment vertical="center" wrapText="1"/>
    </xf>
    <xf numFmtId="0" fontId="0" fillId="36" borderId="0" xfId="0" applyFill="1">
      <alignment vertical="center"/>
    </xf>
    <xf numFmtId="0" fontId="43" fillId="23" borderId="0" xfId="0" applyFont="1" applyFill="1" applyAlignment="1">
      <alignment horizontal="center" vertical="center"/>
    </xf>
    <xf numFmtId="0" fontId="0" fillId="23" borderId="0" xfId="0" applyFill="1">
      <alignment vertical="center"/>
    </xf>
    <xf numFmtId="0" fontId="43" fillId="37" borderId="0" xfId="0" applyFont="1" applyFill="1" applyAlignment="1">
      <alignment horizontal="center" vertical="center"/>
    </xf>
    <xf numFmtId="0" fontId="6" fillId="37" borderId="0" xfId="0" applyFont="1" applyFill="1" applyAlignment="1">
      <alignment horizontal="left" vertical="center"/>
    </xf>
    <xf numFmtId="0" fontId="0" fillId="37" borderId="0" xfId="0" applyFill="1" applyAlignment="1">
      <alignment horizontal="center" vertical="center"/>
    </xf>
    <xf numFmtId="0" fontId="0" fillId="37" borderId="0" xfId="0" applyFill="1" applyAlignment="1">
      <alignment vertical="center" wrapText="1"/>
    </xf>
    <xf numFmtId="0" fontId="0" fillId="37" borderId="0" xfId="0" applyFill="1">
      <alignment vertical="center"/>
    </xf>
    <xf numFmtId="0" fontId="43" fillId="24" borderId="0" xfId="0" applyFont="1" applyFill="1" applyAlignment="1">
      <alignment horizontal="center" vertical="center"/>
    </xf>
    <xf numFmtId="0" fontId="0" fillId="24" borderId="0" xfId="0" applyFill="1">
      <alignment vertical="center"/>
    </xf>
    <xf numFmtId="0" fontId="43" fillId="25" borderId="0" xfId="0" applyFont="1" applyFill="1" applyAlignment="1">
      <alignment horizontal="center" vertical="center"/>
    </xf>
    <xf numFmtId="0" fontId="0" fillId="25" borderId="0" xfId="0" applyFill="1">
      <alignment vertical="center"/>
    </xf>
    <xf numFmtId="0" fontId="6" fillId="38" borderId="0" xfId="0" applyFont="1" applyFill="1" applyAlignment="1">
      <alignment horizontal="left" vertical="center"/>
    </xf>
    <xf numFmtId="0" fontId="43" fillId="38" borderId="0" xfId="0" applyFont="1" applyFill="1" applyAlignment="1">
      <alignment horizontal="center" vertical="center"/>
    </xf>
    <xf numFmtId="0" fontId="0" fillId="38" borderId="0" xfId="0" applyFill="1" applyAlignment="1">
      <alignment horizontal="center" vertical="center"/>
    </xf>
    <xf numFmtId="0" fontId="0" fillId="38" borderId="0" xfId="0" applyFill="1" applyAlignment="1">
      <alignment vertical="center" wrapText="1"/>
    </xf>
    <xf numFmtId="0" fontId="0" fillId="38" borderId="0" xfId="0" applyFill="1">
      <alignment vertical="center"/>
    </xf>
    <xf numFmtId="0" fontId="67" fillId="0" borderId="0" xfId="0" applyFont="1" applyAlignment="1">
      <alignment horizontal="right" vertical="center"/>
    </xf>
    <xf numFmtId="0" fontId="67" fillId="0" borderId="0" xfId="0" applyFont="1" applyAlignment="1">
      <alignment horizontal="left" vertical="center"/>
    </xf>
    <xf numFmtId="0" fontId="32" fillId="0" borderId="0" xfId="0" applyFont="1" applyAlignment="1">
      <alignment horizontal="left" vertical="center"/>
    </xf>
    <xf numFmtId="176" fontId="74" fillId="0" borderId="0" xfId="0" applyNumberFormat="1" applyFont="1" applyAlignment="1">
      <alignment horizontal="center" vertical="center"/>
    </xf>
    <xf numFmtId="0" fontId="19" fillId="21" borderId="57" xfId="0" applyFont="1" applyFill="1" applyBorder="1" applyAlignment="1">
      <alignment horizontal="right" vertical="center" wrapText="1"/>
    </xf>
    <xf numFmtId="0" fontId="71" fillId="21" borderId="57" xfId="0" applyFont="1" applyFill="1" applyBorder="1" applyAlignment="1">
      <alignment horizontal="center" vertical="center" wrapText="1"/>
    </xf>
    <xf numFmtId="49" fontId="52" fillId="0" borderId="59" xfId="0" applyNumberFormat="1" applyFont="1" applyBorder="1" applyAlignment="1"/>
    <xf numFmtId="0" fontId="70" fillId="0" borderId="59" xfId="0" applyFont="1" applyBorder="1" applyAlignment="1">
      <alignment horizontal="left"/>
    </xf>
    <xf numFmtId="0" fontId="32" fillId="0" borderId="59" xfId="0" applyFont="1" applyBorder="1" applyAlignment="1">
      <alignment horizontal="center"/>
    </xf>
    <xf numFmtId="0" fontId="51" fillId="0" borderId="59" xfId="0" applyFont="1" applyBorder="1" applyAlignment="1">
      <alignment horizontal="center"/>
    </xf>
    <xf numFmtId="0" fontId="30" fillId="14" borderId="53" xfId="0" applyFont="1" applyFill="1" applyBorder="1">
      <alignment vertical="center"/>
    </xf>
    <xf numFmtId="0" fontId="51" fillId="14" borderId="0" xfId="0" applyFont="1" applyFill="1" applyAlignment="1">
      <alignment horizontal="left" vertical="center"/>
    </xf>
    <xf numFmtId="0" fontId="51" fillId="14" borderId="55" xfId="0" applyFont="1" applyFill="1" applyBorder="1" applyAlignment="1">
      <alignment horizontal="left" vertical="center"/>
    </xf>
    <xf numFmtId="0" fontId="67" fillId="14" borderId="0" xfId="0" applyFont="1" applyFill="1" applyAlignment="1">
      <alignment horizontal="right" vertical="center"/>
    </xf>
    <xf numFmtId="0" fontId="67" fillId="14" borderId="0" xfId="0" applyFont="1" applyFill="1" applyAlignment="1">
      <alignment horizontal="left" vertical="center"/>
    </xf>
    <xf numFmtId="0" fontId="33" fillId="14" borderId="55" xfId="0" applyFont="1" applyFill="1" applyBorder="1" applyAlignment="1">
      <alignment horizontal="left" vertical="center"/>
    </xf>
    <xf numFmtId="0" fontId="30" fillId="14" borderId="55" xfId="0" applyFont="1" applyFill="1" applyBorder="1">
      <alignment vertical="center"/>
    </xf>
    <xf numFmtId="0" fontId="75" fillId="14" borderId="0" xfId="0" applyFont="1" applyFill="1" applyAlignment="1"/>
    <xf numFmtId="9" fontId="51" fillId="14" borderId="0" xfId="0" applyNumberFormat="1" applyFont="1" applyFill="1" applyAlignment="1">
      <alignment horizontal="left" vertical="top"/>
    </xf>
    <xf numFmtId="0" fontId="32" fillId="14" borderId="56" xfId="0" applyFont="1" applyFill="1" applyBorder="1" applyAlignment="1">
      <alignment horizontal="center" vertical="center"/>
    </xf>
    <xf numFmtId="0" fontId="51" fillId="14" borderId="57" xfId="0" applyFont="1" applyFill="1" applyBorder="1" applyAlignment="1">
      <alignment horizontal="center" vertical="center"/>
    </xf>
    <xf numFmtId="0" fontId="51" fillId="14" borderId="58" xfId="0" applyFont="1" applyFill="1" applyBorder="1" applyAlignment="1">
      <alignment horizontal="center" vertical="center"/>
    </xf>
    <xf numFmtId="0" fontId="29" fillId="14" borderId="60" xfId="0" applyFont="1" applyFill="1" applyBorder="1" applyAlignment="1">
      <alignment horizontal="center" vertical="center"/>
    </xf>
    <xf numFmtId="0" fontId="67" fillId="14" borderId="33" xfId="0" applyFont="1" applyFill="1" applyBorder="1" applyAlignment="1">
      <alignment horizontal="right" vertical="center"/>
    </xf>
    <xf numFmtId="0" fontId="67" fillId="14" borderId="33" xfId="0" applyFont="1" applyFill="1" applyBorder="1" applyAlignment="1">
      <alignment horizontal="left" vertical="center"/>
    </xf>
    <xf numFmtId="0" fontId="33" fillId="14" borderId="61" xfId="0" applyFont="1" applyFill="1" applyBorder="1" applyAlignment="1">
      <alignment horizontal="left" vertical="center"/>
    </xf>
    <xf numFmtId="176" fontId="71" fillId="14" borderId="52" xfId="0" applyNumberFormat="1" applyFont="1" applyFill="1" applyBorder="1">
      <alignment vertical="center"/>
    </xf>
    <xf numFmtId="176" fontId="71" fillId="14" borderId="23" xfId="0" applyNumberFormat="1" applyFont="1" applyFill="1" applyBorder="1">
      <alignment vertical="center"/>
    </xf>
    <xf numFmtId="176" fontId="71" fillId="14" borderId="54" xfId="0" applyNumberFormat="1" applyFont="1" applyFill="1" applyBorder="1">
      <alignment vertical="center"/>
    </xf>
    <xf numFmtId="176" fontId="71" fillId="14" borderId="0" xfId="0" applyNumberFormat="1" applyFont="1" applyFill="1">
      <alignment vertical="center"/>
    </xf>
    <xf numFmtId="0" fontId="63" fillId="0" borderId="62" xfId="0" applyFont="1" applyBorder="1" applyAlignment="1">
      <alignment horizontal="center" vertical="center"/>
    </xf>
    <xf numFmtId="0" fontId="43" fillId="0" borderId="62" xfId="0" applyFont="1" applyBorder="1" applyAlignment="1">
      <alignment horizontal="center" vertical="center"/>
    </xf>
    <xf numFmtId="0" fontId="33" fillId="0" borderId="0" xfId="0" applyFont="1" applyAlignment="1">
      <alignment horizontal="center" vertical="center"/>
    </xf>
    <xf numFmtId="0" fontId="32" fillId="0" borderId="0" xfId="0" applyFont="1" applyAlignment="1">
      <alignment horizontal="right" vertical="center" indent="1"/>
    </xf>
    <xf numFmtId="0" fontId="33" fillId="0" borderId="0" xfId="0" applyFont="1" applyAlignment="1">
      <alignment horizontal="right" vertical="center" indent="1"/>
    </xf>
    <xf numFmtId="0" fontId="33" fillId="0" borderId="0" xfId="0" applyFont="1" applyAlignment="1">
      <alignment horizontal="right" vertical="center"/>
    </xf>
    <xf numFmtId="0" fontId="32" fillId="0" borderId="0" xfId="0" applyFont="1" applyAlignment="1">
      <alignment horizontal="right" vertical="center"/>
    </xf>
    <xf numFmtId="0" fontId="67" fillId="0" borderId="59" xfId="0" applyFont="1" applyBorder="1" applyAlignment="1">
      <alignment horizontal="right" vertical="center"/>
    </xf>
    <xf numFmtId="0" fontId="67" fillId="0" borderId="59" xfId="0" applyFont="1" applyBorder="1" applyAlignment="1">
      <alignment horizontal="left" vertical="center"/>
    </xf>
    <xf numFmtId="0" fontId="33" fillId="0" borderId="59" xfId="0" applyFont="1" applyBorder="1" applyAlignment="1">
      <alignment horizontal="left" vertical="center"/>
    </xf>
    <xf numFmtId="0" fontId="33" fillId="0" borderId="59" xfId="0" applyFont="1" applyBorder="1" applyAlignment="1">
      <alignment horizontal="center" vertical="center"/>
    </xf>
    <xf numFmtId="0" fontId="32" fillId="0" borderId="59" xfId="0" applyFont="1" applyBorder="1" applyAlignment="1">
      <alignment horizontal="center" vertical="center"/>
    </xf>
    <xf numFmtId="0" fontId="33" fillId="0" borderId="0" xfId="0" applyFont="1">
      <alignment vertical="center"/>
    </xf>
    <xf numFmtId="0" fontId="19" fillId="26" borderId="0" xfId="0" applyFont="1" applyFill="1" applyAlignment="1">
      <alignment horizontal="center" vertical="center"/>
    </xf>
    <xf numFmtId="0" fontId="77" fillId="0" borderId="4" xfId="0" applyFont="1" applyBorder="1" applyAlignment="1">
      <alignment horizontal="center" vertical="center"/>
    </xf>
    <xf numFmtId="0" fontId="43" fillId="0" borderId="7" xfId="0" applyFont="1" applyBorder="1" applyAlignment="1">
      <alignment horizontal="center" vertical="center"/>
    </xf>
    <xf numFmtId="0" fontId="0" fillId="17" borderId="4" xfId="0" applyFill="1" applyBorder="1" applyAlignment="1">
      <alignment horizontal="center" vertical="center" wrapText="1"/>
    </xf>
    <xf numFmtId="0" fontId="0" fillId="17" borderId="13" xfId="0" applyFill="1" applyBorder="1" applyAlignment="1">
      <alignment horizontal="center" vertical="center" wrapText="1"/>
    </xf>
    <xf numFmtId="0" fontId="0" fillId="17" borderId="14" xfId="0" applyFill="1" applyBorder="1" applyAlignment="1">
      <alignment horizontal="center" vertical="center" wrapText="1"/>
    </xf>
    <xf numFmtId="0" fontId="7" fillId="8" borderId="0" xfId="0" applyFont="1" applyFill="1" applyAlignment="1">
      <alignment horizontal="center" vertical="center" wrapText="1"/>
    </xf>
    <xf numFmtId="0" fontId="5" fillId="0" borderId="0" xfId="0" applyFont="1" applyAlignment="1">
      <alignment vertical="top" wrapText="1"/>
    </xf>
    <xf numFmtId="0" fontId="7" fillId="0" borderId="0" xfId="0" applyFont="1" applyAlignment="1">
      <alignment horizontal="center" vertical="center" wrapText="1"/>
    </xf>
    <xf numFmtId="0" fontId="43" fillId="0" borderId="10" xfId="0" applyFont="1" applyBorder="1" applyAlignment="1">
      <alignment horizontal="center" vertical="center"/>
    </xf>
    <xf numFmtId="0" fontId="19" fillId="28" borderId="0" xfId="0" applyFont="1" applyFill="1" applyAlignment="1">
      <alignment horizontal="center" vertical="center"/>
    </xf>
    <xf numFmtId="0" fontId="19" fillId="30" borderId="0" xfId="0" applyFont="1" applyFill="1" applyAlignment="1">
      <alignment horizontal="center" vertical="center"/>
    </xf>
    <xf numFmtId="0" fontId="63" fillId="0" borderId="48" xfId="0" applyFont="1" applyBorder="1" applyAlignment="1">
      <alignment horizontal="center" vertical="center"/>
    </xf>
    <xf numFmtId="0" fontId="63" fillId="0" borderId="49" xfId="0" applyFont="1" applyBorder="1" applyAlignment="1">
      <alignment horizontal="center" vertical="center"/>
    </xf>
    <xf numFmtId="0" fontId="32" fillId="0" borderId="48" xfId="0" applyFont="1" applyBorder="1" applyAlignment="1">
      <alignment horizontal="center" vertical="center"/>
    </xf>
    <xf numFmtId="0" fontId="32" fillId="0" borderId="49" xfId="0" applyFont="1" applyBorder="1" applyAlignment="1">
      <alignment horizontal="center" vertical="center"/>
    </xf>
    <xf numFmtId="0" fontId="51" fillId="0" borderId="48" xfId="0" applyFont="1" applyBorder="1" applyAlignment="1">
      <alignment horizontal="center" vertical="center"/>
    </xf>
    <xf numFmtId="0" fontId="80" fillId="0" borderId="0" xfId="0" applyFont="1">
      <alignment vertical="center"/>
    </xf>
    <xf numFmtId="0" fontId="42" fillId="0" borderId="0" xfId="0" applyFont="1" applyAlignment="1">
      <alignment horizontal="left" vertical="center"/>
    </xf>
    <xf numFmtId="0" fontId="81" fillId="0" borderId="0" xfId="0" applyFont="1" applyAlignment="1">
      <alignment horizontal="center" vertical="center"/>
    </xf>
    <xf numFmtId="0" fontId="51" fillId="0" borderId="49" xfId="0" applyFont="1" applyBorder="1" applyAlignment="1">
      <alignment horizontal="center" vertical="center"/>
    </xf>
    <xf numFmtId="0" fontId="80" fillId="0" borderId="48" xfId="0" applyFont="1" applyBorder="1">
      <alignment vertical="center"/>
    </xf>
    <xf numFmtId="0" fontId="81" fillId="0" borderId="48" xfId="0" applyFont="1" applyBorder="1" applyAlignment="1">
      <alignment horizontal="center" vertical="center"/>
    </xf>
    <xf numFmtId="0" fontId="42" fillId="0" borderId="48" xfId="0" applyFont="1" applyBorder="1" applyAlignment="1">
      <alignment horizontal="left" vertical="center"/>
    </xf>
    <xf numFmtId="0" fontId="29" fillId="0" borderId="48" xfId="0" applyFont="1" applyBorder="1" applyAlignment="1">
      <alignment horizontal="center" vertical="center"/>
    </xf>
    <xf numFmtId="0" fontId="80" fillId="0" borderId="49" xfId="0" applyFont="1" applyBorder="1">
      <alignment vertical="center"/>
    </xf>
    <xf numFmtId="0" fontId="81" fillId="0" borderId="49" xfId="0" applyFont="1" applyBorder="1" applyAlignment="1">
      <alignment horizontal="center" vertical="center"/>
    </xf>
    <xf numFmtId="0" fontId="42" fillId="0" borderId="49" xfId="0" applyFont="1" applyBorder="1" applyAlignment="1">
      <alignment horizontal="left" vertical="center"/>
    </xf>
    <xf numFmtId="0" fontId="29" fillId="0" borderId="49" xfId="0" applyFont="1" applyBorder="1" applyAlignment="1">
      <alignment horizontal="center" vertical="center"/>
    </xf>
    <xf numFmtId="49" fontId="65" fillId="0" borderId="0" xfId="0" applyNumberFormat="1" applyFont="1" applyAlignment="1"/>
    <xf numFmtId="0" fontId="65" fillId="0" borderId="0" xfId="0" applyFont="1" applyAlignment="1"/>
    <xf numFmtId="0" fontId="84" fillId="0" borderId="0" xfId="0" applyFont="1" applyAlignment="1">
      <alignment horizontal="right" vertical="center" indent="1"/>
    </xf>
    <xf numFmtId="0" fontId="88" fillId="0" borderId="0" xfId="0" applyFont="1" applyAlignment="1">
      <alignment horizontal="left" vertical="center"/>
    </xf>
    <xf numFmtId="0" fontId="33" fillId="0" borderId="4" xfId="0" applyFont="1" applyBorder="1" applyAlignment="1">
      <alignment horizontal="left" vertical="center"/>
    </xf>
    <xf numFmtId="0" fontId="33" fillId="0" borderId="4" xfId="0" applyFont="1" applyBorder="1">
      <alignment vertical="center"/>
    </xf>
    <xf numFmtId="0" fontId="19" fillId="5" borderId="69" xfId="0" applyFont="1" applyFill="1" applyBorder="1" applyAlignment="1">
      <alignment horizontal="center" vertical="center" wrapText="1"/>
    </xf>
    <xf numFmtId="201" fontId="51" fillId="14" borderId="0" xfId="0" applyNumberFormat="1" applyFont="1" applyFill="1" applyAlignment="1">
      <alignment horizontal="left" vertical="top"/>
    </xf>
    <xf numFmtId="0" fontId="79" fillId="0" borderId="0" xfId="0" applyFont="1" applyAlignment="1">
      <alignment horizontal="center" vertical="center"/>
    </xf>
    <xf numFmtId="203" fontId="6" fillId="17" borderId="4" xfId="0" applyNumberFormat="1" applyFont="1" applyFill="1" applyBorder="1" applyAlignment="1">
      <alignment horizontal="center" vertical="center"/>
    </xf>
    <xf numFmtId="0" fontId="89" fillId="0" borderId="4" xfId="0" applyFont="1" applyBorder="1" applyAlignment="1">
      <alignment horizontal="center" vertical="center"/>
    </xf>
    <xf numFmtId="0" fontId="89" fillId="0" borderId="7" xfId="0" applyFont="1" applyBorder="1" applyAlignment="1">
      <alignment horizontal="center" vertical="center"/>
    </xf>
    <xf numFmtId="0" fontId="89" fillId="0" borderId="10" xfId="0" applyFont="1" applyBorder="1" applyAlignment="1">
      <alignment horizontal="center" vertical="center"/>
    </xf>
    <xf numFmtId="0" fontId="90" fillId="0" borderId="4" xfId="0" applyFont="1" applyBorder="1" applyAlignment="1">
      <alignment horizontal="center" vertical="center"/>
    </xf>
    <xf numFmtId="0" fontId="32" fillId="0" borderId="0" xfId="0" applyFont="1" applyAlignment="1">
      <alignment horizontal="left" vertical="center"/>
    </xf>
    <xf numFmtId="0" fontId="81" fillId="15" borderId="18" xfId="0" applyFont="1" applyFill="1" applyBorder="1" applyAlignment="1">
      <alignment horizontal="center" vertical="center"/>
    </xf>
    <xf numFmtId="0" fontId="81" fillId="15" borderId="63" xfId="0" applyFont="1" applyFill="1" applyBorder="1" applyAlignment="1">
      <alignment horizontal="center" vertical="center"/>
    </xf>
    <xf numFmtId="0" fontId="81" fillId="15" borderId="19" xfId="0" applyFont="1" applyFill="1" applyBorder="1" applyAlignment="1">
      <alignment horizontal="center" vertical="center"/>
    </xf>
    <xf numFmtId="0" fontId="29" fillId="0" borderId="50" xfId="0" applyFont="1" applyBorder="1" applyAlignment="1">
      <alignment horizontal="center" vertical="center"/>
    </xf>
    <xf numFmtId="0" fontId="29" fillId="0" borderId="45" xfId="0" applyFont="1" applyBorder="1" applyAlignment="1">
      <alignment horizontal="center" vertical="center"/>
    </xf>
    <xf numFmtId="0" fontId="29" fillId="0" borderId="51" xfId="0" applyFont="1" applyBorder="1" applyAlignment="1">
      <alignment horizontal="center" vertical="center"/>
    </xf>
    <xf numFmtId="200" fontId="69" fillId="0" borderId="48" xfId="0" applyNumberFormat="1" applyFont="1" applyBorder="1" applyAlignment="1">
      <alignment horizontal="center" vertical="center"/>
    </xf>
    <xf numFmtId="200" fontId="69" fillId="0" borderId="0" xfId="0" applyNumberFormat="1" applyFont="1" applyAlignment="1">
      <alignment horizontal="center" vertical="center"/>
    </xf>
    <xf numFmtId="200" fontId="69" fillId="0" borderId="49" xfId="0" applyNumberFormat="1" applyFont="1" applyBorder="1" applyAlignment="1">
      <alignment horizontal="center" vertical="center"/>
    </xf>
    <xf numFmtId="200" fontId="69" fillId="0" borderId="48" xfId="0" applyNumberFormat="1" applyFont="1" applyBorder="1" applyAlignment="1">
      <alignment horizontal="center" vertical="center" wrapText="1"/>
    </xf>
    <xf numFmtId="0" fontId="29" fillId="0" borderId="48" xfId="0" applyFont="1" applyBorder="1" applyAlignment="1">
      <alignment horizontal="center" vertical="center" wrapText="1"/>
    </xf>
    <xf numFmtId="0" fontId="29" fillId="0" borderId="0" xfId="0" applyFont="1" applyAlignment="1">
      <alignment horizontal="center" vertical="center" wrapText="1"/>
    </xf>
    <xf numFmtId="0" fontId="29" fillId="0" borderId="49" xfId="0" applyFont="1" applyBorder="1" applyAlignment="1">
      <alignment horizontal="center" vertical="center" wrapText="1"/>
    </xf>
    <xf numFmtId="200" fontId="72" fillId="0" borderId="48" xfId="0" applyNumberFormat="1" applyFont="1" applyBorder="1" applyAlignment="1">
      <alignment horizontal="center" vertical="center"/>
    </xf>
    <xf numFmtId="200" fontId="72" fillId="0" borderId="0" xfId="0" applyNumberFormat="1" applyFont="1" applyAlignment="1">
      <alignment horizontal="center" vertical="center"/>
    </xf>
    <xf numFmtId="200" fontId="72" fillId="0" borderId="49" xfId="0" applyNumberFormat="1" applyFont="1" applyBorder="1" applyAlignment="1">
      <alignment horizontal="center" vertical="center"/>
    </xf>
    <xf numFmtId="0" fontId="29" fillId="0" borderId="44" xfId="0" applyFont="1" applyBorder="1" applyAlignment="1">
      <alignment horizontal="center" vertical="center"/>
    </xf>
    <xf numFmtId="0" fontId="29" fillId="0" borderId="46" xfId="0" applyFont="1" applyBorder="1" applyAlignment="1">
      <alignment horizontal="center" vertical="center"/>
    </xf>
    <xf numFmtId="0" fontId="29" fillId="0" borderId="50" xfId="0" applyFont="1" applyBorder="1" applyAlignment="1">
      <alignment horizontal="center" vertical="center" wrapText="1"/>
    </xf>
    <xf numFmtId="0" fontId="29" fillId="0" borderId="45" xfId="0" applyFont="1" applyBorder="1" applyAlignment="1">
      <alignment horizontal="center" vertical="center" wrapText="1"/>
    </xf>
    <xf numFmtId="0" fontId="29" fillId="0" borderId="51" xfId="0" applyFont="1" applyBorder="1" applyAlignment="1">
      <alignment horizontal="center" vertical="center" wrapText="1"/>
    </xf>
    <xf numFmtId="0" fontId="82" fillId="39" borderId="0" xfId="0" applyFont="1" applyFill="1" applyAlignment="1">
      <alignment horizontal="center" vertical="center"/>
    </xf>
    <xf numFmtId="0" fontId="27" fillId="0" borderId="0" xfId="0" applyFont="1" applyAlignment="1">
      <alignment horizontal="left" vertical="center"/>
    </xf>
    <xf numFmtId="0" fontId="31" fillId="0" borderId="0" xfId="0" applyFont="1" applyAlignment="1">
      <alignment horizontal="left" vertical="center"/>
    </xf>
    <xf numFmtId="176" fontId="33" fillId="0" borderId="0" xfId="0" applyNumberFormat="1" applyFont="1" applyAlignment="1">
      <alignment horizontal="center" vertical="center"/>
    </xf>
    <xf numFmtId="0" fontId="86" fillId="5" borderId="18" xfId="0" applyFont="1" applyFill="1" applyBorder="1" applyAlignment="1">
      <alignment horizontal="center" vertical="center"/>
    </xf>
    <xf numFmtId="0" fontId="86" fillId="5" borderId="19" xfId="0" applyFont="1" applyFill="1" applyBorder="1" applyAlignment="1">
      <alignment horizontal="center" vertical="center"/>
    </xf>
    <xf numFmtId="0" fontId="71" fillId="14" borderId="23" xfId="0" applyFont="1" applyFill="1" applyBorder="1" applyAlignment="1">
      <alignment horizontal="center" vertical="center" wrapText="1"/>
    </xf>
    <xf numFmtId="0" fontId="71" fillId="14" borderId="57" xfId="0" applyFont="1" applyFill="1" applyBorder="1" applyAlignment="1">
      <alignment horizontal="center" vertical="center" wrapText="1"/>
    </xf>
    <xf numFmtId="0" fontId="19" fillId="21" borderId="57" xfId="0" applyFont="1" applyFill="1" applyBorder="1" applyAlignment="1">
      <alignment horizontal="right" vertical="center" wrapText="1"/>
    </xf>
    <xf numFmtId="0" fontId="75" fillId="14" borderId="23" xfId="0" applyFont="1" applyFill="1" applyBorder="1" applyAlignment="1">
      <alignment horizontal="left"/>
    </xf>
    <xf numFmtId="0" fontId="75" fillId="14" borderId="0" xfId="0" applyFont="1" applyFill="1" applyAlignment="1">
      <alignment horizontal="left"/>
    </xf>
    <xf numFmtId="176" fontId="33" fillId="20" borderId="43" xfId="0" applyNumberFormat="1" applyFont="1" applyFill="1" applyBorder="1" applyAlignment="1">
      <alignment horizontal="center" vertical="center"/>
    </xf>
    <xf numFmtId="176" fontId="33" fillId="20" borderId="15" xfId="0" applyNumberFormat="1" applyFont="1" applyFill="1" applyBorder="1" applyAlignment="1">
      <alignment horizontal="center" vertical="center"/>
    </xf>
    <xf numFmtId="176" fontId="33" fillId="20" borderId="47" xfId="0" applyNumberFormat="1" applyFont="1" applyFill="1" applyBorder="1" applyAlignment="1">
      <alignment horizontal="center" vertical="center"/>
    </xf>
    <xf numFmtId="0" fontId="70" fillId="0" borderId="59" xfId="0" applyFont="1" applyBorder="1" applyAlignment="1">
      <alignment horizontal="left"/>
    </xf>
    <xf numFmtId="199" fontId="33" fillId="20" borderId="43" xfId="0" applyNumberFormat="1" applyFont="1" applyFill="1" applyBorder="1" applyAlignment="1">
      <alignment horizontal="center" vertical="center"/>
    </xf>
    <xf numFmtId="199" fontId="33" fillId="20" borderId="47" xfId="0" applyNumberFormat="1" applyFont="1" applyFill="1" applyBorder="1" applyAlignment="1">
      <alignment horizontal="center" vertical="center"/>
    </xf>
    <xf numFmtId="176" fontId="19" fillId="21" borderId="0" xfId="0" applyNumberFormat="1" applyFont="1" applyFill="1" applyAlignment="1">
      <alignment horizontal="left" vertical="center" indent="2"/>
    </xf>
    <xf numFmtId="202" fontId="71" fillId="14" borderId="54" xfId="0" applyNumberFormat="1" applyFont="1" applyFill="1" applyBorder="1" applyAlignment="1">
      <alignment horizontal="center" vertical="center"/>
    </xf>
    <xf numFmtId="202" fontId="71" fillId="14" borderId="0" xfId="0" applyNumberFormat="1" applyFont="1" applyFill="1" applyAlignment="1">
      <alignment horizontal="center" vertical="center"/>
    </xf>
    <xf numFmtId="176" fontId="76" fillId="14" borderId="54" xfId="0" applyNumberFormat="1" applyFont="1" applyFill="1" applyBorder="1" applyAlignment="1">
      <alignment horizontal="center"/>
    </xf>
    <xf numFmtId="176" fontId="76" fillId="14" borderId="0" xfId="0" applyNumberFormat="1" applyFont="1" applyFill="1" applyAlignment="1">
      <alignment horizontal="center"/>
    </xf>
    <xf numFmtId="176" fontId="73" fillId="0" borderId="55" xfId="0" applyNumberFormat="1" applyFont="1" applyBorder="1" applyAlignment="1">
      <alignment horizontal="center" vertical="center"/>
    </xf>
    <xf numFmtId="176" fontId="74" fillId="0" borderId="55" xfId="0" applyNumberFormat="1" applyFont="1" applyBorder="1" applyAlignment="1">
      <alignment horizontal="center" vertical="center"/>
    </xf>
    <xf numFmtId="176" fontId="71" fillId="14" borderId="54" xfId="0" applyNumberFormat="1" applyFont="1" applyFill="1" applyBorder="1" applyAlignment="1">
      <alignment horizontal="center" vertical="center"/>
    </xf>
    <xf numFmtId="176" fontId="71" fillId="14" borderId="0" xfId="0" applyNumberFormat="1" applyFont="1" applyFill="1" applyAlignment="1">
      <alignment horizontal="center" vertical="center"/>
    </xf>
    <xf numFmtId="49" fontId="85" fillId="5" borderId="0" xfId="0" applyNumberFormat="1" applyFont="1" applyFill="1" applyAlignment="1">
      <alignment horizontal="center" vertical="center"/>
    </xf>
    <xf numFmtId="0" fontId="83" fillId="0" borderId="52" xfId="0" applyFont="1" applyBorder="1" applyAlignment="1">
      <alignment horizontal="center" vertical="center" wrapText="1"/>
    </xf>
    <xf numFmtId="0" fontId="83" fillId="0" borderId="23" xfId="0" applyFont="1" applyBorder="1" applyAlignment="1">
      <alignment horizontal="center" vertical="center"/>
    </xf>
    <xf numFmtId="0" fontId="83" fillId="0" borderId="53" xfId="0" applyFont="1" applyBorder="1" applyAlignment="1">
      <alignment horizontal="center" vertical="center"/>
    </xf>
    <xf numFmtId="0" fontId="83" fillId="0" borderId="54" xfId="0" applyFont="1" applyBorder="1" applyAlignment="1">
      <alignment horizontal="center" vertical="center"/>
    </xf>
    <xf numFmtId="0" fontId="83" fillId="0" borderId="0" xfId="0" applyFont="1" applyAlignment="1">
      <alignment horizontal="center" vertical="center"/>
    </xf>
    <xf numFmtId="0" fontId="83" fillId="0" borderId="55" xfId="0" applyFont="1" applyBorder="1" applyAlignment="1">
      <alignment horizontal="center" vertical="center"/>
    </xf>
    <xf numFmtId="0" fontId="83" fillId="0" borderId="56" xfId="0" applyFont="1" applyBorder="1" applyAlignment="1">
      <alignment horizontal="center" vertical="center"/>
    </xf>
    <xf numFmtId="0" fontId="83" fillId="0" borderId="57" xfId="0" applyFont="1" applyBorder="1" applyAlignment="1">
      <alignment horizontal="center" vertical="center"/>
    </xf>
    <xf numFmtId="0" fontId="83" fillId="0" borderId="58" xfId="0" applyFont="1" applyBorder="1" applyAlignment="1">
      <alignment horizontal="center" vertical="center"/>
    </xf>
    <xf numFmtId="0" fontId="0" fillId="0" borderId="11" xfId="0" applyBorder="1" applyAlignment="1">
      <alignment horizontal="center" vertical="center"/>
    </xf>
    <xf numFmtId="0" fontId="7" fillId="8" borderId="13" xfId="0" applyFont="1" applyFill="1" applyBorder="1" applyAlignment="1">
      <alignment horizontal="center" vertical="center" wrapText="1"/>
    </xf>
    <xf numFmtId="0" fontId="7" fillId="8" borderId="12"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0" fillId="17" borderId="4" xfId="0" applyFill="1" applyBorder="1" applyAlignment="1">
      <alignment horizontal="center" vertical="center" wrapText="1"/>
    </xf>
    <xf numFmtId="0" fontId="0" fillId="17" borderId="4" xfId="0" applyFill="1" applyBorder="1" applyAlignment="1">
      <alignment horizontal="center" vertical="center"/>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20" xfId="0" applyBorder="1" applyAlignment="1">
      <alignment horizontal="center" vertical="center" wrapText="1"/>
    </xf>
    <xf numFmtId="0" fontId="43" fillId="0" borderId="4" xfId="0" applyFont="1" applyBorder="1" applyAlignment="1">
      <alignment horizontal="center" vertical="center" wrapText="1"/>
    </xf>
    <xf numFmtId="0" fontId="7" fillId="8" borderId="16" xfId="0" applyFont="1" applyFill="1" applyBorder="1" applyAlignment="1">
      <alignment horizontal="center" vertical="center" wrapText="1"/>
    </xf>
    <xf numFmtId="0" fontId="7" fillId="8" borderId="21" xfId="0" applyFont="1" applyFill="1" applyBorder="1" applyAlignment="1">
      <alignment horizontal="center" vertical="center" wrapText="1"/>
    </xf>
    <xf numFmtId="0" fontId="78" fillId="0" borderId="11"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20" xfId="0" applyFont="1" applyBorder="1" applyAlignment="1">
      <alignment horizontal="center" vertical="center" wrapText="1"/>
    </xf>
    <xf numFmtId="0" fontId="79" fillId="17" borderId="4" xfId="0" applyFont="1" applyFill="1" applyBorder="1" applyAlignment="1">
      <alignment horizontal="center" vertical="center" wrapText="1"/>
    </xf>
    <xf numFmtId="0" fontId="79" fillId="17" borderId="4" xfId="0" applyFont="1" applyFill="1" applyBorder="1" applyAlignment="1">
      <alignment horizontal="center" vertical="center"/>
    </xf>
    <xf numFmtId="0" fontId="33" fillId="0" borderId="7"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20" xfId="0" applyFont="1" applyBorder="1" applyAlignment="1">
      <alignment horizontal="center" vertical="center" wrapText="1"/>
    </xf>
    <xf numFmtId="0" fontId="19" fillId="5" borderId="66" xfId="0" applyFont="1" applyFill="1" applyBorder="1" applyAlignment="1">
      <alignment horizontal="center" vertical="center"/>
    </xf>
    <xf numFmtId="0" fontId="19" fillId="5" borderId="64" xfId="0" applyFont="1" applyFill="1" applyBorder="1" applyAlignment="1">
      <alignment horizontal="center" vertical="center"/>
    </xf>
    <xf numFmtId="0" fontId="19" fillId="5" borderId="67" xfId="0" applyFont="1" applyFill="1" applyBorder="1" applyAlignment="1">
      <alignment horizontal="center" vertical="center"/>
    </xf>
    <xf numFmtId="0" fontId="19" fillId="5" borderId="65" xfId="0" applyFont="1" applyFill="1" applyBorder="1" applyAlignment="1">
      <alignment horizontal="center" vertical="center"/>
    </xf>
    <xf numFmtId="0" fontId="19" fillId="5" borderId="68" xfId="0" applyFont="1" applyFill="1" applyBorder="1" applyAlignment="1">
      <alignment horizontal="center" vertical="center"/>
    </xf>
    <xf numFmtId="0" fontId="43" fillId="38" borderId="7" xfId="0" applyFont="1" applyFill="1" applyBorder="1" applyAlignment="1">
      <alignment horizontal="center" vertical="center"/>
    </xf>
    <xf numFmtId="0" fontId="43" fillId="38" borderId="20" xfId="0" applyFont="1" applyFill="1" applyBorder="1" applyAlignment="1">
      <alignment horizontal="center" vertical="center"/>
    </xf>
    <xf numFmtId="0" fontId="79" fillId="0" borderId="11" xfId="0" applyFont="1" applyBorder="1" applyAlignment="1">
      <alignment horizontal="left" vertical="center"/>
    </xf>
    <xf numFmtId="0" fontId="43" fillId="35" borderId="7" xfId="0" applyFont="1" applyFill="1" applyBorder="1" applyAlignment="1">
      <alignment horizontal="center" vertical="center"/>
    </xf>
    <xf numFmtId="0" fontId="43" fillId="35" borderId="10" xfId="0" applyFont="1" applyFill="1" applyBorder="1" applyAlignment="1">
      <alignment horizontal="center" vertical="center"/>
    </xf>
    <xf numFmtId="0" fontId="43" fillId="35" borderId="20" xfId="0" applyFont="1" applyFill="1" applyBorder="1" applyAlignment="1">
      <alignment horizontal="center" vertical="center"/>
    </xf>
    <xf numFmtId="0" fontId="43" fillId="8" borderId="0" xfId="0" applyFont="1" applyFill="1" applyAlignment="1">
      <alignment horizontal="center" vertical="center"/>
    </xf>
    <xf numFmtId="0" fontId="49" fillId="13" borderId="38" xfId="0" applyFont="1" applyFill="1" applyBorder="1" applyAlignment="1">
      <alignment horizontal="center" vertical="center"/>
    </xf>
    <xf numFmtId="181" fontId="49" fillId="13" borderId="38" xfId="0" applyNumberFormat="1" applyFont="1" applyFill="1" applyBorder="1" applyAlignment="1">
      <alignment horizontal="center" vertical="center"/>
    </xf>
    <xf numFmtId="196" fontId="31" fillId="0" borderId="0" xfId="0" applyNumberFormat="1" applyFont="1" applyAlignment="1">
      <alignment horizontal="right" vertical="center"/>
    </xf>
    <xf numFmtId="2" fontId="51" fillId="17" borderId="35" xfId="0" applyNumberFormat="1" applyFont="1" applyFill="1" applyBorder="1" applyAlignment="1">
      <alignment horizontal="center" vertical="center"/>
    </xf>
    <xf numFmtId="0" fontId="51" fillId="17" borderId="35" xfId="0" applyFont="1" applyFill="1" applyBorder="1" applyAlignment="1">
      <alignment horizontal="center" vertical="center"/>
    </xf>
    <xf numFmtId="0" fontId="51" fillId="15" borderId="35" xfId="0" applyFont="1" applyFill="1" applyBorder="1" applyAlignment="1">
      <alignment horizontal="right" vertical="center" indent="1"/>
    </xf>
    <xf numFmtId="0" fontId="51" fillId="15" borderId="5" xfId="0" applyFont="1" applyFill="1" applyBorder="1" applyAlignment="1">
      <alignment horizontal="right" vertical="center" indent="1"/>
    </xf>
    <xf numFmtId="198" fontId="46" fillId="17" borderId="35" xfId="9" applyNumberFormat="1" applyFont="1" applyFill="1" applyBorder="1" applyAlignment="1">
      <alignment horizontal="right" vertical="center" wrapText="1"/>
    </xf>
    <xf numFmtId="198" fontId="46" fillId="17" borderId="5" xfId="9" applyNumberFormat="1" applyFont="1" applyFill="1" applyBorder="1" applyAlignment="1">
      <alignment horizontal="right" vertical="center" wrapText="1"/>
    </xf>
    <xf numFmtId="2" fontId="29" fillId="17" borderId="5" xfId="0" applyNumberFormat="1" applyFont="1" applyFill="1" applyBorder="1" applyAlignment="1">
      <alignment horizontal="center" vertical="center"/>
    </xf>
    <xf numFmtId="0" fontId="29" fillId="17" borderId="5" xfId="0" applyFont="1" applyFill="1" applyBorder="1" applyAlignment="1">
      <alignment horizontal="center" vertical="center"/>
    </xf>
    <xf numFmtId="176" fontId="28" fillId="0" borderId="0" xfId="0" applyNumberFormat="1" applyFont="1" applyAlignment="1">
      <alignment horizontal="right" vertical="center" wrapText="1"/>
    </xf>
    <xf numFmtId="176" fontId="28" fillId="0" borderId="0" xfId="0" applyNumberFormat="1" applyFont="1" applyAlignment="1">
      <alignment horizontal="right" vertical="center"/>
    </xf>
    <xf numFmtId="190" fontId="29" fillId="16" borderId="22" xfId="0" applyNumberFormat="1" applyFont="1" applyFill="1" applyBorder="1" applyAlignment="1">
      <alignment horizontal="center" vertical="center"/>
    </xf>
    <xf numFmtId="190" fontId="29" fillId="16" borderId="0" xfId="0" applyNumberFormat="1" applyFont="1" applyFill="1" applyAlignment="1">
      <alignment horizontal="center" vertical="center"/>
    </xf>
    <xf numFmtId="190" fontId="29" fillId="16" borderId="21" xfId="0" applyNumberFormat="1" applyFont="1" applyFill="1" applyBorder="1" applyAlignment="1">
      <alignment horizontal="center" vertical="center"/>
    </xf>
    <xf numFmtId="2" fontId="29" fillId="15" borderId="22" xfId="0" applyNumberFormat="1" applyFont="1" applyFill="1" applyBorder="1" applyAlignment="1">
      <alignment horizontal="center" vertical="center"/>
    </xf>
    <xf numFmtId="2" fontId="29" fillId="15" borderId="0" xfId="0" applyNumberFormat="1" applyFont="1" applyFill="1" applyAlignment="1">
      <alignment horizontal="center" vertical="center"/>
    </xf>
    <xf numFmtId="2" fontId="29" fillId="15" borderId="21" xfId="0" applyNumberFormat="1" applyFont="1" applyFill="1" applyBorder="1" applyAlignment="1">
      <alignment horizontal="center" vertical="center"/>
    </xf>
    <xf numFmtId="176" fontId="8" fillId="20" borderId="7" xfId="0" applyNumberFormat="1" applyFont="1" applyFill="1" applyBorder="1" applyAlignment="1">
      <alignment horizontal="center" vertical="center"/>
    </xf>
    <xf numFmtId="176" fontId="8" fillId="20" borderId="10" xfId="0" applyNumberFormat="1" applyFont="1" applyFill="1" applyBorder="1" applyAlignment="1">
      <alignment horizontal="center" vertical="center"/>
    </xf>
    <xf numFmtId="176" fontId="8" fillId="20" borderId="20" xfId="0" applyNumberFormat="1" applyFont="1" applyFill="1" applyBorder="1" applyAlignment="1">
      <alignment horizontal="center" vertical="center"/>
    </xf>
    <xf numFmtId="190" fontId="7" fillId="20" borderId="22" xfId="0" applyNumberFormat="1" applyFont="1" applyFill="1" applyBorder="1" applyAlignment="1">
      <alignment horizontal="center" vertical="center"/>
    </xf>
    <xf numFmtId="190" fontId="7" fillId="20" borderId="0" xfId="0" applyNumberFormat="1" applyFont="1" applyFill="1" applyAlignment="1">
      <alignment horizontal="center" vertical="center"/>
    </xf>
    <xf numFmtId="190" fontId="7" fillId="20" borderId="21" xfId="0" applyNumberFormat="1" applyFont="1" applyFill="1" applyBorder="1" applyAlignment="1">
      <alignment horizontal="center" vertical="center"/>
    </xf>
    <xf numFmtId="190" fontId="34" fillId="20" borderId="22" xfId="0" applyNumberFormat="1" applyFont="1" applyFill="1" applyBorder="1" applyAlignment="1">
      <alignment horizontal="center" vertical="center"/>
    </xf>
    <xf numFmtId="190" fontId="34" fillId="20" borderId="0" xfId="0" applyNumberFormat="1" applyFont="1" applyFill="1" applyAlignment="1">
      <alignment horizontal="center" vertical="center"/>
    </xf>
    <xf numFmtId="190" fontId="34" fillId="20" borderId="21" xfId="0" applyNumberFormat="1" applyFont="1" applyFill="1" applyBorder="1" applyAlignment="1">
      <alignment horizontal="center" vertical="center"/>
    </xf>
    <xf numFmtId="190" fontId="34" fillId="16" borderId="22" xfId="0" applyNumberFormat="1" applyFont="1" applyFill="1" applyBorder="1" applyAlignment="1">
      <alignment horizontal="center" vertical="center"/>
    </xf>
    <xf numFmtId="190" fontId="34" fillId="16" borderId="0" xfId="0" applyNumberFormat="1" applyFont="1" applyFill="1" applyAlignment="1">
      <alignment horizontal="center" vertical="center"/>
    </xf>
    <xf numFmtId="190" fontId="34" fillId="16" borderId="21" xfId="0" applyNumberFormat="1" applyFont="1" applyFill="1" applyBorder="1" applyAlignment="1">
      <alignment horizontal="center" vertical="center"/>
    </xf>
    <xf numFmtId="0" fontId="3" fillId="0" borderId="0" xfId="0" applyFont="1" applyAlignment="1">
      <alignment horizontal="left" vertical="center"/>
    </xf>
    <xf numFmtId="0" fontId="6" fillId="0" borderId="0" xfId="0" applyFont="1" applyAlignment="1">
      <alignment horizontal="right" vertical="center" wrapText="1" indent="1"/>
    </xf>
    <xf numFmtId="0" fontId="6" fillId="0" borderId="0" xfId="0" applyFont="1" applyAlignment="1">
      <alignment horizontal="right" vertical="center" indent="1"/>
    </xf>
    <xf numFmtId="0" fontId="17" fillId="0" borderId="0" xfId="0" applyFont="1" applyAlignment="1">
      <alignment horizontal="left" vertical="center"/>
    </xf>
    <xf numFmtId="0" fontId="19" fillId="13" borderId="1" xfId="0" applyFont="1" applyFill="1" applyBorder="1" applyAlignment="1">
      <alignment horizontal="center" vertical="center"/>
    </xf>
    <xf numFmtId="0" fontId="19" fillId="13" borderId="2" xfId="0" applyFont="1" applyFill="1" applyBorder="1" applyAlignment="1">
      <alignment horizontal="center" vertical="center"/>
    </xf>
    <xf numFmtId="0" fontId="19" fillId="13" borderId="3" xfId="0" applyFont="1" applyFill="1" applyBorder="1" applyAlignment="1">
      <alignment horizontal="center" vertical="center"/>
    </xf>
    <xf numFmtId="0" fontId="19" fillId="13" borderId="0" xfId="0" applyFont="1" applyFill="1" applyAlignment="1">
      <alignment horizontal="center" vertical="center"/>
    </xf>
    <xf numFmtId="0" fontId="15" fillId="13" borderId="2" xfId="0" applyFont="1" applyFill="1" applyBorder="1" applyAlignment="1">
      <alignment horizontal="center" vertical="center"/>
    </xf>
    <xf numFmtId="0" fontId="15" fillId="13" borderId="3" xfId="0" applyFont="1" applyFill="1" applyBorder="1" applyAlignment="1">
      <alignment horizontal="center" vertical="center"/>
    </xf>
    <xf numFmtId="0" fontId="15" fillId="13" borderId="30" xfId="0" applyFont="1" applyFill="1" applyBorder="1" applyAlignment="1">
      <alignment horizontal="center" vertical="center"/>
    </xf>
    <xf numFmtId="0" fontId="15" fillId="13" borderId="31" xfId="0" applyFont="1" applyFill="1" applyBorder="1" applyAlignment="1">
      <alignment horizontal="center" vertical="center"/>
    </xf>
    <xf numFmtId="196" fontId="28" fillId="0" borderId="0" xfId="0" applyNumberFormat="1" applyFont="1" applyAlignment="1">
      <alignment horizontal="right" vertical="center"/>
    </xf>
    <xf numFmtId="0" fontId="56" fillId="14" borderId="35" xfId="0" applyFont="1" applyFill="1" applyBorder="1" applyAlignment="1">
      <alignment horizontal="center" vertical="center" wrapText="1"/>
    </xf>
    <xf numFmtId="0" fontId="56" fillId="14" borderId="5" xfId="0" applyFont="1" applyFill="1" applyBorder="1" applyAlignment="1">
      <alignment horizontal="center" vertical="center" wrapText="1"/>
    </xf>
    <xf numFmtId="0" fontId="51" fillId="15" borderId="35" xfId="0" applyFont="1" applyFill="1" applyBorder="1" applyAlignment="1">
      <alignment horizontal="center" vertical="center"/>
    </xf>
    <xf numFmtId="0" fontId="51" fillId="15" borderId="5" xfId="0" applyFont="1" applyFill="1" applyBorder="1" applyAlignment="1">
      <alignment horizontal="center" vertical="center"/>
    </xf>
    <xf numFmtId="0" fontId="58" fillId="21" borderId="41" xfId="0" applyFont="1" applyFill="1" applyBorder="1" applyAlignment="1">
      <alignment horizontal="center" vertical="center"/>
    </xf>
    <xf numFmtId="0" fontId="58" fillId="21" borderId="5" xfId="0" applyFont="1" applyFill="1" applyBorder="1" applyAlignment="1">
      <alignment horizontal="center" vertical="center"/>
    </xf>
    <xf numFmtId="0" fontId="59" fillId="10" borderId="40" xfId="0" applyFont="1" applyFill="1" applyBorder="1" applyAlignment="1">
      <alignment horizontal="left" vertical="center" indent="1"/>
    </xf>
    <xf numFmtId="0" fontId="59" fillId="10" borderId="39" xfId="0" applyFont="1" applyFill="1" applyBorder="1" applyAlignment="1">
      <alignment horizontal="left" vertical="center" indent="1"/>
    </xf>
    <xf numFmtId="0" fontId="23" fillId="0" borderId="0" xfId="0" applyFont="1" applyAlignment="1">
      <alignment horizontal="left" vertical="center" wrapText="1"/>
    </xf>
    <xf numFmtId="49" fontId="8" fillId="20" borderId="22" xfId="0" applyNumberFormat="1" applyFont="1" applyFill="1" applyBorder="1" applyAlignment="1">
      <alignment horizontal="center" vertical="center" wrapText="1"/>
    </xf>
    <xf numFmtId="49" fontId="8" fillId="20" borderId="0" xfId="0" applyNumberFormat="1" applyFont="1" applyFill="1" applyAlignment="1">
      <alignment horizontal="center" vertical="center" wrapText="1"/>
    </xf>
    <xf numFmtId="49" fontId="8" fillId="20" borderId="21" xfId="0" applyNumberFormat="1" applyFont="1" applyFill="1" applyBorder="1" applyAlignment="1">
      <alignment horizontal="center" vertical="center" wrapText="1"/>
    </xf>
    <xf numFmtId="0" fontId="8" fillId="20" borderId="6" xfId="0" applyFont="1" applyFill="1" applyBorder="1" applyAlignment="1">
      <alignment horizontal="left" vertical="center" wrapText="1"/>
    </xf>
    <xf numFmtId="0" fontId="8" fillId="20" borderId="9" xfId="0" applyFont="1" applyFill="1" applyBorder="1" applyAlignment="1">
      <alignment horizontal="left" vertical="center" wrapText="1"/>
    </xf>
    <xf numFmtId="0" fontId="8" fillId="20" borderId="17" xfId="0" applyFont="1" applyFill="1" applyBorder="1" applyAlignment="1">
      <alignment horizontal="left" vertical="center" wrapText="1"/>
    </xf>
    <xf numFmtId="176" fontId="14" fillId="20" borderId="8" xfId="0" applyNumberFormat="1" applyFont="1" applyFill="1" applyBorder="1" applyAlignment="1">
      <alignment horizontal="left" vertical="center" wrapText="1"/>
    </xf>
    <xf numFmtId="176" fontId="14" fillId="20" borderId="11" xfId="0" applyNumberFormat="1" applyFont="1" applyFill="1" applyBorder="1" applyAlignment="1">
      <alignment horizontal="left" vertical="center" wrapText="1"/>
    </xf>
    <xf numFmtId="176" fontId="14" fillId="20" borderId="16" xfId="0" applyNumberFormat="1" applyFont="1" applyFill="1" applyBorder="1" applyAlignment="1">
      <alignment horizontal="left" vertical="center" wrapText="1"/>
    </xf>
    <xf numFmtId="176" fontId="14" fillId="0" borderId="22" xfId="0" applyNumberFormat="1" applyFont="1" applyBorder="1" applyAlignment="1">
      <alignment horizontal="center"/>
    </xf>
    <xf numFmtId="176" fontId="14" fillId="0" borderId="0" xfId="0" applyNumberFormat="1" applyFont="1" applyAlignment="1">
      <alignment horizontal="center"/>
    </xf>
    <xf numFmtId="176" fontId="14" fillId="0" borderId="21" xfId="0" applyNumberFormat="1" applyFont="1" applyBorder="1" applyAlignment="1">
      <alignment horizontal="center"/>
    </xf>
    <xf numFmtId="9" fontId="4" fillId="0" borderId="22" xfId="0" applyNumberFormat="1" applyFont="1" applyBorder="1" applyAlignment="1">
      <alignment horizontal="left" vertical="top" wrapText="1"/>
    </xf>
    <xf numFmtId="9" fontId="4" fillId="0" borderId="0" xfId="0" applyNumberFormat="1" applyFont="1" applyAlignment="1">
      <alignment horizontal="left" vertical="top" wrapText="1"/>
    </xf>
    <xf numFmtId="9" fontId="4" fillId="0" borderId="21" xfId="0" applyNumberFormat="1" applyFont="1" applyBorder="1" applyAlignment="1">
      <alignment horizontal="left" vertical="top" wrapText="1"/>
    </xf>
    <xf numFmtId="0" fontId="29" fillId="15" borderId="12" xfId="0" applyFont="1" applyFill="1" applyBorder="1" applyAlignment="1">
      <alignment horizontal="center" vertical="center"/>
    </xf>
    <xf numFmtId="0" fontId="18" fillId="0" borderId="0" xfId="0" applyFont="1" applyAlignment="1">
      <alignment horizontal="left" vertical="center"/>
    </xf>
    <xf numFmtId="190" fontId="34" fillId="16" borderId="12" xfId="0" applyNumberFormat="1" applyFont="1" applyFill="1" applyBorder="1" applyAlignment="1">
      <alignment horizontal="center" vertical="center"/>
    </xf>
    <xf numFmtId="190" fontId="29" fillId="15" borderId="22" xfId="0" applyNumberFormat="1" applyFont="1" applyFill="1" applyBorder="1" applyAlignment="1">
      <alignment horizontal="center" vertical="center"/>
    </xf>
    <xf numFmtId="190" fontId="29" fillId="15" borderId="0" xfId="0" applyNumberFormat="1" applyFont="1" applyFill="1" applyAlignment="1">
      <alignment horizontal="center" vertical="center"/>
    </xf>
    <xf numFmtId="190" fontId="29" fillId="15" borderId="21" xfId="0" applyNumberFormat="1" applyFont="1" applyFill="1" applyBorder="1" applyAlignment="1">
      <alignment horizontal="center" vertical="center"/>
    </xf>
    <xf numFmtId="176" fontId="14" fillId="20" borderId="8" xfId="0" applyNumberFormat="1" applyFont="1" applyFill="1" applyBorder="1" applyAlignment="1">
      <alignment horizontal="center" vertical="center" wrapText="1"/>
    </xf>
    <xf numFmtId="176" fontId="14" fillId="20" borderId="11" xfId="0" applyNumberFormat="1" applyFont="1" applyFill="1" applyBorder="1" applyAlignment="1">
      <alignment horizontal="center" vertical="center" wrapText="1"/>
    </xf>
    <xf numFmtId="176" fontId="14" fillId="20" borderId="16" xfId="0" applyNumberFormat="1" applyFont="1" applyFill="1" applyBorder="1" applyAlignment="1">
      <alignment horizontal="center" vertical="center" wrapText="1"/>
    </xf>
    <xf numFmtId="9" fontId="4" fillId="0" borderId="22" xfId="0" applyNumberFormat="1" applyFont="1" applyBorder="1" applyAlignment="1">
      <alignment horizontal="left" vertical="center" wrapText="1"/>
    </xf>
    <xf numFmtId="9" fontId="4" fillId="0" borderId="0" xfId="0" applyNumberFormat="1" applyFont="1" applyAlignment="1">
      <alignment horizontal="left" vertical="center" wrapText="1"/>
    </xf>
    <xf numFmtId="9" fontId="4" fillId="0" borderId="21" xfId="0" applyNumberFormat="1" applyFont="1" applyBorder="1" applyAlignment="1">
      <alignment horizontal="left" vertical="center" wrapText="1"/>
    </xf>
    <xf numFmtId="9" fontId="31" fillId="0" borderId="22" xfId="0" applyNumberFormat="1" applyFont="1" applyBorder="1" applyAlignment="1">
      <alignment horizontal="left" vertical="top" wrapText="1"/>
    </xf>
    <xf numFmtId="9" fontId="31" fillId="0" borderId="0" xfId="0" applyNumberFormat="1" applyFont="1" applyAlignment="1">
      <alignment horizontal="left" vertical="top" wrapText="1"/>
    </xf>
    <xf numFmtId="9" fontId="31" fillId="0" borderId="21" xfId="0" applyNumberFormat="1" applyFont="1" applyBorder="1" applyAlignment="1">
      <alignment horizontal="left" vertical="top" wrapText="1"/>
    </xf>
    <xf numFmtId="190" fontId="7" fillId="20" borderId="22" xfId="0" applyNumberFormat="1" applyFont="1" applyFill="1" applyBorder="1" applyAlignment="1">
      <alignment horizontal="center" vertical="center" wrapText="1"/>
    </xf>
    <xf numFmtId="190" fontId="7" fillId="20" borderId="0" xfId="0" applyNumberFormat="1" applyFont="1" applyFill="1" applyAlignment="1">
      <alignment horizontal="center" vertical="center" wrapText="1"/>
    </xf>
    <xf numFmtId="190" fontId="7" fillId="20" borderId="21" xfId="0" applyNumberFormat="1" applyFont="1" applyFill="1" applyBorder="1" applyAlignment="1">
      <alignment horizontal="center" vertical="center" wrapText="1"/>
    </xf>
    <xf numFmtId="0" fontId="4" fillId="0" borderId="22" xfId="0" applyFont="1" applyBorder="1" applyAlignment="1">
      <alignment horizontal="center" vertical="center"/>
    </xf>
    <xf numFmtId="0" fontId="4" fillId="0" borderId="0" xfId="0" applyFont="1" applyAlignment="1">
      <alignment horizontal="center" vertical="center"/>
    </xf>
    <xf numFmtId="0" fontId="4" fillId="0" borderId="21" xfId="0" applyFont="1" applyBorder="1" applyAlignment="1">
      <alignment horizontal="center" vertical="center"/>
    </xf>
    <xf numFmtId="177" fontId="4" fillId="0" borderId="22" xfId="0" applyNumberFormat="1" applyFont="1" applyBorder="1" applyAlignment="1">
      <alignment horizontal="center" vertical="center"/>
    </xf>
    <xf numFmtId="177" fontId="4" fillId="0" borderId="0" xfId="0" applyNumberFormat="1" applyFont="1" applyAlignment="1">
      <alignment horizontal="center" vertical="center"/>
    </xf>
    <xf numFmtId="177" fontId="4" fillId="0" borderId="21" xfId="0" applyNumberFormat="1" applyFont="1" applyBorder="1" applyAlignment="1">
      <alignment horizontal="center" vertical="center"/>
    </xf>
    <xf numFmtId="0" fontId="15" fillId="13" borderId="1" xfId="0" applyFont="1" applyFill="1" applyBorder="1" applyAlignment="1">
      <alignment horizontal="center" vertical="center"/>
    </xf>
    <xf numFmtId="0" fontId="15" fillId="13" borderId="12" xfId="0" applyFont="1" applyFill="1" applyBorder="1" applyAlignment="1">
      <alignment horizontal="center" vertical="center"/>
    </xf>
    <xf numFmtId="0" fontId="15" fillId="13" borderId="32" xfId="0" applyFont="1" applyFill="1" applyBorder="1" applyAlignment="1">
      <alignment horizontal="center" vertical="center"/>
    </xf>
    <xf numFmtId="176" fontId="32" fillId="14" borderId="33" xfId="0" applyNumberFormat="1" applyFont="1" applyFill="1" applyBorder="1" applyAlignment="1">
      <alignment horizontal="center" vertical="center"/>
    </xf>
    <xf numFmtId="176" fontId="22" fillId="18" borderId="0" xfId="0" applyNumberFormat="1" applyFont="1" applyFill="1" applyAlignment="1">
      <alignment horizontal="center" vertical="center"/>
    </xf>
    <xf numFmtId="176" fontId="22" fillId="18" borderId="22" xfId="0" applyNumberFormat="1" applyFont="1" applyFill="1" applyBorder="1" applyAlignment="1">
      <alignment horizontal="center" vertical="center"/>
    </xf>
    <xf numFmtId="192" fontId="22" fillId="20" borderId="0" xfId="0" applyNumberFormat="1" applyFont="1" applyFill="1" applyAlignment="1">
      <alignment horizontal="center" vertical="center"/>
    </xf>
    <xf numFmtId="192" fontId="22" fillId="20" borderId="21" xfId="0" applyNumberFormat="1" applyFont="1" applyFill="1" applyBorder="1" applyAlignment="1">
      <alignment horizontal="center" vertical="center"/>
    </xf>
    <xf numFmtId="0" fontId="17" fillId="0" borderId="21" xfId="0" applyFont="1" applyBorder="1" applyAlignment="1">
      <alignment horizontal="left" vertical="center"/>
    </xf>
    <xf numFmtId="0" fontId="4" fillId="6" borderId="8"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9"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6" borderId="17" xfId="0" applyFont="1" applyFill="1" applyBorder="1" applyAlignment="1">
      <alignment horizontal="center" vertical="center" wrapText="1"/>
    </xf>
    <xf numFmtId="176" fontId="14" fillId="6" borderId="7" xfId="0" applyNumberFormat="1" applyFont="1" applyFill="1" applyBorder="1" applyAlignment="1">
      <alignment horizontal="center"/>
    </xf>
    <xf numFmtId="176" fontId="14" fillId="6" borderId="10" xfId="0" applyNumberFormat="1" applyFont="1" applyFill="1" applyBorder="1" applyAlignment="1">
      <alignment horizontal="center"/>
    </xf>
    <xf numFmtId="190" fontId="4" fillId="3" borderId="24" xfId="0" applyNumberFormat="1" applyFont="1" applyFill="1" applyBorder="1" applyAlignment="1">
      <alignment horizontal="center"/>
    </xf>
    <xf numFmtId="190" fontId="4" fillId="8" borderId="25" xfId="0" applyNumberFormat="1" applyFont="1" applyFill="1" applyBorder="1" applyAlignment="1">
      <alignment horizontal="center"/>
    </xf>
    <xf numFmtId="190" fontId="4" fillId="7" borderId="26" xfId="0" applyNumberFormat="1" applyFont="1" applyFill="1" applyBorder="1" applyAlignment="1">
      <alignment horizontal="center"/>
    </xf>
    <xf numFmtId="176" fontId="14" fillId="0" borderId="8" xfId="0" applyNumberFormat="1" applyFont="1" applyBorder="1" applyAlignment="1">
      <alignment horizontal="center"/>
    </xf>
    <xf numFmtId="176" fontId="14" fillId="0" borderId="11" xfId="0" applyNumberFormat="1" applyFont="1" applyBorder="1" applyAlignment="1">
      <alignment horizontal="center"/>
    </xf>
    <xf numFmtId="176" fontId="14" fillId="0" borderId="16" xfId="0" applyNumberFormat="1" applyFont="1" applyBorder="1" applyAlignment="1">
      <alignment horizontal="center"/>
    </xf>
    <xf numFmtId="9" fontId="4" fillId="0" borderId="6" xfId="0" applyNumberFormat="1" applyFont="1" applyBorder="1" applyAlignment="1">
      <alignment horizontal="left" vertical="center"/>
    </xf>
    <xf numFmtId="9" fontId="4" fillId="0" borderId="9" xfId="0" applyNumberFormat="1" applyFont="1" applyBorder="1" applyAlignment="1">
      <alignment horizontal="left" vertical="center"/>
    </xf>
    <xf numFmtId="9" fontId="4" fillId="0" borderId="17" xfId="0" applyNumberFormat="1" applyFont="1" applyBorder="1" applyAlignment="1">
      <alignment horizontal="left" vertical="center"/>
    </xf>
    <xf numFmtId="176" fontId="7" fillId="6" borderId="10" xfId="0" applyNumberFormat="1" applyFont="1" applyFill="1" applyBorder="1" applyAlignment="1">
      <alignment horizontal="center" vertical="top"/>
    </xf>
    <xf numFmtId="176" fontId="7" fillId="6" borderId="20" xfId="0" applyNumberFormat="1" applyFont="1" applyFill="1" applyBorder="1" applyAlignment="1">
      <alignment horizontal="center" vertical="top"/>
    </xf>
    <xf numFmtId="176" fontId="7" fillId="0" borderId="0" xfId="0" applyNumberFormat="1" applyFont="1" applyAlignment="1">
      <alignment horizontal="center" vertical="top"/>
    </xf>
    <xf numFmtId="190" fontId="7" fillId="3" borderId="24" xfId="0" applyNumberFormat="1" applyFont="1" applyFill="1" applyBorder="1" applyAlignment="1">
      <alignment horizontal="center" vertical="top"/>
    </xf>
    <xf numFmtId="190" fontId="7" fillId="8" borderId="25" xfId="0" applyNumberFormat="1" applyFont="1" applyFill="1" applyBorder="1" applyAlignment="1">
      <alignment horizontal="center" vertical="top"/>
    </xf>
    <xf numFmtId="190" fontId="7" fillId="7" borderId="26" xfId="0" applyNumberFormat="1" applyFont="1" applyFill="1" applyBorder="1" applyAlignment="1">
      <alignment horizontal="center" vertical="top"/>
    </xf>
    <xf numFmtId="0" fontId="9" fillId="0" borderId="5" xfId="0" applyFont="1" applyBorder="1" applyAlignment="1">
      <alignment horizontal="center"/>
    </xf>
  </cellXfs>
  <cellStyles count="10">
    <cellStyle name="백분율" xfId="9" builtinId="5"/>
    <cellStyle name="표준" xfId="0" builtinId="0"/>
    <cellStyle name="표준 2" xfId="1" xr:uid="{46AD9446-221C-4B7B-9E40-AB05FF28AE8C}"/>
    <cellStyle name="표준 2 2" xfId="3" xr:uid="{428C2668-49B6-4F74-88B8-708078DEDC6D}"/>
    <cellStyle name="표준 2 4" xfId="5" xr:uid="{1A244D0C-9B9F-4F3D-869F-B453E702F98A}"/>
    <cellStyle name="표준 3" xfId="2" xr:uid="{CF1DB259-4EB8-4D74-8C9C-BCFDA334EB80}"/>
    <cellStyle name="표준 3 2" xfId="6" xr:uid="{E9531130-F037-4681-AFE9-A45065B8AC17}"/>
    <cellStyle name="표준 4" xfId="4" xr:uid="{827DCE6F-61CC-4784-81DC-B1155AD3C08C}"/>
    <cellStyle name="표준 5" xfId="8" xr:uid="{1A110FD3-BB52-45E5-99EC-7922600C24CE}"/>
    <cellStyle name="표준 6" xfId="7" xr:uid="{C5E5DA50-47BB-41E5-93AE-9665D06C4C1E}"/>
  </cellStyles>
  <dxfs count="188">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ill>
        <patternFill>
          <bgColor rgb="FF40543D"/>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i val="0"/>
        <color theme="1"/>
      </font>
      <fill>
        <patternFill>
          <bgColor rgb="FFDBD3CC"/>
        </patternFill>
      </fill>
    </dxf>
    <dxf>
      <font>
        <b val="0"/>
        <i val="0"/>
        <color theme="0" tint="-0.499984740745262"/>
      </font>
      <fill>
        <patternFill>
          <bgColor theme="0" tint="-4.9989318521683403E-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0" defaultTableStyle="TableStyleMedium2" defaultPivotStyle="PivotStyleLight16"/>
  <colors>
    <mruColors>
      <color rgb="FFCEC3B9"/>
      <color rgb="FF707F6E"/>
      <color rgb="FF96A194"/>
      <color rgb="FFD0D5CF"/>
      <color rgb="FFBDAFA2"/>
      <color rgb="FF0000FF"/>
      <color rgb="FFEFEBE8"/>
      <color rgb="FFFF9966"/>
      <color rgb="FF9933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solidFill>
            <a:ln>
              <a:noFill/>
            </a:ln>
            <a:effectLst/>
          </c:spPr>
          <c:invertIfNegative val="0"/>
          <c:val>
            <c:numRef>
              <c:f>'#1 - 메인 UI'!#REF!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'#1 - 메인 UI'!#REF!</c15:sqref>
                        </c15:formulaRef>
                      </c:ext>
                    </c:extLst>
                    <c:strCache>
                      <c:ptCount val="1"/>
                      <c:pt idx="0">
                        <c:v>#REF!</c:v>
                      </c:pt>
                    </c:strCache>
                  </c:strRef>
                </c15:tx>
              </c15:filteredSeriesTitle>
            </c:ext>
            <c:ext xmlns:c16="http://schemas.microsoft.com/office/drawing/2014/chart" uri="{C3380CC4-5D6E-409C-BE32-E72D297353CC}">
              <c16:uniqueId val="{00000000-E217-45B7-BAD9-D106E085F455}"/>
            </c:ext>
          </c:extLst>
        </c:ser>
        <c:dLbls>
          <c:showLegendKey val="0"/>
          <c:showVal val="0"/>
          <c:showCatName val="0"/>
          <c:showSerName val="0"/>
          <c:showPercent val="0"/>
          <c:showBubbleSize val="0"/>
        </c:dLbls>
        <c:gapWidth val="219"/>
        <c:overlap val="-27"/>
        <c:axId val="11068224"/>
        <c:axId val="11077376"/>
      </c:barChart>
      <c:catAx>
        <c:axId val="1106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077376"/>
        <c:crosses val="autoZero"/>
        <c:auto val="1"/>
        <c:lblAlgn val="ctr"/>
        <c:lblOffset val="100"/>
        <c:noMultiLvlLbl val="0"/>
      </c:catAx>
      <c:valAx>
        <c:axId val="110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06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D24C06E-E468-4BB4-AA6A-CE9CADD24800}">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0" y="0"/>
    <xdr:ext cx="9300882" cy="6075189"/>
    <xdr:graphicFrame macro="">
      <xdr:nvGraphicFramePr>
        <xdr:cNvPr id="2" name="차트 1">
          <a:extLst>
            <a:ext uri="{FF2B5EF4-FFF2-40B4-BE49-F238E27FC236}">
              <a16:creationId xmlns:a16="http://schemas.microsoft.com/office/drawing/2014/main" id="{3161D3A8-6D6C-81F7-8C56-18EAD6D3942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195942</xdr:rowOff>
    </xdr:from>
    <xdr:to>
      <xdr:col>3</xdr:col>
      <xdr:colOff>396908</xdr:colOff>
      <xdr:row>3</xdr:row>
      <xdr:rowOff>1919</xdr:rowOff>
    </xdr:to>
    <xdr:pic>
      <xdr:nvPicPr>
        <xdr:cNvPr id="3" name="그림 2">
          <a:extLst>
            <a:ext uri="{FF2B5EF4-FFF2-40B4-BE49-F238E27FC236}">
              <a16:creationId xmlns:a16="http://schemas.microsoft.com/office/drawing/2014/main" id="{FD38E015-399B-D68B-B2C8-6C6D203198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9485" y="195942"/>
          <a:ext cx="2025003" cy="6313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337718</xdr:colOff>
      <xdr:row>3</xdr:row>
      <xdr:rowOff>4354</xdr:rowOff>
    </xdr:to>
    <xdr:pic>
      <xdr:nvPicPr>
        <xdr:cNvPr id="2" name="그림 1">
          <a:extLst>
            <a:ext uri="{FF2B5EF4-FFF2-40B4-BE49-F238E27FC236}">
              <a16:creationId xmlns:a16="http://schemas.microsoft.com/office/drawing/2014/main" id="{3DC36B46-FD1A-4CDD-8AB4-4A14ED29D5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9486" y="195943"/>
          <a:ext cx="2025003" cy="635725"/>
        </a:xfrm>
        <a:prstGeom prst="rect">
          <a:avLst/>
        </a:prstGeom>
      </xdr:spPr>
    </xdr:pic>
    <xdr:clientData/>
  </xdr:twoCellAnchor>
  <xdr:twoCellAnchor>
    <xdr:from>
      <xdr:col>23</xdr:col>
      <xdr:colOff>76201</xdr:colOff>
      <xdr:row>1</xdr:row>
      <xdr:rowOff>0</xdr:rowOff>
    </xdr:from>
    <xdr:to>
      <xdr:col>30</xdr:col>
      <xdr:colOff>314021</xdr:colOff>
      <xdr:row>2</xdr:row>
      <xdr:rowOff>293913</xdr:rowOff>
    </xdr:to>
    <xdr:sp macro="" textlink="">
      <xdr:nvSpPr>
        <xdr:cNvPr id="3" name="TextBox 2">
          <a:extLst>
            <a:ext uri="{FF2B5EF4-FFF2-40B4-BE49-F238E27FC236}">
              <a16:creationId xmlns:a16="http://schemas.microsoft.com/office/drawing/2014/main" id="{DBD2E27B-AEFF-4EFC-9E37-32E783EFDCAC}"/>
            </a:ext>
          </a:extLst>
        </xdr:cNvPr>
        <xdr:cNvSpPr txBox="1"/>
      </xdr:nvSpPr>
      <xdr:spPr>
        <a:xfrm>
          <a:off x="13356772" y="195943"/>
          <a:ext cx="4831592"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r">
            <a:lnSpc>
              <a:spcPct val="100000"/>
            </a:lnSpc>
          </a:pPr>
          <a:r>
            <a:rPr lang="en-US" altLang="ko-KR" sz="1000" b="1"/>
            <a:t>   Phase 1 : </a:t>
          </a:r>
          <a:r>
            <a:rPr lang="ko-KR" altLang="en-US" sz="1000"/>
            <a:t>제안</a:t>
          </a:r>
          <a:r>
            <a:rPr lang="en-US" altLang="ko-KR" sz="1000" baseline="0"/>
            <a:t> </a:t>
          </a:r>
          <a:r>
            <a:rPr lang="ko-KR" altLang="en-US" sz="1000" baseline="0"/>
            <a:t>단계</a:t>
          </a:r>
          <a:r>
            <a:rPr lang="en-US" altLang="ko-KR" sz="1000"/>
            <a:t>(25%)</a:t>
          </a:r>
          <a:r>
            <a:rPr lang="en-US" altLang="ko-KR" sz="1000" baseline="0"/>
            <a:t>  →  </a:t>
          </a:r>
          <a:r>
            <a:rPr lang="en-US" altLang="ko-KR" sz="1000" b="1"/>
            <a:t>Phase 2 : </a:t>
          </a:r>
          <a:r>
            <a:rPr lang="ko-KR" altLang="en-US" sz="1000"/>
            <a:t>클라이언트가 인지한 상태</a:t>
          </a:r>
          <a:r>
            <a:rPr lang="en-US" altLang="ko-KR" sz="1000"/>
            <a:t>(50%)</a:t>
          </a:r>
          <a:r>
            <a:rPr lang="en-US" altLang="ko-KR" sz="1000" baseline="0"/>
            <a:t>  </a:t>
          </a:r>
        </a:p>
        <a:p>
          <a:pPr algn="r">
            <a:lnSpc>
              <a:spcPct val="100000"/>
            </a:lnSpc>
          </a:pPr>
          <a:r>
            <a:rPr lang="en-US" altLang="ko-KR" sz="1000" baseline="0"/>
            <a:t>→  </a:t>
          </a:r>
          <a:r>
            <a:rPr lang="en-US" altLang="ko-KR" sz="1000" b="1"/>
            <a:t>Phase 3 : </a:t>
          </a:r>
          <a:r>
            <a:rPr lang="ko-KR" altLang="en-US" sz="1000"/>
            <a:t>적용 확정</a:t>
          </a:r>
          <a:r>
            <a:rPr lang="en-US" altLang="ko-KR" sz="1000" baseline="0"/>
            <a:t> </a:t>
          </a:r>
          <a:r>
            <a:rPr lang="ko-KR" altLang="en-US" sz="1000" baseline="0"/>
            <a:t>및</a:t>
          </a:r>
          <a:r>
            <a:rPr lang="en-US" altLang="ko-KR" sz="1000"/>
            <a:t> </a:t>
          </a:r>
          <a:r>
            <a:rPr lang="ko-KR" altLang="en-US" sz="1000"/>
            <a:t>도면 작성 중</a:t>
          </a:r>
          <a:r>
            <a:rPr lang="en-US" altLang="ko-KR" sz="1000"/>
            <a:t>(75%)</a:t>
          </a:r>
          <a:r>
            <a:rPr lang="en-US" altLang="ko-KR" sz="1000" baseline="0"/>
            <a:t>  →  </a:t>
          </a:r>
          <a:r>
            <a:rPr lang="en-US" altLang="ko-KR" sz="1000" b="1"/>
            <a:t>Phase 4 : </a:t>
          </a:r>
          <a:r>
            <a:rPr lang="ko-KR" altLang="en-US" sz="1000"/>
            <a:t>도면</a:t>
          </a:r>
          <a:r>
            <a:rPr lang="en-US" altLang="ko-KR" sz="1000"/>
            <a:t>(</a:t>
          </a:r>
          <a:r>
            <a:rPr lang="ko-KR" altLang="en-US" sz="1000"/>
            <a:t>서류</a:t>
          </a:r>
          <a:r>
            <a:rPr lang="en-US" altLang="ko-KR" sz="1000"/>
            <a:t>)</a:t>
          </a:r>
          <a:r>
            <a:rPr lang="ko-KR" altLang="en-US" sz="1000"/>
            <a:t>상으로 확인됨</a:t>
          </a:r>
          <a:r>
            <a:rPr lang="en-US" altLang="ko-KR" sz="1000"/>
            <a:t>(100%)</a:t>
          </a:r>
          <a:endParaRPr lang="ko-KR" altLang="en-US" sz="10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434340</xdr:colOff>
      <xdr:row>0</xdr:row>
      <xdr:rowOff>0</xdr:rowOff>
    </xdr:from>
    <xdr:to>
      <xdr:col>14</xdr:col>
      <xdr:colOff>540040</xdr:colOff>
      <xdr:row>45</xdr:row>
      <xdr:rowOff>102167</xdr:rowOff>
    </xdr:to>
    <xdr:pic>
      <xdr:nvPicPr>
        <xdr:cNvPr id="2" name="그림 1">
          <a:extLst>
            <a:ext uri="{FF2B5EF4-FFF2-40B4-BE49-F238E27FC236}">
              <a16:creationId xmlns:a16="http://schemas.microsoft.com/office/drawing/2014/main" id="{1BA1C246-AD19-4123-B624-8642728AD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87140" y="0"/>
          <a:ext cx="6140740" cy="1004626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66506-9BE4-4D76-9D16-EF807C3A2FBD}">
  <sheetPr>
    <tabColor theme="9"/>
    <pageSetUpPr fitToPage="1"/>
  </sheetPr>
  <dimension ref="B1:AE63"/>
  <sheetViews>
    <sheetView showGridLines="0" topLeftCell="D15" zoomScale="70" zoomScaleNormal="70" zoomScaleSheetLayoutView="70" zoomScalePageLayoutView="55" workbookViewId="0">
      <selection activeCell="G42" sqref="F42:H43"/>
    </sheetView>
  </sheetViews>
  <sheetFormatPr defaultColWidth="8.75" defaultRowHeight="16.5"/>
  <cols>
    <col min="1" max="1" width="3.25" style="2" customWidth="1"/>
    <col min="2" max="2" width="5.625" style="223" customWidth="1"/>
    <col min="3" max="3" width="15.75" style="223" customWidth="1"/>
    <col min="4" max="4" width="15.75" style="18" customWidth="1"/>
    <col min="5" max="5" width="2.75" style="18" customWidth="1"/>
    <col min="6" max="8" width="15.75" style="18" customWidth="1"/>
    <col min="9" max="9" width="1.75" style="227" customWidth="1"/>
    <col min="10" max="10" width="20.75" style="18" customWidth="1"/>
    <col min="11" max="11" width="10.75" style="18" customWidth="1"/>
    <col min="12" max="12" width="15.75" style="18" customWidth="1"/>
    <col min="13" max="13" width="1.75" style="18" customWidth="1"/>
    <col min="14" max="14" width="14.75" style="18" customWidth="1"/>
    <col min="15" max="15" width="16.75" style="18" customWidth="1"/>
    <col min="16" max="16" width="15.75" style="18" customWidth="1"/>
    <col min="17" max="17" width="1.75" style="18" customWidth="1"/>
    <col min="18" max="20" width="15.75" style="2" customWidth="1"/>
    <col min="21" max="21" width="2.75" style="14" customWidth="1"/>
    <col min="22" max="22" width="45.125" style="14" customWidth="1"/>
    <col min="23" max="23" width="4.375" style="5" bestFit="1" customWidth="1"/>
    <col min="24" max="24" width="2.625" style="18" customWidth="1"/>
    <col min="25" max="25" width="45.75" style="189" customWidth="1"/>
    <col min="26" max="26" width="33.875" style="14" customWidth="1"/>
    <col min="27" max="27" width="30.125" style="2" customWidth="1"/>
    <col min="28" max="30" width="8.75" style="2"/>
    <col min="31" max="31" width="33.875" style="14" customWidth="1"/>
    <col min="32" max="16384" width="8.75" style="2"/>
  </cols>
  <sheetData>
    <row r="1" spans="2:31" ht="15.6" customHeight="1">
      <c r="B1" s="425"/>
      <c r="C1" s="425"/>
      <c r="D1" s="425"/>
      <c r="E1" s="137"/>
      <c r="F1" s="137"/>
      <c r="G1" s="137"/>
      <c r="H1" s="137"/>
      <c r="I1" s="225"/>
      <c r="J1" s="137"/>
      <c r="K1" s="137"/>
      <c r="L1" s="137"/>
      <c r="M1" s="137"/>
      <c r="N1" s="137"/>
      <c r="O1" s="137"/>
      <c r="P1" s="137"/>
      <c r="Q1" s="138"/>
      <c r="R1" s="18"/>
      <c r="S1" s="18"/>
      <c r="T1" s="18"/>
      <c r="U1" s="18"/>
      <c r="V1" s="18"/>
      <c r="W1" s="18"/>
      <c r="Y1" s="187"/>
      <c r="AA1" s="424"/>
      <c r="AE1" s="170"/>
    </row>
    <row r="2" spans="2:31" ht="25.15" customHeight="1">
      <c r="B2" s="137"/>
      <c r="C2" s="137"/>
      <c r="D2" s="137"/>
      <c r="E2" s="137"/>
      <c r="F2" s="137"/>
      <c r="G2" s="137"/>
      <c r="H2" s="137"/>
      <c r="I2" s="225"/>
      <c r="J2" s="137"/>
      <c r="K2" s="137"/>
      <c r="L2" s="137"/>
      <c r="M2" s="137"/>
      <c r="N2" s="137"/>
      <c r="O2" s="137"/>
      <c r="P2" s="137"/>
      <c r="Q2" s="138"/>
      <c r="R2" s="18"/>
      <c r="S2" s="18"/>
      <c r="T2" s="18"/>
      <c r="U2" s="18"/>
      <c r="V2" s="18"/>
      <c r="W2" s="18"/>
      <c r="Y2" s="187"/>
      <c r="AA2" s="424"/>
      <c r="AE2" s="170"/>
    </row>
    <row r="3" spans="2:31" ht="25.15" customHeight="1">
      <c r="B3" s="137"/>
      <c r="C3" s="137"/>
      <c r="D3" s="137"/>
      <c r="E3" s="137"/>
      <c r="F3" s="137"/>
      <c r="G3" s="137"/>
      <c r="H3" s="137"/>
      <c r="I3" s="225"/>
      <c r="J3" s="137"/>
      <c r="K3" s="137"/>
      <c r="L3" s="137"/>
      <c r="M3" s="137"/>
      <c r="N3" s="137"/>
      <c r="O3" s="137"/>
      <c r="P3" s="137"/>
      <c r="Q3" s="138"/>
      <c r="R3" s="18"/>
      <c r="S3" s="18"/>
      <c r="T3" s="18"/>
      <c r="U3" s="18"/>
      <c r="V3" s="18"/>
      <c r="W3" s="18"/>
      <c r="Y3" s="187"/>
      <c r="AA3" s="424"/>
      <c r="AE3" s="170"/>
    </row>
    <row r="4" spans="2:31" ht="4.9000000000000004" customHeight="1" thickBot="1">
      <c r="B4" s="137"/>
      <c r="C4" s="137"/>
      <c r="D4" s="137"/>
      <c r="E4" s="137"/>
      <c r="F4" s="137"/>
      <c r="G4" s="137"/>
      <c r="H4" s="137"/>
      <c r="I4" s="225"/>
      <c r="J4" s="137"/>
      <c r="K4" s="137"/>
      <c r="L4" s="137"/>
      <c r="M4" s="137"/>
      <c r="N4" s="137"/>
      <c r="O4" s="137"/>
      <c r="P4" s="137"/>
      <c r="Q4" s="138"/>
      <c r="R4" s="18"/>
      <c r="S4" s="18"/>
      <c r="T4" s="18"/>
      <c r="U4" s="18"/>
      <c r="V4" s="18"/>
      <c r="W4" s="18"/>
      <c r="Y4" s="187"/>
      <c r="AA4" s="424"/>
      <c r="AE4" s="170"/>
    </row>
    <row r="5" spans="2:31" ht="25.15" customHeight="1" thickTop="1">
      <c r="B5" s="429" t="s">
        <v>530</v>
      </c>
      <c r="C5" s="429"/>
      <c r="D5" s="429"/>
      <c r="E5" s="429"/>
      <c r="F5" s="429"/>
      <c r="G5" s="429"/>
      <c r="H5" s="429"/>
      <c r="I5" s="429"/>
      <c r="J5" s="429"/>
      <c r="K5" s="429"/>
      <c r="L5" s="429"/>
      <c r="M5" s="429"/>
      <c r="N5" s="429"/>
      <c r="O5" s="429"/>
      <c r="P5" s="429"/>
      <c r="Q5" s="429"/>
      <c r="R5" s="429"/>
      <c r="S5" s="429"/>
      <c r="T5" s="429"/>
      <c r="U5" s="429"/>
      <c r="V5" s="234"/>
      <c r="W5" s="234"/>
      <c r="X5" s="234"/>
      <c r="Y5" s="234"/>
      <c r="AA5" s="424"/>
      <c r="AE5" s="170"/>
    </row>
    <row r="6" spans="2:31" ht="24.6" customHeight="1" thickBot="1">
      <c r="B6" s="430"/>
      <c r="C6" s="430"/>
      <c r="D6" s="430"/>
      <c r="E6" s="430"/>
      <c r="F6" s="430"/>
      <c r="G6" s="430"/>
      <c r="H6" s="430"/>
      <c r="I6" s="430"/>
      <c r="J6" s="430"/>
      <c r="K6" s="430"/>
      <c r="L6" s="430"/>
      <c r="M6" s="430"/>
      <c r="N6" s="430"/>
      <c r="O6" s="430"/>
      <c r="P6" s="430"/>
      <c r="Q6" s="430"/>
      <c r="R6" s="430"/>
      <c r="S6" s="430"/>
      <c r="T6" s="430"/>
      <c r="U6" s="430"/>
      <c r="V6" s="234"/>
      <c r="W6" s="234"/>
      <c r="X6" s="234"/>
      <c r="Y6" s="234"/>
      <c r="AA6" s="424"/>
      <c r="AE6" s="170"/>
    </row>
    <row r="7" spans="2:31" ht="18.600000000000001" customHeight="1" thickTop="1" thickBot="1">
      <c r="B7" s="320"/>
      <c r="C7" s="320"/>
      <c r="D7" s="320"/>
      <c r="E7" s="320"/>
      <c r="F7" s="320"/>
      <c r="G7" s="320"/>
      <c r="H7" s="320"/>
      <c r="I7" s="320"/>
      <c r="J7" s="320"/>
      <c r="K7" s="320"/>
      <c r="L7" s="320"/>
      <c r="M7" s="320"/>
      <c r="N7" s="320"/>
      <c r="O7" s="320"/>
      <c r="P7" s="320"/>
      <c r="Q7" s="320"/>
      <c r="R7" s="319"/>
      <c r="S7" s="319"/>
      <c r="T7" s="431" t="s">
        <v>742</v>
      </c>
      <c r="U7" s="431"/>
      <c r="V7" s="234"/>
      <c r="W7" s="234"/>
      <c r="X7" s="234"/>
      <c r="Y7" s="234"/>
      <c r="AA7" s="424"/>
      <c r="AE7" s="170"/>
    </row>
    <row r="8" spans="2:31" ht="14.45" customHeight="1" thickTop="1">
      <c r="B8" s="222"/>
      <c r="C8" s="222"/>
      <c r="D8" s="176"/>
      <c r="E8" s="176"/>
      <c r="F8" s="176"/>
      <c r="G8" s="176"/>
      <c r="H8" s="176"/>
      <c r="I8" s="224"/>
      <c r="J8" s="176"/>
      <c r="K8" s="176"/>
      <c r="L8" s="176"/>
      <c r="M8" s="176"/>
      <c r="N8" s="176"/>
      <c r="O8" s="176"/>
      <c r="P8" s="176"/>
      <c r="Q8" s="176"/>
      <c r="R8" s="176"/>
      <c r="S8" s="176"/>
      <c r="T8" s="176"/>
      <c r="U8" s="176"/>
      <c r="V8" s="176"/>
      <c r="W8" s="176"/>
      <c r="X8" s="176"/>
      <c r="Y8" s="188"/>
      <c r="AA8" s="424"/>
      <c r="AE8" s="170"/>
    </row>
    <row r="9" spans="2:31" ht="30" customHeight="1">
      <c r="B9" s="321" t="s">
        <v>0</v>
      </c>
      <c r="C9" s="437" t="s">
        <v>525</v>
      </c>
      <c r="D9" s="437"/>
      <c r="E9" s="437"/>
      <c r="F9" s="437"/>
      <c r="G9" s="322"/>
      <c r="H9" s="322"/>
      <c r="I9" s="323"/>
      <c r="J9" s="324"/>
      <c r="K9" s="324"/>
      <c r="L9" s="324"/>
      <c r="M9" s="324"/>
      <c r="N9" s="324"/>
      <c r="O9" s="231"/>
      <c r="P9" s="231"/>
      <c r="Q9" s="231"/>
      <c r="R9" s="231"/>
      <c r="S9" s="231"/>
      <c r="T9" s="231"/>
      <c r="U9" s="176"/>
      <c r="V9" s="176"/>
      <c r="W9" s="176"/>
      <c r="X9" s="176"/>
      <c r="Y9" s="188"/>
      <c r="AA9" s="424"/>
      <c r="AE9" s="170"/>
    </row>
    <row r="10" spans="2:31" ht="10.15" customHeight="1" thickBot="1">
      <c r="B10" s="345"/>
      <c r="C10" s="345"/>
      <c r="D10" s="345"/>
      <c r="E10" s="345"/>
      <c r="F10" s="345"/>
      <c r="G10" s="345"/>
      <c r="H10" s="345"/>
      <c r="I10" s="346"/>
      <c r="J10" s="345"/>
      <c r="K10" s="345"/>
      <c r="L10" s="345"/>
      <c r="M10" s="345"/>
      <c r="N10" s="345"/>
      <c r="O10" s="228"/>
      <c r="P10" s="228"/>
      <c r="Q10" s="228"/>
      <c r="R10" s="228"/>
      <c r="S10" s="228"/>
      <c r="T10" s="228"/>
      <c r="U10" s="228"/>
      <c r="V10" s="228"/>
      <c r="W10" s="228"/>
      <c r="X10" s="176"/>
      <c r="Y10" s="188"/>
      <c r="AA10" s="424"/>
      <c r="AE10" s="170"/>
    </row>
    <row r="11" spans="2:31" ht="25.15" customHeight="1" thickTop="1">
      <c r="B11" s="315" t="s">
        <v>518</v>
      </c>
      <c r="C11" s="401" t="s">
        <v>505</v>
      </c>
      <c r="D11" s="401"/>
      <c r="E11" s="317" t="s">
        <v>519</v>
      </c>
      <c r="F11" s="440" t="s">
        <v>732</v>
      </c>
      <c r="G11" s="440"/>
      <c r="H11" s="440"/>
      <c r="I11" s="440"/>
      <c r="J11" s="440"/>
      <c r="K11" s="440"/>
      <c r="L11" s="440"/>
      <c r="M11" s="440"/>
      <c r="N11" s="440"/>
      <c r="O11" s="445" t="s">
        <v>24</v>
      </c>
      <c r="P11" s="341"/>
      <c r="Q11" s="342"/>
      <c r="R11" s="342"/>
      <c r="S11" s="432" t="s">
        <v>647</v>
      </c>
      <c r="T11" s="432"/>
      <c r="U11" s="325"/>
      <c r="V11" s="176"/>
      <c r="W11" s="176"/>
      <c r="X11" s="176"/>
      <c r="Y11" s="188"/>
      <c r="AA11" s="424"/>
      <c r="AE11" s="170"/>
    </row>
    <row r="12" spans="2:31" ht="4.9000000000000004" customHeight="1" thickBot="1">
      <c r="B12" s="315"/>
      <c r="C12" s="316"/>
      <c r="D12" s="225"/>
      <c r="E12" s="225"/>
      <c r="F12" s="224"/>
      <c r="G12" s="224"/>
      <c r="H12" s="224"/>
      <c r="I12" s="224"/>
      <c r="J12" s="315"/>
      <c r="K12" s="316"/>
      <c r="L12" s="225"/>
      <c r="M12" s="347"/>
      <c r="N12" s="224"/>
      <c r="O12" s="446"/>
      <c r="P12" s="343"/>
      <c r="Q12" s="344"/>
      <c r="R12" s="344"/>
      <c r="S12" s="326"/>
      <c r="T12" s="326"/>
      <c r="U12" s="327"/>
      <c r="V12" s="176"/>
      <c r="W12" s="176"/>
      <c r="X12" s="176"/>
      <c r="Y12" s="188"/>
      <c r="AA12" s="424"/>
      <c r="AE12" s="170"/>
    </row>
    <row r="13" spans="2:31" ht="25.15" customHeight="1" thickBot="1">
      <c r="B13" s="315" t="s">
        <v>518</v>
      </c>
      <c r="C13" s="401" t="s">
        <v>563</v>
      </c>
      <c r="D13" s="401"/>
      <c r="E13" s="317" t="s">
        <v>519</v>
      </c>
      <c r="F13" s="434" t="s">
        <v>650</v>
      </c>
      <c r="G13" s="436"/>
      <c r="H13" s="315" t="s">
        <v>518</v>
      </c>
      <c r="I13" s="401" t="s">
        <v>667</v>
      </c>
      <c r="J13" s="401"/>
      <c r="K13" s="348" t="s">
        <v>519</v>
      </c>
      <c r="L13" s="434" t="s">
        <v>651</v>
      </c>
      <c r="M13" s="435"/>
      <c r="N13" s="436"/>
      <c r="O13" s="446"/>
      <c r="P13" s="343"/>
      <c r="Q13" s="344"/>
      <c r="R13" s="344"/>
      <c r="S13" s="394">
        <f>VLOOKUP(B33,판정결과LIST!$A:$E,5,FALSE)</f>
        <v>6</v>
      </c>
      <c r="T13" s="326"/>
      <c r="U13" s="327"/>
      <c r="V13" s="176"/>
      <c r="W13" s="176"/>
      <c r="X13" s="176"/>
      <c r="Y13" s="188"/>
      <c r="AA13" s="424"/>
      <c r="AE13" s="170"/>
    </row>
    <row r="14" spans="2:31" ht="4.9000000000000004" customHeight="1" thickBot="1">
      <c r="B14" s="315"/>
      <c r="C14" s="316"/>
      <c r="D14" s="225"/>
      <c r="E14" s="225"/>
      <c r="F14" s="224"/>
      <c r="G14" s="224"/>
      <c r="H14" s="315"/>
      <c r="I14" s="316"/>
      <c r="J14" s="225"/>
      <c r="K14" s="349"/>
      <c r="L14" s="224"/>
      <c r="M14" s="224"/>
      <c r="N14" s="224"/>
      <c r="O14" s="446"/>
      <c r="P14" s="343"/>
      <c r="Q14" s="344"/>
      <c r="R14" s="344"/>
      <c r="S14" s="328"/>
      <c r="T14" s="329"/>
      <c r="U14" s="330"/>
      <c r="V14" s="176"/>
      <c r="W14" s="176"/>
      <c r="X14" s="176"/>
      <c r="Y14" s="188"/>
      <c r="AA14" s="424"/>
      <c r="AE14" s="170"/>
    </row>
    <row r="15" spans="2:31" ht="25.15" customHeight="1" thickBot="1">
      <c r="B15" s="315" t="s">
        <v>518</v>
      </c>
      <c r="C15" s="401" t="s">
        <v>641</v>
      </c>
      <c r="D15" s="401"/>
      <c r="E15" s="317" t="s">
        <v>519</v>
      </c>
      <c r="F15" s="434" t="s">
        <v>733</v>
      </c>
      <c r="G15" s="436"/>
      <c r="H15" s="315" t="s">
        <v>518</v>
      </c>
      <c r="I15" s="401" t="s">
        <v>656</v>
      </c>
      <c r="J15" s="401"/>
      <c r="K15" s="348" t="s">
        <v>519</v>
      </c>
      <c r="L15" s="434" t="s">
        <v>652</v>
      </c>
      <c r="M15" s="435"/>
      <c r="N15" s="436"/>
      <c r="O15" s="446"/>
      <c r="P15" s="343"/>
      <c r="Q15" s="344"/>
      <c r="R15" s="344"/>
      <c r="S15" s="433" t="s">
        <v>373</v>
      </c>
      <c r="T15" s="433"/>
      <c r="U15" s="331"/>
      <c r="V15" s="176"/>
      <c r="W15" s="176"/>
      <c r="X15" s="176"/>
      <c r="Y15" s="188"/>
      <c r="AA15" s="424"/>
      <c r="AE15" s="170"/>
    </row>
    <row r="16" spans="2:31" ht="4.9000000000000004" customHeight="1" thickBot="1">
      <c r="B16" s="315"/>
      <c r="C16" s="316"/>
      <c r="D16" s="225"/>
      <c r="E16" s="225"/>
      <c r="F16" s="224"/>
      <c r="G16" s="224"/>
      <c r="H16" s="315"/>
      <c r="I16" s="316"/>
      <c r="J16" s="225"/>
      <c r="K16" s="349"/>
      <c r="L16" s="224"/>
      <c r="M16" s="224"/>
      <c r="N16" s="224"/>
      <c r="O16" s="446"/>
      <c r="P16" s="343"/>
      <c r="Q16" s="344"/>
      <c r="R16" s="344"/>
      <c r="S16" s="326"/>
      <c r="T16" s="326"/>
      <c r="U16" s="327"/>
      <c r="V16" s="176"/>
      <c r="W16" s="176"/>
      <c r="X16" s="176"/>
      <c r="Y16" s="188"/>
      <c r="AA16" s="424"/>
      <c r="AE16" s="170"/>
    </row>
    <row r="17" spans="2:31" ht="25.15" customHeight="1" thickBot="1">
      <c r="B17" s="315" t="s">
        <v>518</v>
      </c>
      <c r="C17" s="401" t="s">
        <v>512</v>
      </c>
      <c r="D17" s="401"/>
      <c r="E17" s="317" t="s">
        <v>519</v>
      </c>
      <c r="F17" s="434" t="s">
        <v>645</v>
      </c>
      <c r="G17" s="436"/>
      <c r="H17" s="315" t="s">
        <v>518</v>
      </c>
      <c r="I17" s="401" t="s">
        <v>643</v>
      </c>
      <c r="J17" s="401"/>
      <c r="K17" s="348" t="s">
        <v>519</v>
      </c>
      <c r="L17" s="434" t="s">
        <v>657</v>
      </c>
      <c r="M17" s="435"/>
      <c r="N17" s="436"/>
      <c r="O17" s="446"/>
      <c r="P17" s="443" t="s">
        <v>649</v>
      </c>
      <c r="Q17" s="444"/>
      <c r="R17" s="444"/>
      <c r="S17" s="394">
        <f>VLOOKUP(B40,판정결과LIST!$A:$E,5,FALSE)</f>
        <v>5</v>
      </c>
      <c r="T17" s="326"/>
      <c r="U17" s="327"/>
      <c r="V17" s="176"/>
      <c r="W17" s="176"/>
      <c r="X17" s="176"/>
      <c r="Y17" s="188"/>
      <c r="AA17" s="424"/>
      <c r="AE17" s="170"/>
    </row>
    <row r="18" spans="2:31" ht="4.9000000000000004" customHeight="1" thickBot="1">
      <c r="B18" s="315"/>
      <c r="C18" s="316"/>
      <c r="D18" s="225"/>
      <c r="E18" s="225"/>
      <c r="F18" s="224"/>
      <c r="G18" s="224"/>
      <c r="H18" s="315"/>
      <c r="I18" s="316"/>
      <c r="J18" s="225"/>
      <c r="K18" s="349"/>
      <c r="L18" s="224"/>
      <c r="M18" s="224"/>
      <c r="N18" s="224"/>
      <c r="O18" s="446"/>
      <c r="P18" s="343"/>
      <c r="Q18" s="344"/>
      <c r="R18" s="344"/>
      <c r="S18" s="328"/>
      <c r="T18" s="329"/>
      <c r="U18" s="330"/>
      <c r="V18" s="176"/>
      <c r="W18" s="176"/>
      <c r="X18" s="176"/>
      <c r="Y18" s="188"/>
      <c r="AA18" s="424"/>
      <c r="AE18" s="170"/>
    </row>
    <row r="19" spans="2:31" ht="25.15" customHeight="1" thickBot="1">
      <c r="B19" s="315" t="s">
        <v>518</v>
      </c>
      <c r="C19" s="401" t="s">
        <v>639</v>
      </c>
      <c r="D19" s="401"/>
      <c r="E19" s="317" t="s">
        <v>519</v>
      </c>
      <c r="F19" s="438">
        <v>1000</v>
      </c>
      <c r="G19" s="439"/>
      <c r="H19" s="315" t="s">
        <v>518</v>
      </c>
      <c r="I19" s="401" t="s">
        <v>658</v>
      </c>
      <c r="J19" s="401"/>
      <c r="K19" s="348" t="s">
        <v>519</v>
      </c>
      <c r="L19" s="434" t="s">
        <v>719</v>
      </c>
      <c r="M19" s="435"/>
      <c r="N19" s="436"/>
      <c r="O19" s="446"/>
      <c r="P19" s="441">
        <f>판정결과LIST!D28</f>
        <v>16</v>
      </c>
      <c r="Q19" s="442"/>
      <c r="R19" s="442"/>
      <c r="S19" s="433" t="s">
        <v>526</v>
      </c>
      <c r="T19" s="433"/>
      <c r="U19" s="331"/>
      <c r="V19" s="176"/>
      <c r="W19" s="176"/>
      <c r="X19" s="176"/>
      <c r="Y19" s="188"/>
      <c r="AA19" s="424"/>
      <c r="AE19" s="170"/>
    </row>
    <row r="20" spans="2:31" ht="4.9000000000000004" customHeight="1" thickBot="1">
      <c r="B20" s="315"/>
      <c r="C20" s="316"/>
      <c r="D20" s="225"/>
      <c r="E20" s="225"/>
      <c r="F20" s="224"/>
      <c r="G20" s="224"/>
      <c r="H20" s="315"/>
      <c r="I20" s="316"/>
      <c r="J20" s="225"/>
      <c r="K20" s="349"/>
      <c r="L20" s="224"/>
      <c r="M20" s="224"/>
      <c r="N20" s="224"/>
      <c r="O20" s="446"/>
      <c r="P20" s="343"/>
      <c r="Q20" s="344"/>
      <c r="R20" s="344"/>
      <c r="S20" s="326"/>
      <c r="T20" s="326"/>
      <c r="U20" s="327"/>
      <c r="V20" s="176"/>
      <c r="W20" s="176"/>
      <c r="X20" s="176"/>
      <c r="Y20" s="188"/>
      <c r="AA20" s="424"/>
      <c r="AE20" s="170"/>
    </row>
    <row r="21" spans="2:31" ht="25.15" customHeight="1" thickBot="1">
      <c r="B21" s="315" t="s">
        <v>518</v>
      </c>
      <c r="C21" s="401" t="s">
        <v>642</v>
      </c>
      <c r="D21" s="401"/>
      <c r="E21" s="317" t="s">
        <v>519</v>
      </c>
      <c r="F21" s="434" t="s">
        <v>740</v>
      </c>
      <c r="G21" s="436"/>
      <c r="H21" s="315" t="s">
        <v>518</v>
      </c>
      <c r="I21" s="401" t="s">
        <v>644</v>
      </c>
      <c r="J21" s="401"/>
      <c r="K21" s="348" t="s">
        <v>519</v>
      </c>
      <c r="L21" s="434" t="s">
        <v>741</v>
      </c>
      <c r="M21" s="435"/>
      <c r="N21" s="436"/>
      <c r="O21" s="446"/>
      <c r="P21" s="343"/>
      <c r="Q21" s="344"/>
      <c r="R21" s="344"/>
      <c r="S21" s="394">
        <f>VLOOKUP(B45,판정결과LIST!$A:$E,5,FALSE)</f>
        <v>4</v>
      </c>
      <c r="T21" s="326"/>
      <c r="U21" s="327"/>
      <c r="V21" s="176"/>
      <c r="W21" s="176"/>
      <c r="X21" s="176"/>
      <c r="Y21" s="188"/>
      <c r="AA21" s="424"/>
      <c r="AE21" s="170"/>
    </row>
    <row r="22" spans="2:31" ht="4.9000000000000004" customHeight="1" thickBot="1">
      <c r="B22" s="315"/>
      <c r="C22" s="316"/>
      <c r="D22" s="225"/>
      <c r="E22" s="225"/>
      <c r="F22" s="224"/>
      <c r="G22" s="224"/>
      <c r="H22" s="315"/>
      <c r="I22" s="316"/>
      <c r="J22" s="225"/>
      <c r="K22" s="350"/>
      <c r="L22" s="224"/>
      <c r="M22" s="224"/>
      <c r="N22" s="224"/>
      <c r="O22" s="446"/>
      <c r="P22" s="343"/>
      <c r="Q22" s="344"/>
      <c r="R22" s="344"/>
      <c r="S22" s="328"/>
      <c r="T22" s="329"/>
      <c r="U22" s="330"/>
      <c r="V22" s="176"/>
      <c r="W22" s="176"/>
      <c r="X22" s="176"/>
      <c r="Y22" s="188"/>
      <c r="AA22" s="424"/>
      <c r="AE22" s="170"/>
    </row>
    <row r="23" spans="2:31" ht="25.15" customHeight="1" thickBot="1">
      <c r="B23" s="315" t="s">
        <v>518</v>
      </c>
      <c r="C23" s="401" t="s">
        <v>560</v>
      </c>
      <c r="D23" s="401"/>
      <c r="E23" s="317" t="s">
        <v>519</v>
      </c>
      <c r="F23" s="438">
        <v>50000</v>
      </c>
      <c r="G23" s="439"/>
      <c r="H23" s="315"/>
      <c r="I23" s="401"/>
      <c r="J23" s="401"/>
      <c r="K23" s="351"/>
      <c r="L23" s="426"/>
      <c r="M23" s="426"/>
      <c r="N23" s="426"/>
      <c r="O23" s="446"/>
      <c r="P23" s="343"/>
      <c r="Q23" s="344"/>
      <c r="R23" s="344"/>
      <c r="S23" s="433" t="s">
        <v>528</v>
      </c>
      <c r="T23" s="433"/>
      <c r="U23" s="331"/>
      <c r="V23" s="176"/>
      <c r="W23" s="176"/>
      <c r="X23" s="176"/>
      <c r="Y23" s="188"/>
      <c r="AA23" s="424"/>
      <c r="AE23" s="170"/>
    </row>
    <row r="24" spans="2:31" ht="4.9000000000000004" customHeight="1" thickBot="1">
      <c r="B24" s="315"/>
      <c r="C24" s="316"/>
      <c r="D24" s="225"/>
      <c r="E24" s="225"/>
      <c r="F24" s="224"/>
      <c r="G24" s="224"/>
      <c r="H24" s="315"/>
      <c r="I24" s="316"/>
      <c r="J24" s="225"/>
      <c r="K24" s="350"/>
      <c r="L24" s="224"/>
      <c r="M24" s="224"/>
      <c r="N24" s="224"/>
      <c r="O24" s="446"/>
      <c r="P24" s="343"/>
      <c r="Q24" s="344"/>
      <c r="R24" s="344"/>
      <c r="S24" s="326"/>
      <c r="T24" s="326"/>
      <c r="U24" s="327"/>
      <c r="V24" s="176"/>
      <c r="W24" s="176"/>
      <c r="X24" s="176"/>
      <c r="Y24" s="188"/>
      <c r="AA24" s="424"/>
      <c r="AE24" s="170"/>
    </row>
    <row r="25" spans="2:31" ht="25.15" customHeight="1" thickBot="1">
      <c r="B25" s="315" t="s">
        <v>518</v>
      </c>
      <c r="C25" s="401" t="s">
        <v>531</v>
      </c>
      <c r="D25" s="401"/>
      <c r="E25" s="317" t="s">
        <v>519</v>
      </c>
      <c r="F25" s="438">
        <v>90000</v>
      </c>
      <c r="G25" s="439"/>
      <c r="H25" s="315"/>
      <c r="I25" s="401"/>
      <c r="J25" s="401"/>
      <c r="K25" s="351"/>
      <c r="L25" s="426"/>
      <c r="M25" s="426"/>
      <c r="N25" s="426"/>
      <c r="O25" s="446"/>
      <c r="P25" s="343"/>
      <c r="Q25" s="344"/>
      <c r="R25" s="344"/>
      <c r="S25" s="394">
        <f>VLOOKUP(B50,판정결과LIST!$A:$E,5,FALSE)</f>
        <v>1</v>
      </c>
      <c r="T25" s="326"/>
      <c r="U25" s="327"/>
      <c r="V25" s="176"/>
      <c r="W25" s="176"/>
      <c r="X25" s="176"/>
      <c r="Y25" s="188"/>
      <c r="AA25" s="424"/>
      <c r="AE25" s="170"/>
    </row>
    <row r="26" spans="2:31" ht="4.9000000000000004" customHeight="1" thickBot="1">
      <c r="B26" s="315"/>
      <c r="C26" s="316"/>
      <c r="D26" s="225"/>
      <c r="E26" s="225"/>
      <c r="F26" s="224"/>
      <c r="G26" s="224"/>
      <c r="H26" s="315"/>
      <c r="I26" s="316"/>
      <c r="J26" s="225"/>
      <c r="K26" s="350"/>
      <c r="L26" s="224"/>
      <c r="M26" s="224"/>
      <c r="N26" s="224"/>
      <c r="O26" s="318"/>
      <c r="P26" s="337"/>
      <c r="Q26" s="139"/>
      <c r="R26" s="139"/>
      <c r="S26" s="338"/>
      <c r="T26" s="339"/>
      <c r="U26" s="340"/>
      <c r="V26" s="176"/>
      <c r="W26" s="176"/>
      <c r="X26" s="176"/>
      <c r="Y26" s="188"/>
      <c r="AA26" s="424"/>
      <c r="AE26" s="170"/>
    </row>
    <row r="27" spans="2:31" ht="25.15" customHeight="1" thickBot="1">
      <c r="B27" s="315" t="s">
        <v>518</v>
      </c>
      <c r="C27" s="401" t="s">
        <v>663</v>
      </c>
      <c r="D27" s="401"/>
      <c r="E27" s="317" t="s">
        <v>519</v>
      </c>
      <c r="F27" s="438">
        <v>20000</v>
      </c>
      <c r="G27" s="439"/>
      <c r="H27" s="315"/>
      <c r="I27" s="401"/>
      <c r="J27" s="401"/>
      <c r="K27" s="351"/>
      <c r="L27" s="426"/>
      <c r="M27" s="426"/>
      <c r="N27" s="426"/>
      <c r="O27" s="318"/>
      <c r="P27" s="447" t="s">
        <v>527</v>
      </c>
      <c r="Q27" s="448"/>
      <c r="R27" s="448"/>
      <c r="S27" s="332" t="s">
        <v>648</v>
      </c>
      <c r="T27" s="332" t="s">
        <v>662</v>
      </c>
      <c r="U27" s="331"/>
      <c r="V27" s="176"/>
      <c r="W27" s="176"/>
      <c r="X27" s="176"/>
      <c r="Y27" s="188"/>
      <c r="AA27" s="424"/>
      <c r="AE27" s="170"/>
    </row>
    <row r="28" spans="2:31" ht="4.9000000000000004" customHeight="1" thickBot="1">
      <c r="B28" s="315"/>
      <c r="C28" s="316"/>
      <c r="D28" s="225"/>
      <c r="E28" s="225"/>
      <c r="F28" s="224"/>
      <c r="G28" s="224"/>
      <c r="H28" s="315"/>
      <c r="I28" s="316"/>
      <c r="J28" s="225"/>
      <c r="K28" s="350"/>
      <c r="L28" s="224"/>
      <c r="M28" s="224"/>
      <c r="N28" s="224"/>
      <c r="O28" s="318"/>
      <c r="P28" s="447"/>
      <c r="Q28" s="448"/>
      <c r="R28" s="448"/>
      <c r="S28" s="326"/>
      <c r="T28" s="326"/>
      <c r="U28" s="327"/>
      <c r="V28" s="176"/>
      <c r="W28" s="176"/>
      <c r="X28" s="176"/>
      <c r="Y28" s="188"/>
      <c r="AA28" s="424"/>
      <c r="AE28" s="170"/>
    </row>
    <row r="29" spans="2:31" ht="25.15" customHeight="1" thickBot="1">
      <c r="B29" s="315" t="s">
        <v>518</v>
      </c>
      <c r="C29" s="401" t="s">
        <v>640</v>
      </c>
      <c r="D29" s="401"/>
      <c r="E29" s="317" t="s">
        <v>519</v>
      </c>
      <c r="F29" s="434">
        <v>20</v>
      </c>
      <c r="G29" s="436"/>
      <c r="H29" s="315"/>
      <c r="I29" s="401"/>
      <c r="J29" s="401"/>
      <c r="K29" s="351"/>
      <c r="L29" s="426"/>
      <c r="M29" s="426"/>
      <c r="N29" s="426"/>
      <c r="O29" s="318"/>
      <c r="P29" s="447"/>
      <c r="Q29" s="448"/>
      <c r="R29" s="448"/>
      <c r="S29" s="333" t="s">
        <v>168</v>
      </c>
      <c r="T29" s="326" t="s">
        <v>646</v>
      </c>
      <c r="U29" s="327"/>
      <c r="V29" s="176"/>
      <c r="W29" s="176"/>
      <c r="X29" s="176"/>
      <c r="Y29" s="188"/>
      <c r="AA29" s="424"/>
      <c r="AE29" s="170"/>
    </row>
    <row r="30" spans="2:31" ht="10.15" customHeight="1" thickBot="1">
      <c r="B30" s="352"/>
      <c r="C30" s="353"/>
      <c r="D30" s="354"/>
      <c r="E30" s="355"/>
      <c r="F30" s="356"/>
      <c r="G30" s="356"/>
      <c r="H30" s="356"/>
      <c r="I30" s="356"/>
      <c r="J30" s="352"/>
      <c r="K30" s="353"/>
      <c r="L30" s="354"/>
      <c r="M30" s="355"/>
      <c r="N30" s="356"/>
      <c r="O30" s="224"/>
      <c r="P30" s="334"/>
      <c r="Q30" s="335"/>
      <c r="R30" s="335"/>
      <c r="S30" s="335"/>
      <c r="T30" s="335"/>
      <c r="U30" s="336"/>
      <c r="V30" s="176"/>
      <c r="W30" s="176"/>
      <c r="X30" s="176"/>
      <c r="Y30" s="188"/>
      <c r="AA30" s="424"/>
      <c r="AE30" s="170"/>
    </row>
    <row r="31" spans="2:31" ht="49.9" customHeight="1" thickTop="1">
      <c r="B31" s="176"/>
      <c r="C31" s="176"/>
      <c r="D31" s="176"/>
      <c r="E31" s="176"/>
      <c r="F31" s="176"/>
      <c r="G31" s="176"/>
      <c r="H31" s="176"/>
      <c r="I31" s="224"/>
      <c r="J31" s="176"/>
      <c r="K31" s="176"/>
      <c r="L31" s="176"/>
      <c r="M31" s="176"/>
      <c r="N31" s="176"/>
      <c r="O31" s="176"/>
      <c r="P31" s="176"/>
      <c r="Q31" s="176"/>
      <c r="R31" s="176"/>
      <c r="S31" s="176"/>
      <c r="T31" s="176"/>
      <c r="U31" s="176"/>
      <c r="V31" s="176"/>
      <c r="W31" s="176"/>
      <c r="X31" s="176"/>
      <c r="Y31" s="188"/>
      <c r="AA31" s="424"/>
      <c r="AE31" s="170"/>
    </row>
    <row r="32" spans="2:31" ht="46.9" customHeight="1">
      <c r="B32" s="174" t="s">
        <v>53</v>
      </c>
      <c r="C32" s="388" t="s">
        <v>724</v>
      </c>
      <c r="D32" s="388"/>
      <c r="E32" s="388"/>
      <c r="F32" s="388"/>
      <c r="G32" s="233"/>
      <c r="H32" s="233"/>
      <c r="I32" s="232"/>
      <c r="J32" s="231"/>
      <c r="K32" s="231"/>
      <c r="L32" s="231"/>
      <c r="M32" s="231"/>
      <c r="N32" s="231"/>
      <c r="O32" s="231"/>
      <c r="P32" s="231"/>
      <c r="Q32" s="231"/>
      <c r="R32" s="235"/>
      <c r="S32" s="235"/>
      <c r="T32" s="235"/>
      <c r="U32" s="176"/>
      <c r="V32" s="176"/>
      <c r="W32" s="176"/>
      <c r="X32" s="176"/>
      <c r="Y32" s="188"/>
      <c r="AA32" s="424"/>
      <c r="AE32" s="170"/>
    </row>
    <row r="33" spans="2:31" ht="19.899999999999999" customHeight="1" thickBot="1">
      <c r="B33" s="412" t="s">
        <v>529</v>
      </c>
      <c r="C33" s="412"/>
      <c r="D33" s="411">
        <f>VLOOKUP(B33,판정결과LIST!$A:$E,5,FALSE)</f>
        <v>6</v>
      </c>
      <c r="E33" s="374"/>
      <c r="F33" s="374"/>
      <c r="G33" s="374"/>
      <c r="H33" s="374"/>
      <c r="I33" s="372"/>
      <c r="J33" s="374"/>
      <c r="K33" s="374"/>
      <c r="L33" s="374"/>
      <c r="M33" s="374"/>
      <c r="N33" s="374"/>
      <c r="O33" s="374"/>
      <c r="P33" s="374"/>
      <c r="Q33" s="374"/>
      <c r="R33" s="374"/>
      <c r="S33" s="374"/>
      <c r="T33" s="374"/>
      <c r="U33" s="370"/>
      <c r="V33" s="228"/>
      <c r="W33" s="228"/>
      <c r="X33" s="176"/>
      <c r="Y33" s="188"/>
      <c r="AA33" s="424"/>
      <c r="AE33" s="170"/>
    </row>
    <row r="34" spans="2:31" ht="100.15" customHeight="1" thickTop="1" thickBot="1">
      <c r="B34" s="413"/>
      <c r="C34" s="413"/>
      <c r="D34" s="409"/>
      <c r="E34" s="375"/>
      <c r="F34" s="402" t="str">
        <f>판정결과LIST!B2</f>
        <v>에너지절약형 친환경주택</v>
      </c>
      <c r="G34" s="403"/>
      <c r="H34" s="404"/>
      <c r="I34" s="376"/>
      <c r="J34" s="402" t="str">
        <f>판정결과LIST!B3</f>
        <v>에너지절약 계획서-주거용</v>
      </c>
      <c r="K34" s="403"/>
      <c r="L34" s="404"/>
      <c r="M34" s="151"/>
      <c r="N34" s="402" t="str">
        <f>판정결과LIST!B4</f>
        <v>에너지절약 계획서-비주거용</v>
      </c>
      <c r="O34" s="403"/>
      <c r="P34" s="404"/>
      <c r="Q34" s="151"/>
      <c r="R34" s="402" t="str">
        <f>판정결과LIST!B5</f>
        <v>에너지소비총량제(ECO2-OD)</v>
      </c>
      <c r="S34" s="403"/>
      <c r="T34" s="404"/>
      <c r="U34" s="228"/>
      <c r="V34" s="228"/>
      <c r="W34" s="228"/>
      <c r="X34" s="176"/>
      <c r="Y34" s="188"/>
      <c r="AA34" s="424"/>
      <c r="AE34" s="170"/>
    </row>
    <row r="35" spans="2:31" ht="10.15" customHeight="1" thickTop="1" thickBot="1">
      <c r="B35" s="413"/>
      <c r="C35" s="413"/>
      <c r="D35" s="409"/>
      <c r="E35" s="375"/>
      <c r="F35" s="377"/>
      <c r="G35" s="377"/>
      <c r="H35" s="377"/>
      <c r="I35" s="376"/>
      <c r="J35" s="151"/>
      <c r="K35" s="151"/>
      <c r="L35" s="151"/>
      <c r="M35" s="151"/>
      <c r="N35" s="151"/>
      <c r="O35" s="151"/>
      <c r="P35" s="151"/>
      <c r="Q35" s="151"/>
      <c r="R35" s="151"/>
      <c r="S35" s="151"/>
      <c r="T35" s="151"/>
      <c r="U35" s="228"/>
      <c r="V35" s="228"/>
      <c r="W35" s="228"/>
      <c r="X35" s="176"/>
      <c r="Y35" s="188"/>
      <c r="AA35" s="424"/>
      <c r="AE35" s="170"/>
    </row>
    <row r="36" spans="2:31" ht="100.15" customHeight="1" thickTop="1" thickBot="1">
      <c r="B36" s="413"/>
      <c r="C36" s="413"/>
      <c r="D36" s="409"/>
      <c r="E36" s="375"/>
      <c r="F36" s="402" t="str">
        <f>판정결과LIST!B6</f>
        <v>범죄예방 건축기준</v>
      </c>
      <c r="G36" s="403"/>
      <c r="H36" s="404"/>
      <c r="I36" s="376"/>
      <c r="J36" s="402" t="str">
        <f>판정결과LIST!B7</f>
        <v>건강친화형주택 건설기준</v>
      </c>
      <c r="K36" s="403"/>
      <c r="L36" s="404"/>
      <c r="M36" s="151"/>
      <c r="N36" s="402" t="str">
        <f>판정결과LIST!B8</f>
        <v>저영향개발 사전협의</v>
      </c>
      <c r="O36" s="403"/>
      <c r="P36" s="404"/>
      <c r="Q36" s="151"/>
      <c r="R36" s="402" t="str">
        <f>판정결과LIST!B9</f>
        <v>수질오염총량제</v>
      </c>
      <c r="S36" s="403"/>
      <c r="T36" s="404"/>
      <c r="U36" s="228"/>
      <c r="V36" s="228"/>
      <c r="W36" s="228"/>
      <c r="X36" s="176"/>
      <c r="Y36" s="188"/>
      <c r="AA36" s="424"/>
      <c r="AE36" s="170"/>
    </row>
    <row r="37" spans="2:31" ht="10.15" customHeight="1" thickTop="1" thickBot="1">
      <c r="B37" s="413"/>
      <c r="C37" s="413"/>
      <c r="D37" s="409"/>
      <c r="E37" s="375"/>
      <c r="F37" s="377"/>
      <c r="G37" s="377"/>
      <c r="H37" s="377"/>
      <c r="I37" s="376"/>
      <c r="J37" s="151"/>
      <c r="K37" s="151"/>
      <c r="L37" s="151"/>
      <c r="M37" s="151"/>
      <c r="N37" s="151"/>
      <c r="O37" s="151"/>
      <c r="P37" s="151"/>
      <c r="Q37" s="151"/>
      <c r="R37" s="151"/>
      <c r="S37" s="151"/>
      <c r="T37" s="151"/>
      <c r="U37" s="228"/>
      <c r="V37" s="228"/>
      <c r="W37" s="228"/>
      <c r="X37" s="176"/>
      <c r="Y37" s="188"/>
      <c r="AA37" s="424"/>
      <c r="AE37" s="170"/>
    </row>
    <row r="38" spans="2:31" ht="100.15" customHeight="1" thickTop="1" thickBot="1">
      <c r="B38" s="413"/>
      <c r="C38" s="413"/>
      <c r="D38" s="409"/>
      <c r="E38" s="176"/>
      <c r="F38" s="402" t="str">
        <f>판정결과LIST!B10</f>
        <v>공동주택 소음 예측 및 실측</v>
      </c>
      <c r="G38" s="403"/>
      <c r="H38" s="404"/>
      <c r="I38" s="151"/>
      <c r="J38" s="402" t="str">
        <f>판정결과LIST!B11</f>
        <v>공동주택 결로방지 설계기준</v>
      </c>
      <c r="K38" s="403"/>
      <c r="L38" s="404"/>
      <c r="M38" s="151"/>
      <c r="N38" s="423"/>
      <c r="O38" s="423"/>
      <c r="P38" s="423"/>
      <c r="Q38" s="151"/>
      <c r="R38" s="423"/>
      <c r="S38" s="423"/>
      <c r="T38" s="423"/>
      <c r="U38" s="228"/>
      <c r="V38" s="228"/>
      <c r="W38" s="228"/>
      <c r="X38" s="176"/>
      <c r="Y38" s="188"/>
      <c r="AA38" s="424"/>
      <c r="AE38" s="170"/>
    </row>
    <row r="39" spans="2:31" ht="19.899999999999999" customHeight="1" thickTop="1">
      <c r="B39" s="414"/>
      <c r="C39" s="414"/>
      <c r="D39" s="410"/>
      <c r="E39" s="378"/>
      <c r="F39" s="373"/>
      <c r="G39" s="373"/>
      <c r="H39" s="373"/>
      <c r="I39" s="373"/>
      <c r="J39" s="378"/>
      <c r="K39" s="378"/>
      <c r="L39" s="378"/>
      <c r="M39" s="378"/>
      <c r="N39" s="378"/>
      <c r="O39" s="378"/>
      <c r="P39" s="378"/>
      <c r="Q39" s="378"/>
      <c r="R39" s="378"/>
      <c r="S39" s="378"/>
      <c r="T39" s="378"/>
      <c r="U39" s="371"/>
      <c r="V39" s="228"/>
      <c r="W39" s="228"/>
      <c r="X39" s="176"/>
      <c r="Y39" s="188"/>
      <c r="AA39" s="424"/>
      <c r="AE39" s="170"/>
    </row>
    <row r="40" spans="2:31" ht="19.899999999999999" customHeight="1" thickBot="1">
      <c r="B40" s="418" t="s">
        <v>373</v>
      </c>
      <c r="C40" s="418"/>
      <c r="D40" s="409">
        <f>VLOOKUP(B40,판정결과LIST!$A:$E,5,FALSE)</f>
        <v>5</v>
      </c>
      <c r="E40" s="176"/>
      <c r="F40" s="224"/>
      <c r="G40" s="224"/>
      <c r="H40" s="224"/>
      <c r="I40" s="224"/>
      <c r="J40" s="176"/>
      <c r="K40" s="176"/>
      <c r="L40" s="176"/>
      <c r="M40" s="176"/>
      <c r="N40" s="176"/>
      <c r="O40" s="176"/>
      <c r="P40" s="176"/>
      <c r="Q40" s="176"/>
      <c r="R40" s="176"/>
      <c r="S40" s="176"/>
      <c r="T40" s="176"/>
      <c r="U40" s="228"/>
      <c r="V40" s="228"/>
      <c r="W40" s="228"/>
      <c r="X40" s="176"/>
      <c r="Y40" s="188"/>
      <c r="AA40" s="424"/>
      <c r="AE40" s="170"/>
    </row>
    <row r="41" spans="2:31" ht="100.15" customHeight="1" thickTop="1" thickBot="1">
      <c r="B41" s="406"/>
      <c r="C41" s="406"/>
      <c r="D41" s="409"/>
      <c r="E41" s="176"/>
      <c r="F41" s="402" t="str">
        <f>판정결과LIST!B12</f>
        <v>녹색건축인증</v>
      </c>
      <c r="G41" s="403"/>
      <c r="H41" s="404"/>
      <c r="I41" s="151"/>
      <c r="J41" s="402" t="str">
        <f>판정결과LIST!B13</f>
        <v>공동주택 성능등급 인증</v>
      </c>
      <c r="K41" s="403"/>
      <c r="L41" s="404"/>
      <c r="M41" s="151"/>
      <c r="N41" s="402" t="str">
        <f>판정결과LIST!B14</f>
        <v>건축물에너지효율등급 인증</v>
      </c>
      <c r="O41" s="403"/>
      <c r="P41" s="404"/>
      <c r="Q41" s="151"/>
      <c r="R41" s="402" t="str">
        <f>판정결과LIST!B15</f>
        <v>제로에너지건축물(ZEB) 인증</v>
      </c>
      <c r="S41" s="403"/>
      <c r="T41" s="404"/>
      <c r="U41" s="228"/>
      <c r="V41" s="228"/>
      <c r="W41" s="228"/>
      <c r="X41" s="176"/>
      <c r="Y41" s="188"/>
      <c r="AA41" s="424"/>
      <c r="AE41" s="170"/>
    </row>
    <row r="42" spans="2:31" ht="10.15" customHeight="1" thickTop="1" thickBot="1">
      <c r="B42" s="406"/>
      <c r="C42" s="406"/>
      <c r="D42" s="409"/>
      <c r="E42" s="176"/>
      <c r="F42" s="224"/>
      <c r="G42" s="224"/>
      <c r="H42" s="224"/>
      <c r="I42" s="224"/>
      <c r="J42" s="176"/>
      <c r="K42" s="176"/>
      <c r="L42" s="176"/>
      <c r="M42" s="176"/>
      <c r="N42" s="176"/>
      <c r="O42" s="176"/>
      <c r="P42" s="176"/>
      <c r="Q42" s="176"/>
      <c r="R42" s="176"/>
      <c r="S42" s="176"/>
      <c r="T42" s="176"/>
      <c r="U42" s="228"/>
      <c r="V42" s="228"/>
      <c r="W42" s="228"/>
      <c r="X42" s="176"/>
      <c r="Y42" s="188"/>
      <c r="AA42" s="424"/>
      <c r="AE42" s="170"/>
    </row>
    <row r="43" spans="2:31" ht="100.15" customHeight="1" thickTop="1" thickBot="1">
      <c r="B43" s="406"/>
      <c r="C43" s="406"/>
      <c r="D43" s="409"/>
      <c r="E43" s="375"/>
      <c r="F43" s="402" t="str">
        <f>판정결과LIST!B16</f>
        <v>장애물없는생활환경(BF) 인증</v>
      </c>
      <c r="G43" s="403"/>
      <c r="H43" s="404"/>
      <c r="I43" s="376"/>
      <c r="J43" s="402" t="str">
        <f>판정결과LIST!B17</f>
        <v>장수명주택인증</v>
      </c>
      <c r="K43" s="403"/>
      <c r="L43" s="404"/>
      <c r="M43" s="151"/>
      <c r="N43" s="423"/>
      <c r="O43" s="423"/>
      <c r="P43" s="423"/>
      <c r="Q43" s="151"/>
      <c r="R43" s="423"/>
      <c r="S43" s="423"/>
      <c r="T43" s="423"/>
      <c r="U43" s="228"/>
      <c r="V43" s="228"/>
      <c r="W43" s="228"/>
      <c r="X43" s="176"/>
      <c r="Y43" s="188"/>
      <c r="AA43" s="424"/>
      <c r="AE43" s="170"/>
    </row>
    <row r="44" spans="2:31" ht="19.899999999999999" customHeight="1" thickTop="1">
      <c r="B44" s="419"/>
      <c r="C44" s="419"/>
      <c r="D44" s="409"/>
      <c r="E44" s="375"/>
      <c r="F44" s="377"/>
      <c r="G44" s="377"/>
      <c r="H44" s="377"/>
      <c r="I44" s="376"/>
      <c r="J44" s="151"/>
      <c r="K44" s="151"/>
      <c r="L44" s="151"/>
      <c r="M44" s="151"/>
      <c r="N44" s="151"/>
      <c r="O44" s="151"/>
      <c r="P44" s="151"/>
      <c r="Q44" s="151"/>
      <c r="R44" s="151"/>
      <c r="S44" s="151"/>
      <c r="T44" s="151"/>
      <c r="U44" s="228"/>
      <c r="V44" s="228"/>
      <c r="W44" s="228"/>
      <c r="X44" s="176"/>
      <c r="Y44" s="188"/>
      <c r="AA44" s="424"/>
      <c r="AE44" s="170"/>
    </row>
    <row r="45" spans="2:31" ht="19.899999999999999" customHeight="1" thickBot="1">
      <c r="B45" s="405" t="s">
        <v>526</v>
      </c>
      <c r="C45" s="405"/>
      <c r="D45" s="415">
        <f>VLOOKUP(B45,판정결과LIST!$A:$E,5,FALSE)</f>
        <v>4</v>
      </c>
      <c r="E45" s="379"/>
      <c r="F45" s="380"/>
      <c r="G45" s="380"/>
      <c r="H45" s="380"/>
      <c r="I45" s="381"/>
      <c r="J45" s="382"/>
      <c r="K45" s="382"/>
      <c r="L45" s="382"/>
      <c r="M45" s="382"/>
      <c r="N45" s="382"/>
      <c r="O45" s="382"/>
      <c r="P45" s="382"/>
      <c r="Q45" s="382"/>
      <c r="R45" s="382"/>
      <c r="S45" s="382"/>
      <c r="T45" s="382"/>
      <c r="U45" s="370"/>
      <c r="V45" s="228"/>
      <c r="W45" s="228"/>
      <c r="X45" s="176"/>
      <c r="Y45" s="188"/>
      <c r="AA45" s="424"/>
      <c r="AE45" s="170"/>
    </row>
    <row r="46" spans="2:31" ht="100.15" customHeight="1" thickTop="1" thickBot="1">
      <c r="B46" s="406"/>
      <c r="C46" s="406"/>
      <c r="D46" s="416"/>
      <c r="E46" s="176"/>
      <c r="F46" s="402" t="str">
        <f>판정결과LIST!B12</f>
        <v>녹색건축인증</v>
      </c>
      <c r="G46" s="403"/>
      <c r="H46" s="404"/>
      <c r="I46" s="151"/>
      <c r="J46" s="402" t="str">
        <f>판정결과LIST!B13</f>
        <v>공동주택 성능등급 인증</v>
      </c>
      <c r="K46" s="403"/>
      <c r="L46" s="404"/>
      <c r="M46" s="151"/>
      <c r="N46" s="402" t="str">
        <f>판정결과LIST!B14</f>
        <v>건축물에너지효율등급 인증</v>
      </c>
      <c r="O46" s="403"/>
      <c r="P46" s="404"/>
      <c r="Q46" s="151"/>
      <c r="R46" s="402" t="str">
        <f>판정결과LIST!B15</f>
        <v>제로에너지건축물(ZEB) 인증</v>
      </c>
      <c r="S46" s="403"/>
      <c r="T46" s="404"/>
      <c r="U46" s="228"/>
      <c r="V46" s="228"/>
      <c r="W46" s="228"/>
      <c r="X46" s="176"/>
      <c r="Y46" s="188"/>
      <c r="AA46" s="424"/>
      <c r="AE46" s="170"/>
    </row>
    <row r="47" spans="2:31" ht="10.15" customHeight="1" thickTop="1" thickBot="1">
      <c r="B47" s="406"/>
      <c r="C47" s="406"/>
      <c r="D47" s="416"/>
      <c r="E47" s="176"/>
      <c r="F47" s="224"/>
      <c r="G47" s="224"/>
      <c r="H47" s="224"/>
      <c r="I47" s="224"/>
      <c r="J47" s="176"/>
      <c r="K47" s="176"/>
      <c r="L47" s="176"/>
      <c r="M47" s="176"/>
      <c r="N47" s="176"/>
      <c r="O47" s="176"/>
      <c r="P47" s="176"/>
      <c r="Q47" s="176"/>
      <c r="R47" s="176"/>
      <c r="S47" s="176"/>
      <c r="T47" s="176"/>
      <c r="U47" s="228"/>
      <c r="V47" s="228"/>
      <c r="W47" s="228"/>
      <c r="X47" s="176"/>
      <c r="Y47" s="188"/>
      <c r="AA47" s="424"/>
      <c r="AE47" s="170"/>
    </row>
    <row r="48" spans="2:31" ht="100.15" customHeight="1" thickTop="1" thickBot="1">
      <c r="B48" s="406"/>
      <c r="C48" s="406"/>
      <c r="D48" s="416"/>
      <c r="E48" s="375"/>
      <c r="F48" s="402" t="str">
        <f>판정결과LIST!B16</f>
        <v>장애물없는생활환경(BF) 인증</v>
      </c>
      <c r="G48" s="403"/>
      <c r="H48" s="404"/>
      <c r="I48" s="376"/>
      <c r="J48" s="423"/>
      <c r="K48" s="423"/>
      <c r="L48" s="423"/>
      <c r="M48" s="151"/>
      <c r="N48" s="423"/>
      <c r="O48" s="423"/>
      <c r="P48" s="423"/>
      <c r="Q48" s="151"/>
      <c r="R48" s="423"/>
      <c r="S48" s="423"/>
      <c r="T48" s="423"/>
      <c r="U48" s="228"/>
      <c r="V48" s="228"/>
      <c r="W48" s="228"/>
      <c r="X48" s="176"/>
      <c r="Y48" s="188"/>
      <c r="AA48" s="424"/>
      <c r="AE48" s="170"/>
    </row>
    <row r="49" spans="2:31" ht="19.899999999999999" customHeight="1" thickTop="1">
      <c r="B49" s="407"/>
      <c r="C49" s="407"/>
      <c r="D49" s="417"/>
      <c r="E49" s="383"/>
      <c r="F49" s="384"/>
      <c r="G49" s="384"/>
      <c r="H49" s="384"/>
      <c r="I49" s="385"/>
      <c r="J49" s="386"/>
      <c r="K49" s="386"/>
      <c r="L49" s="386"/>
      <c r="M49" s="386"/>
      <c r="N49" s="386"/>
      <c r="O49" s="386"/>
      <c r="P49" s="386"/>
      <c r="Q49" s="386"/>
      <c r="R49" s="386"/>
      <c r="S49" s="386"/>
      <c r="T49" s="386"/>
      <c r="U49" s="371"/>
      <c r="V49" s="228"/>
      <c r="W49" s="228"/>
      <c r="X49" s="176"/>
      <c r="Y49" s="188"/>
      <c r="AA49" s="424"/>
      <c r="AE49" s="170"/>
    </row>
    <row r="50" spans="2:31" ht="19.899999999999999" customHeight="1" thickBot="1">
      <c r="B50" s="405" t="s">
        <v>528</v>
      </c>
      <c r="C50" s="405"/>
      <c r="D50" s="408">
        <f>VLOOKUP(B50,판정결과LIST!$A:$E,5,FALSE)</f>
        <v>1</v>
      </c>
      <c r="E50" s="374"/>
      <c r="F50" s="372"/>
      <c r="G50" s="372"/>
      <c r="H50" s="372"/>
      <c r="I50" s="372"/>
      <c r="J50" s="372"/>
      <c r="K50" s="372"/>
      <c r="L50" s="372"/>
      <c r="M50" s="374"/>
      <c r="N50" s="372"/>
      <c r="O50" s="372"/>
      <c r="P50" s="372"/>
      <c r="Q50" s="374"/>
      <c r="R50" s="372"/>
      <c r="S50" s="372"/>
      <c r="T50" s="372"/>
      <c r="U50" s="370"/>
      <c r="V50" s="228"/>
      <c r="W50" s="228"/>
      <c r="X50" s="176"/>
      <c r="Y50" s="188"/>
      <c r="AA50" s="424"/>
      <c r="AE50" s="170"/>
    </row>
    <row r="51" spans="2:31" ht="100.15" customHeight="1" thickTop="1" thickBot="1">
      <c r="B51" s="406"/>
      <c r="C51" s="406"/>
      <c r="D51" s="409"/>
      <c r="E51" s="375"/>
      <c r="F51" s="402" t="str">
        <f>판정결과LIST!B23</f>
        <v>교육환경평가 심의</v>
      </c>
      <c r="G51" s="403"/>
      <c r="H51" s="404"/>
      <c r="I51" s="376"/>
      <c r="J51" s="402" t="s">
        <v>524</v>
      </c>
      <c r="K51" s="403"/>
      <c r="L51" s="404"/>
      <c r="M51" s="151"/>
      <c r="N51" s="423"/>
      <c r="O51" s="423"/>
      <c r="P51" s="423"/>
      <c r="Q51" s="176"/>
      <c r="R51" s="423"/>
      <c r="S51" s="423"/>
      <c r="T51" s="423"/>
      <c r="U51" s="228"/>
      <c r="V51" s="228"/>
      <c r="W51" s="228"/>
      <c r="X51" s="176"/>
      <c r="Y51" s="188"/>
      <c r="AA51" s="424"/>
      <c r="AE51" s="170"/>
    </row>
    <row r="52" spans="2:31" ht="19.899999999999999" customHeight="1" thickTop="1">
      <c r="B52" s="407"/>
      <c r="C52" s="407"/>
      <c r="D52" s="410"/>
      <c r="E52" s="383"/>
      <c r="F52" s="384"/>
      <c r="G52" s="384"/>
      <c r="H52" s="384"/>
      <c r="I52" s="385"/>
      <c r="J52" s="386"/>
      <c r="K52" s="386"/>
      <c r="L52" s="386"/>
      <c r="M52" s="386"/>
      <c r="N52" s="386"/>
      <c r="O52" s="386"/>
      <c r="P52" s="386"/>
      <c r="Q52" s="386"/>
      <c r="R52" s="386"/>
      <c r="S52" s="386"/>
      <c r="T52" s="386"/>
      <c r="U52" s="371"/>
      <c r="V52" s="228"/>
      <c r="W52" s="228"/>
      <c r="X52" s="176"/>
      <c r="Y52" s="188"/>
      <c r="AA52" s="424"/>
      <c r="AE52" s="170"/>
    </row>
    <row r="53" spans="2:31" ht="19.899999999999999" customHeight="1" thickBot="1">
      <c r="B53" s="420" t="s">
        <v>527</v>
      </c>
      <c r="C53" s="420"/>
      <c r="D53" s="415">
        <f>VLOOKUP(B53,판정결과LIST!$A:$E,5,FALSE)</f>
        <v>0</v>
      </c>
      <c r="E53" s="379"/>
      <c r="F53" s="380"/>
      <c r="G53" s="380"/>
      <c r="H53" s="380"/>
      <c r="I53" s="381"/>
      <c r="J53" s="382"/>
      <c r="K53" s="382"/>
      <c r="L53" s="382"/>
      <c r="M53" s="382"/>
      <c r="N53" s="382"/>
      <c r="O53" s="382"/>
      <c r="P53" s="382"/>
      <c r="Q53" s="382"/>
      <c r="R53" s="382"/>
      <c r="S53" s="382"/>
      <c r="T53" s="382"/>
      <c r="U53" s="370"/>
      <c r="V53" s="228"/>
      <c r="W53" s="228"/>
      <c r="X53" s="176"/>
      <c r="Y53" s="188"/>
      <c r="AA53" s="424"/>
      <c r="AE53" s="170"/>
    </row>
    <row r="54" spans="2:31" ht="100.15" customHeight="1" thickTop="1" thickBot="1">
      <c r="B54" s="421"/>
      <c r="C54" s="421"/>
      <c r="D54" s="416"/>
      <c r="E54" s="176"/>
      <c r="F54" s="402" t="s">
        <v>522</v>
      </c>
      <c r="G54" s="403"/>
      <c r="H54" s="404"/>
      <c r="I54" s="224"/>
      <c r="J54" s="402" t="s">
        <v>523</v>
      </c>
      <c r="K54" s="403"/>
      <c r="L54" s="404"/>
      <c r="M54" s="176"/>
      <c r="N54" s="423"/>
      <c r="O54" s="423"/>
      <c r="P54" s="423"/>
      <c r="Q54" s="176"/>
      <c r="R54" s="423"/>
      <c r="S54" s="423"/>
      <c r="T54" s="423"/>
      <c r="U54" s="228"/>
      <c r="V54" s="188"/>
      <c r="W54" s="228"/>
      <c r="X54" s="176"/>
      <c r="Y54" s="188"/>
      <c r="AA54" s="424"/>
      <c r="AE54" s="170"/>
    </row>
    <row r="55" spans="2:31" ht="19.899999999999999" customHeight="1" thickTop="1">
      <c r="B55" s="422"/>
      <c r="C55" s="422"/>
      <c r="D55" s="417"/>
      <c r="E55" s="378"/>
      <c r="F55" s="373"/>
      <c r="G55" s="373"/>
      <c r="H55" s="373"/>
      <c r="I55" s="373"/>
      <c r="J55" s="373"/>
      <c r="K55" s="373"/>
      <c r="L55" s="373"/>
      <c r="M55" s="378"/>
      <c r="N55" s="373"/>
      <c r="O55" s="373"/>
      <c r="P55" s="373"/>
      <c r="Q55" s="378"/>
      <c r="R55" s="373"/>
      <c r="S55" s="373"/>
      <c r="T55" s="373"/>
      <c r="U55" s="371"/>
      <c r="V55" s="228"/>
      <c r="W55" s="228"/>
      <c r="X55" s="176"/>
      <c r="Y55" s="188"/>
      <c r="AA55" s="424"/>
      <c r="AE55" s="170"/>
    </row>
    <row r="56" spans="2:31" ht="30.6" customHeight="1" thickBot="1">
      <c r="B56" s="390" t="s">
        <v>730</v>
      </c>
      <c r="C56" s="9"/>
      <c r="D56" s="229"/>
      <c r="E56" s="229"/>
      <c r="F56" s="224"/>
      <c r="G56" s="224"/>
      <c r="H56" s="224"/>
      <c r="I56" s="230"/>
      <c r="J56" s="224"/>
      <c r="K56" s="224"/>
      <c r="L56" s="224"/>
      <c r="M56" s="9"/>
      <c r="N56" s="224"/>
      <c r="O56" s="224"/>
      <c r="P56" s="224"/>
      <c r="Q56" s="9"/>
      <c r="R56" s="224"/>
      <c r="S56" s="224"/>
      <c r="T56" s="224"/>
      <c r="U56" s="228"/>
      <c r="V56" s="228"/>
      <c r="W56" s="228"/>
      <c r="X56" s="176"/>
      <c r="Y56" s="188"/>
      <c r="AA56" s="424"/>
      <c r="AE56" s="170"/>
    </row>
    <row r="57" spans="2:31" ht="36.6" customHeight="1" thickTop="1" thickBot="1">
      <c r="B57" s="390" t="s">
        <v>731</v>
      </c>
      <c r="C57" s="9"/>
      <c r="D57" s="229"/>
      <c r="E57" s="229"/>
      <c r="F57" s="224"/>
      <c r="G57" s="224"/>
      <c r="H57" s="224"/>
      <c r="I57" s="230"/>
      <c r="J57" s="224"/>
      <c r="K57" s="224"/>
      <c r="L57" s="224"/>
      <c r="M57" s="9"/>
      <c r="N57" s="224"/>
      <c r="O57" s="224"/>
      <c r="P57" s="224"/>
      <c r="Q57" s="9"/>
      <c r="R57" s="389" t="s">
        <v>721</v>
      </c>
      <c r="S57" s="427" t="s">
        <v>720</v>
      </c>
      <c r="T57" s="428"/>
      <c r="U57" s="228"/>
      <c r="V57" s="228"/>
      <c r="W57" s="228"/>
      <c r="X57" s="176"/>
      <c r="Y57" s="188"/>
      <c r="AA57" s="424"/>
      <c r="AE57" s="170"/>
    </row>
    <row r="58" spans="2:31" ht="25.15" customHeight="1" thickTop="1">
      <c r="B58" s="151"/>
      <c r="C58" s="151"/>
      <c r="D58" s="176"/>
      <c r="E58" s="176"/>
      <c r="F58" s="224"/>
      <c r="G58" s="224"/>
      <c r="H58" s="224"/>
      <c r="I58" s="224"/>
      <c r="J58" s="176"/>
      <c r="K58" s="176"/>
      <c r="L58" s="176"/>
      <c r="M58" s="176"/>
      <c r="N58" s="176"/>
      <c r="O58" s="176"/>
      <c r="P58" s="176"/>
      <c r="Q58" s="176"/>
      <c r="R58" s="176"/>
      <c r="S58" s="176"/>
      <c r="T58" s="176"/>
      <c r="U58" s="176"/>
      <c r="V58" s="176"/>
      <c r="W58" s="176"/>
      <c r="X58" s="176"/>
      <c r="Y58" s="188"/>
      <c r="AA58" s="424"/>
      <c r="AE58" s="170"/>
    </row>
    <row r="59" spans="2:31" ht="25.15" customHeight="1">
      <c r="B59" s="151"/>
      <c r="C59" s="151"/>
      <c r="D59" s="176"/>
      <c r="E59" s="176"/>
      <c r="F59" s="224"/>
      <c r="G59" s="224"/>
      <c r="H59" s="224"/>
      <c r="I59" s="224"/>
      <c r="J59" s="176"/>
      <c r="K59" s="176"/>
      <c r="L59" s="176"/>
      <c r="M59" s="176"/>
      <c r="N59" s="176"/>
      <c r="O59" s="176"/>
      <c r="P59" s="176"/>
      <c r="Q59" s="176"/>
      <c r="R59" s="176"/>
      <c r="S59" s="176"/>
      <c r="T59" s="176"/>
      <c r="U59" s="176"/>
      <c r="V59" s="176"/>
      <c r="W59" s="176"/>
      <c r="X59" s="176"/>
      <c r="Y59" s="188"/>
      <c r="AA59" s="424"/>
      <c r="AE59" s="170"/>
    </row>
    <row r="60" spans="2:31" ht="25.15" customHeight="1">
      <c r="B60" s="151"/>
      <c r="C60" s="151"/>
      <c r="D60" s="176"/>
      <c r="E60" s="176"/>
      <c r="F60" s="224"/>
      <c r="G60" s="224"/>
      <c r="H60" s="224"/>
      <c r="I60" s="224"/>
      <c r="J60" s="176"/>
      <c r="K60" s="176"/>
      <c r="L60" s="176"/>
      <c r="M60" s="176"/>
      <c r="N60" s="176"/>
      <c r="O60" s="176"/>
      <c r="P60" s="176"/>
      <c r="Q60" s="176"/>
      <c r="R60" s="176"/>
      <c r="S60" s="176"/>
      <c r="T60" s="176"/>
      <c r="U60" s="176"/>
      <c r="V60" s="176"/>
      <c r="W60" s="176"/>
      <c r="X60" s="176"/>
      <c r="Y60" s="188"/>
      <c r="AA60" s="424"/>
      <c r="AE60" s="170"/>
    </row>
    <row r="61" spans="2:31" ht="25.15" customHeight="1">
      <c r="B61" s="151"/>
      <c r="C61" s="151"/>
      <c r="D61" s="176"/>
      <c r="E61" s="176"/>
      <c r="F61" s="224"/>
      <c r="G61" s="224"/>
      <c r="H61" s="224"/>
      <c r="I61" s="224"/>
      <c r="J61" s="176"/>
      <c r="K61" s="176"/>
      <c r="L61" s="176"/>
      <c r="M61" s="176"/>
      <c r="N61" s="176"/>
      <c r="O61" s="176"/>
      <c r="P61" s="176"/>
      <c r="Q61" s="176"/>
      <c r="R61" s="176"/>
      <c r="S61" s="176"/>
      <c r="T61" s="176"/>
      <c r="U61" s="176"/>
      <c r="V61" s="176"/>
      <c r="W61" s="176"/>
      <c r="X61" s="176"/>
      <c r="Y61" s="188"/>
      <c r="AA61" s="424"/>
      <c r="AE61" s="170"/>
    </row>
    <row r="62" spans="2:31" ht="25.15" customHeight="1">
      <c r="B62" s="151"/>
      <c r="C62" s="151"/>
      <c r="D62" s="176"/>
      <c r="E62" s="176"/>
      <c r="F62" s="224"/>
      <c r="G62" s="224"/>
      <c r="H62" s="224"/>
      <c r="I62" s="224"/>
      <c r="J62" s="176"/>
      <c r="K62" s="176"/>
      <c r="L62" s="176"/>
      <c r="M62" s="176"/>
      <c r="N62" s="176"/>
      <c r="O62" s="176"/>
      <c r="P62" s="176"/>
      <c r="Q62" s="176"/>
      <c r="R62" s="176"/>
      <c r="S62" s="176"/>
      <c r="T62" s="176"/>
      <c r="U62" s="176"/>
      <c r="V62" s="176"/>
      <c r="W62" s="176"/>
      <c r="X62" s="176"/>
      <c r="Y62" s="188"/>
      <c r="AA62" s="424"/>
      <c r="AE62" s="170"/>
    </row>
    <row r="63" spans="2:31" ht="25.15" customHeight="1">
      <c r="B63" s="226"/>
      <c r="C63" s="226"/>
      <c r="D63" s="176"/>
      <c r="E63" s="176"/>
      <c r="F63" s="224"/>
      <c r="G63" s="224"/>
      <c r="H63" s="224"/>
      <c r="I63" s="224"/>
      <c r="J63" s="176"/>
      <c r="K63" s="176"/>
      <c r="L63" s="176"/>
      <c r="M63" s="176"/>
      <c r="N63" s="176"/>
      <c r="O63" s="176"/>
      <c r="P63" s="176"/>
      <c r="Q63" s="176"/>
      <c r="R63" s="176"/>
      <c r="S63" s="176"/>
      <c r="T63" s="176"/>
      <c r="U63" s="176"/>
      <c r="V63" s="176"/>
      <c r="W63" s="176"/>
      <c r="X63" s="176"/>
      <c r="Y63" s="188"/>
      <c r="AA63" s="424"/>
      <c r="AE63" s="170"/>
    </row>
  </sheetData>
  <customSheetViews>
    <customSheetView guid="{2FF9C5C3-DD07-4AB5-B1DE-373B3F779921}" scale="85" showGridLines="0" fitToPage="1" topLeftCell="A97">
      <selection activeCell="V117" sqref="V117"/>
      <colBreaks count="1" manualBreakCount="1">
        <brk id="16" max="1048575" man="1"/>
      </colBreaks>
      <pageMargins left="0.70866141732283472" right="0.70866141732283472" top="0.74803149606299213" bottom="0.74803149606299213" header="0.31496062992125984" footer="0.31496062992125984"/>
      <printOptions horizontalCentered="1"/>
      <pageSetup paperSize="9" scale="62" orientation="landscape" r:id="rId1"/>
    </customSheetView>
  </customSheetViews>
  <mergeCells count="98">
    <mergeCell ref="J51:L51"/>
    <mergeCell ref="N51:P51"/>
    <mergeCell ref="F27:G27"/>
    <mergeCell ref="I27:J27"/>
    <mergeCell ref="L27:N27"/>
    <mergeCell ref="P27:R29"/>
    <mergeCell ref="F29:G29"/>
    <mergeCell ref="I29:J29"/>
    <mergeCell ref="L29:N29"/>
    <mergeCell ref="F48:H48"/>
    <mergeCell ref="F46:H46"/>
    <mergeCell ref="J46:L46"/>
    <mergeCell ref="N46:P46"/>
    <mergeCell ref="F41:H41"/>
    <mergeCell ref="F43:H43"/>
    <mergeCell ref="S23:T23"/>
    <mergeCell ref="P19:R19"/>
    <mergeCell ref="P17:R17"/>
    <mergeCell ref="O11:O25"/>
    <mergeCell ref="F25:G25"/>
    <mergeCell ref="I13:J13"/>
    <mergeCell ref="F15:G15"/>
    <mergeCell ref="L21:N21"/>
    <mergeCell ref="L23:N23"/>
    <mergeCell ref="F21:G21"/>
    <mergeCell ref="F23:G23"/>
    <mergeCell ref="I21:J21"/>
    <mergeCell ref="I23:J23"/>
    <mergeCell ref="I25:J25"/>
    <mergeCell ref="L13:N13"/>
    <mergeCell ref="B5:U6"/>
    <mergeCell ref="T7:U7"/>
    <mergeCell ref="S11:T11"/>
    <mergeCell ref="S15:T15"/>
    <mergeCell ref="S19:T19"/>
    <mergeCell ref="L17:N17"/>
    <mergeCell ref="L19:N19"/>
    <mergeCell ref="L15:N15"/>
    <mergeCell ref="F13:G13"/>
    <mergeCell ref="C9:F9"/>
    <mergeCell ref="F17:G17"/>
    <mergeCell ref="F19:G19"/>
    <mergeCell ref="F11:N11"/>
    <mergeCell ref="I15:J15"/>
    <mergeCell ref="I17:J17"/>
    <mergeCell ref="I19:J19"/>
    <mergeCell ref="R54:T54"/>
    <mergeCell ref="R34:T34"/>
    <mergeCell ref="J36:L36"/>
    <mergeCell ref="N36:P36"/>
    <mergeCell ref="R36:T36"/>
    <mergeCell ref="J38:L38"/>
    <mergeCell ref="J41:L41"/>
    <mergeCell ref="J43:L43"/>
    <mergeCell ref="N41:P41"/>
    <mergeCell ref="N43:P43"/>
    <mergeCell ref="R51:T51"/>
    <mergeCell ref="J48:L48"/>
    <mergeCell ref="R46:T46"/>
    <mergeCell ref="R48:T48"/>
    <mergeCell ref="J54:L54"/>
    <mergeCell ref="N48:P48"/>
    <mergeCell ref="N54:P54"/>
    <mergeCell ref="AA1:AA63"/>
    <mergeCell ref="B1:D1"/>
    <mergeCell ref="D40:D44"/>
    <mergeCell ref="R41:T41"/>
    <mergeCell ref="N38:P38"/>
    <mergeCell ref="R38:T38"/>
    <mergeCell ref="R43:T43"/>
    <mergeCell ref="L25:N25"/>
    <mergeCell ref="F34:H34"/>
    <mergeCell ref="F36:H36"/>
    <mergeCell ref="F38:H38"/>
    <mergeCell ref="J34:L34"/>
    <mergeCell ref="N34:P34"/>
    <mergeCell ref="S57:T57"/>
    <mergeCell ref="D45:D49"/>
    <mergeCell ref="F54:H54"/>
    <mergeCell ref="C21:D21"/>
    <mergeCell ref="B50:C52"/>
    <mergeCell ref="D50:D52"/>
    <mergeCell ref="C23:D23"/>
    <mergeCell ref="C25:D25"/>
    <mergeCell ref="D33:D39"/>
    <mergeCell ref="C29:D29"/>
    <mergeCell ref="C27:D27"/>
    <mergeCell ref="B33:C39"/>
    <mergeCell ref="D53:D55"/>
    <mergeCell ref="B40:C44"/>
    <mergeCell ref="B45:C49"/>
    <mergeCell ref="B53:C55"/>
    <mergeCell ref="F51:H51"/>
    <mergeCell ref="C11:D11"/>
    <mergeCell ref="C13:D13"/>
    <mergeCell ref="C15:D15"/>
    <mergeCell ref="C17:D17"/>
    <mergeCell ref="C19:D19"/>
  </mergeCells>
  <phoneticPr fontId="2" type="noConversion"/>
  <dataValidations count="1">
    <dataValidation type="list" allowBlank="1" showInputMessage="1" showErrorMessage="1" sqref="AE6:AE63" xr:uid="{6FF7FE5F-BBD7-467B-AC00-7BBAE86AEC29}">
      <formula1>#REF!</formula1>
    </dataValidation>
  </dataValidations>
  <printOptions horizontalCentered="1"/>
  <pageMargins left="0.39370078740157483" right="0.39370078740157483" top="0.39370078740157483" bottom="0.59055118110236227" header="0.31496062992125984" footer="0.15748031496062992"/>
  <pageSetup paperSize="8" scale="44" fitToHeight="0" orientation="landscape" r:id="rId2"/>
  <headerFooter>
    <oddFooter>&amp;L마지막 업데이트 날짜 : &amp;D&amp;CSmart Green (주)아키테코그룹&amp;R대표이사 이종일 010-8731-0424 / il@architeco.kr
이사 김선형 010-2108-1588 / ksh@architeco.kr</oddFooter>
  </headerFooter>
  <ignoredErrors>
    <ignoredError sqref="B9 B32" numberStoredAsText="1"/>
  </ignoredErrors>
  <drawing r:id="rId3"/>
  <extLst>
    <ext xmlns:x14="http://schemas.microsoft.com/office/spreadsheetml/2009/9/main" uri="{78C0D931-6437-407d-A8EE-F0AAD7539E65}">
      <x14:conditionalFormattings>
        <x14:conditionalFormatting xmlns:xm="http://schemas.microsoft.com/office/excel/2006/main">
          <x14:cfRule type="expression" priority="24" id="{8EF18230-6862-4113-B41A-C5BD9F2BAF66}">
            <xm:f>VLOOKUP(F34,판정결과LIST!$B:$D,3,FALSE)&lt;1</xm:f>
            <x14:dxf>
              <font>
                <b val="0"/>
                <i val="0"/>
                <color theme="0" tint="-0.499984740745262"/>
              </font>
              <fill>
                <patternFill>
                  <bgColor theme="0" tint="-4.9989318521683403E-2"/>
                </patternFill>
              </fill>
              <border>
                <left style="thin">
                  <color theme="0" tint="-0.499984740745262"/>
                </left>
                <right style="thin">
                  <color theme="0" tint="-0.499984740745262"/>
                </right>
                <top style="thin">
                  <color theme="0" tint="-0.499984740745262"/>
                </top>
                <bottom style="thin">
                  <color theme="0" tint="-0.499984740745262"/>
                </bottom>
                <vertical/>
                <horizontal/>
              </border>
            </x14:dxf>
          </x14:cfRule>
          <xm:sqref>F34:H34 J34:L34 N34:P34 R34:T34 F36:H36 J36:L36 N36:P36 R36:T36 F38:H38 J38:L38 F41:H41 J41:L41 N41:P41 R41:T41 F43:H43 J43:L43 F46:H46 J46:L46 N46:P46 R46:T46 F48:H48 F51:H51</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r:uid="{4D5E2174-3C9E-4977-A7D5-BC61F594F084}">
          <x14:formula1>
            <xm:f>'입력값 리스트(데이터 유효성)'!C50:C51</xm:f>
          </x14:formula1>
          <xm:sqref>F13:G13</xm:sqref>
        </x14:dataValidation>
        <x14:dataValidation type="list" allowBlank="1" showInputMessage="1" showErrorMessage="1" xr:uid="{E4220119-70EF-4B0C-98AE-7BB2E9A52AA5}">
          <x14:formula1>
            <xm:f>'입력값 리스트(데이터 유효성)'!C32:C34</xm:f>
          </x14:formula1>
          <xm:sqref>F15:G15</xm:sqref>
        </x14:dataValidation>
        <x14:dataValidation type="list" allowBlank="1" showInputMessage="1" showErrorMessage="1" xr:uid="{9602F09B-0239-4B86-AD59-F4893E4C8363}">
          <x14:formula1>
            <xm:f>'입력값 리스트(데이터 유효성)'!C22:C25</xm:f>
          </x14:formula1>
          <xm:sqref>F21:G21</xm:sqref>
        </x14:dataValidation>
        <x14:dataValidation type="list" allowBlank="1" showInputMessage="1" showErrorMessage="1" xr:uid="{BC7CE9FB-6CB1-4435-AE54-B6B238B1FDC5}">
          <x14:formula1>
            <xm:f>'입력값 리스트(데이터 유효성)'!C27:C30</xm:f>
          </x14:formula1>
          <xm:sqref>L13:N13</xm:sqref>
        </x14:dataValidation>
        <x14:dataValidation type="list" allowBlank="1" showInputMessage="1" showErrorMessage="1" xr:uid="{2467B261-D348-4DAC-B9DF-98E82D2E6CC7}">
          <x14:formula1>
            <xm:f>'입력값 리스트(데이터 유효성)'!C61:C63</xm:f>
          </x14:formula1>
          <xm:sqref>L15:N15</xm:sqref>
        </x14:dataValidation>
        <x14:dataValidation type="list" allowBlank="1" showInputMessage="1" showErrorMessage="1" xr:uid="{4AB473D7-AEC4-4DA8-B40C-5ED988328CEB}">
          <x14:formula1>
            <xm:f>'입력값 리스트(데이터 유효성)'!C36:C37</xm:f>
          </x14:formula1>
          <xm:sqref>L17:N17</xm:sqref>
        </x14:dataValidation>
        <x14:dataValidation type="list" allowBlank="1" showInputMessage="1" showErrorMessage="1" xr:uid="{EE922572-F003-476F-B550-EE7C1A5DE5DA}">
          <x14:formula1>
            <xm:f>'입력값 리스트(데이터 유효성)'!C47:C48</xm:f>
          </x14:formula1>
          <xm:sqref>L19:N19</xm:sqref>
        </x14:dataValidation>
        <x14:dataValidation type="list" allowBlank="1" showInputMessage="1" showErrorMessage="1" xr:uid="{515B6D61-0143-4F73-A046-6CF2ECB634AC}">
          <x14:formula1>
            <xm:f>'입력값 리스트(데이터 유효성)'!C55:C59</xm:f>
          </x14:formula1>
          <xm:sqref>L21:N21</xm:sqref>
        </x14:dataValidation>
        <x14:dataValidation type="list" allowBlank="1" showInputMessage="1" showErrorMessage="1" xr:uid="{D525E6A7-DD5B-441F-BBB9-A705CD2493FB}">
          <x14:formula1>
            <xm:f>'입력값 리스트(데이터 유효성)'!C2:C20</xm:f>
          </x14:formula1>
          <xm:sqref>F17:G17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4E60-CD32-475A-A63E-5BDDE46C58F0}">
  <sheetPr>
    <tabColor theme="1"/>
  </sheetPr>
  <dimension ref="A1:D10"/>
  <sheetViews>
    <sheetView zoomScale="70" zoomScaleNormal="70" workbookViewId="0">
      <selection activeCell="D14" sqref="D14"/>
    </sheetView>
  </sheetViews>
  <sheetFormatPr defaultRowHeight="16.5"/>
  <sheetData>
    <row r="1" spans="1:4">
      <c r="A1" s="2" t="s">
        <v>131</v>
      </c>
      <c r="B1" s="2"/>
      <c r="C1" s="2"/>
      <c r="D1" s="2"/>
    </row>
    <row r="2" spans="1:4">
      <c r="A2" s="58"/>
      <c r="B2" s="59"/>
      <c r="C2" s="60"/>
      <c r="D2" s="61"/>
    </row>
    <row r="3" spans="1:4">
      <c r="A3" s="2"/>
      <c r="B3" s="2"/>
      <c r="C3" s="2"/>
      <c r="D3" s="2"/>
    </row>
    <row r="4" spans="1:4">
      <c r="A4" s="62"/>
      <c r="B4" s="63"/>
      <c r="C4" s="64"/>
      <c r="D4" s="65"/>
    </row>
    <row r="5" spans="1:4">
      <c r="A5" s="2"/>
      <c r="B5" s="2"/>
      <c r="C5" s="2"/>
      <c r="D5" s="2"/>
    </row>
    <row r="6" spans="1:4">
      <c r="A6" s="2"/>
      <c r="B6" s="2"/>
      <c r="C6" s="2"/>
      <c r="D6" s="2"/>
    </row>
    <row r="7" spans="1:4">
      <c r="A7" s="57"/>
      <c r="B7" s="2"/>
      <c r="C7" s="2"/>
      <c r="D7" s="2"/>
    </row>
    <row r="8" spans="1:4">
      <c r="A8" s="55"/>
      <c r="B8" s="2"/>
      <c r="C8" s="2"/>
      <c r="D8" s="2"/>
    </row>
    <row r="9" spans="1:4">
      <c r="A9" s="54"/>
      <c r="B9" s="2"/>
      <c r="C9" s="2"/>
      <c r="D9" s="2"/>
    </row>
    <row r="10" spans="1:4">
      <c r="A10" s="2"/>
      <c r="B10" s="2"/>
      <c r="C10" s="2"/>
      <c r="D10" s="2"/>
    </row>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9041-4455-41A0-BAB7-81116F8648F7}">
  <sheetPr>
    <pageSetUpPr fitToPage="1"/>
  </sheetPr>
  <dimension ref="B2:Q17"/>
  <sheetViews>
    <sheetView showGridLines="0" zoomScaleNormal="100" zoomScaleSheetLayoutView="100" workbookViewId="0">
      <selection activeCell="P265" sqref="P265:P269"/>
    </sheetView>
  </sheetViews>
  <sheetFormatPr defaultColWidth="8.75" defaultRowHeight="13.5"/>
  <cols>
    <col min="1" max="1" width="8.75" style="2"/>
    <col min="2" max="2" width="0.875" style="2" customWidth="1"/>
    <col min="3" max="3" width="7.25" style="1" customWidth="1"/>
    <col min="4" max="4" width="21.125" style="2" customWidth="1"/>
    <col min="5" max="5" width="1.25" style="2" customWidth="1"/>
    <col min="6" max="6" width="8.75" style="18" customWidth="1"/>
    <col min="7" max="7" width="1.25" style="18" customWidth="1"/>
    <col min="8" max="8" width="8.75" style="2" customWidth="1"/>
    <col min="9" max="9" width="25.875" style="3" customWidth="1"/>
    <col min="10" max="10" width="1.25" style="18" customWidth="1"/>
    <col min="11" max="12" width="10.75" style="5" customWidth="1"/>
    <col min="13" max="13" width="10.75" style="2" customWidth="1"/>
    <col min="14" max="14" width="1.25" style="2" customWidth="1"/>
    <col min="15" max="15" width="1" style="18" customWidth="1"/>
    <col min="16" max="16" width="36.375" style="3" customWidth="1"/>
    <col min="17" max="17" width="1.75" style="3" customWidth="1"/>
    <col min="18" max="16384" width="8.75" style="2"/>
  </cols>
  <sheetData>
    <row r="2" spans="2:17" ht="17.45" customHeight="1">
      <c r="C2" s="12"/>
      <c r="D2" s="13"/>
      <c r="E2" s="13"/>
      <c r="K2" s="36" t="s">
        <v>19</v>
      </c>
      <c r="L2" s="35"/>
      <c r="M2" s="36" t="s">
        <v>22</v>
      </c>
      <c r="N2" s="30"/>
    </row>
    <row r="3" spans="2:17" ht="45.75" thickBot="1">
      <c r="B3" s="620" t="s">
        <v>0</v>
      </c>
      <c r="C3" s="620"/>
      <c r="D3" s="10" t="s">
        <v>1</v>
      </c>
      <c r="E3" s="10"/>
      <c r="F3" s="19"/>
      <c r="G3" s="19"/>
      <c r="H3" s="10"/>
      <c r="I3" s="11"/>
      <c r="J3" s="19"/>
      <c r="K3" s="28">
        <v>5.57</v>
      </c>
      <c r="L3" s="28" t="s">
        <v>23</v>
      </c>
      <c r="M3" s="29">
        <v>14</v>
      </c>
      <c r="N3" s="33"/>
      <c r="P3" s="34"/>
    </row>
    <row r="4" spans="2:17" ht="28.15" customHeight="1"/>
    <row r="5" spans="2:17" ht="17.25">
      <c r="B5" s="15"/>
      <c r="C5" s="9">
        <v>1.1000000000000001</v>
      </c>
      <c r="D5" s="8" t="s">
        <v>2</v>
      </c>
      <c r="E5" s="8"/>
      <c r="F5" s="4"/>
      <c r="G5" s="4"/>
      <c r="H5" s="3"/>
      <c r="J5" s="4"/>
      <c r="K5" s="16" t="s">
        <v>18</v>
      </c>
      <c r="L5" s="16" t="s">
        <v>13</v>
      </c>
      <c r="M5" s="16" t="s">
        <v>20</v>
      </c>
      <c r="O5" s="562" t="s">
        <v>25</v>
      </c>
      <c r="P5" s="562"/>
    </row>
    <row r="6" spans="2:17" ht="4.9000000000000004" customHeight="1" thickBot="1">
      <c r="C6" s="9"/>
      <c r="D6" s="8"/>
      <c r="E6" s="8"/>
      <c r="F6" s="4"/>
      <c r="G6" s="4"/>
      <c r="H6" s="9"/>
      <c r="J6" s="4"/>
      <c r="K6" s="2"/>
      <c r="L6" s="2"/>
      <c r="O6" s="593"/>
      <c r="P6" s="593"/>
    </row>
    <row r="7" spans="2:17" ht="19.899999999999999" customHeight="1" thickTop="1" thickBot="1">
      <c r="B7" s="594" t="s">
        <v>29</v>
      </c>
      <c r="C7" s="595"/>
      <c r="D7" s="596"/>
      <c r="E7" s="38"/>
      <c r="F7" s="603" t="s">
        <v>3</v>
      </c>
      <c r="G7" s="20"/>
      <c r="H7" s="7" t="s">
        <v>4</v>
      </c>
      <c r="I7" s="6" t="s">
        <v>14</v>
      </c>
      <c r="J7" s="556"/>
      <c r="K7" s="605" t="s">
        <v>18</v>
      </c>
      <c r="L7" s="606" t="s">
        <v>19</v>
      </c>
      <c r="M7" s="607" t="s">
        <v>21</v>
      </c>
      <c r="N7" s="31"/>
      <c r="O7" s="608"/>
      <c r="P7" s="611" t="s">
        <v>26</v>
      </c>
      <c r="Q7" s="26"/>
    </row>
    <row r="8" spans="2:17" ht="19.899999999999999" customHeight="1" thickTop="1">
      <c r="B8" s="597"/>
      <c r="C8" s="598"/>
      <c r="D8" s="599"/>
      <c r="E8" s="38"/>
      <c r="F8" s="604"/>
      <c r="G8" s="20"/>
      <c r="H8" s="22" t="s">
        <v>5</v>
      </c>
      <c r="I8" s="23" t="s">
        <v>15</v>
      </c>
      <c r="J8" s="556"/>
      <c r="K8" s="605"/>
      <c r="L8" s="606"/>
      <c r="M8" s="607"/>
      <c r="N8" s="31"/>
      <c r="O8" s="609"/>
      <c r="P8" s="612"/>
      <c r="Q8" s="26"/>
    </row>
    <row r="9" spans="2:17" ht="19.899999999999999" customHeight="1">
      <c r="B9" s="597"/>
      <c r="C9" s="598"/>
      <c r="D9" s="599"/>
      <c r="E9" s="38"/>
      <c r="F9" s="614">
        <v>2</v>
      </c>
      <c r="G9" s="21"/>
      <c r="H9" s="16" t="s">
        <v>6</v>
      </c>
      <c r="I9" s="24" t="s">
        <v>16</v>
      </c>
      <c r="J9" s="616"/>
      <c r="K9" s="617" t="s">
        <v>4</v>
      </c>
      <c r="L9" s="618">
        <v>2</v>
      </c>
      <c r="M9" s="619">
        <v>2</v>
      </c>
      <c r="N9" s="32"/>
      <c r="O9" s="609"/>
      <c r="P9" s="612"/>
      <c r="Q9" s="27"/>
    </row>
    <row r="10" spans="2:17" ht="19.899999999999999" customHeight="1">
      <c r="B10" s="600"/>
      <c r="C10" s="601"/>
      <c r="D10" s="602"/>
      <c r="E10" s="38"/>
      <c r="F10" s="615"/>
      <c r="G10" s="21"/>
      <c r="H10" s="17" t="s">
        <v>7</v>
      </c>
      <c r="I10" s="25" t="s">
        <v>17</v>
      </c>
      <c r="J10" s="616"/>
      <c r="K10" s="617"/>
      <c r="L10" s="618"/>
      <c r="M10" s="619"/>
      <c r="N10" s="32"/>
      <c r="O10" s="610"/>
      <c r="P10" s="613"/>
      <c r="Q10" s="27"/>
    </row>
    <row r="11" spans="2:17" ht="19.899999999999999" customHeight="1">
      <c r="C11" s="9"/>
      <c r="D11" s="8"/>
      <c r="E11" s="8"/>
      <c r="F11" s="4"/>
      <c r="G11" s="4"/>
      <c r="H11" s="9"/>
      <c r="J11" s="4"/>
      <c r="O11" s="4"/>
    </row>
    <row r="12" spans="2:17" ht="17.25">
      <c r="B12" s="15"/>
      <c r="C12" s="9">
        <v>1.2</v>
      </c>
      <c r="D12" s="8" t="s">
        <v>27</v>
      </c>
      <c r="E12" s="8"/>
      <c r="F12" s="4"/>
      <c r="G12" s="4"/>
      <c r="H12" s="3"/>
      <c r="J12" s="4"/>
      <c r="K12" s="2"/>
      <c r="L12" s="2"/>
      <c r="O12" s="562"/>
      <c r="P12" s="562"/>
    </row>
    <row r="13" spans="2:17" ht="18" thickBot="1">
      <c r="C13" s="9"/>
      <c r="D13" s="8"/>
      <c r="E13" s="8"/>
      <c r="F13" s="4"/>
      <c r="G13" s="4"/>
      <c r="H13" s="9"/>
      <c r="J13" s="4"/>
      <c r="K13" s="2"/>
      <c r="L13" s="2"/>
      <c r="O13" s="593"/>
      <c r="P13" s="593"/>
    </row>
    <row r="14" spans="2:17" ht="21.75" thickTop="1" thickBot="1">
      <c r="B14" s="594" t="s">
        <v>28</v>
      </c>
      <c r="C14" s="595"/>
      <c r="D14" s="596"/>
      <c r="E14" s="38"/>
      <c r="F14" s="603" t="s">
        <v>3</v>
      </c>
      <c r="G14" s="20"/>
      <c r="H14" s="7" t="s">
        <v>4</v>
      </c>
      <c r="I14" s="6" t="s">
        <v>31</v>
      </c>
      <c r="J14" s="556"/>
      <c r="K14" s="605" t="s">
        <v>18</v>
      </c>
      <c r="L14" s="606" t="s">
        <v>19</v>
      </c>
      <c r="M14" s="607" t="s">
        <v>21</v>
      </c>
      <c r="N14" s="31"/>
      <c r="O14" s="608"/>
      <c r="P14" s="611" t="s">
        <v>26</v>
      </c>
    </row>
    <row r="15" spans="2:17" ht="21" thickTop="1">
      <c r="B15" s="597"/>
      <c r="C15" s="598"/>
      <c r="D15" s="599"/>
      <c r="E15" s="38"/>
      <c r="F15" s="604"/>
      <c r="G15" s="20"/>
      <c r="H15" s="22" t="s">
        <v>5</v>
      </c>
      <c r="I15" s="23" t="s">
        <v>30</v>
      </c>
      <c r="J15" s="556"/>
      <c r="K15" s="605"/>
      <c r="L15" s="606"/>
      <c r="M15" s="607"/>
      <c r="N15" s="31"/>
      <c r="O15" s="609"/>
      <c r="P15" s="612"/>
    </row>
    <row r="16" spans="2:17" ht="20.25">
      <c r="B16" s="597"/>
      <c r="C16" s="598"/>
      <c r="D16" s="599"/>
      <c r="E16" s="38"/>
      <c r="F16" s="614">
        <v>3</v>
      </c>
      <c r="G16" s="21"/>
      <c r="H16" s="16" t="s">
        <v>6</v>
      </c>
      <c r="I16" s="24" t="s">
        <v>32</v>
      </c>
      <c r="J16" s="616"/>
      <c r="K16" s="617" t="s">
        <v>4</v>
      </c>
      <c r="L16" s="618">
        <v>2</v>
      </c>
      <c r="M16" s="619">
        <v>2</v>
      </c>
      <c r="N16" s="32"/>
      <c r="O16" s="609"/>
      <c r="P16" s="612"/>
    </row>
    <row r="17" spans="2:16" ht="20.25">
      <c r="B17" s="600"/>
      <c r="C17" s="601"/>
      <c r="D17" s="602"/>
      <c r="E17" s="38"/>
      <c r="F17" s="615"/>
      <c r="G17" s="21"/>
      <c r="H17" s="17" t="s">
        <v>7</v>
      </c>
      <c r="I17" s="25" t="s">
        <v>33</v>
      </c>
      <c r="J17" s="616"/>
      <c r="K17" s="617"/>
      <c r="L17" s="618"/>
      <c r="M17" s="619"/>
      <c r="N17" s="32"/>
      <c r="O17" s="610"/>
      <c r="P17" s="613"/>
    </row>
  </sheetData>
  <customSheetViews>
    <customSheetView guid="{2FF9C5C3-DD07-4AB5-B1DE-373B3F779921}" showGridLines="0" fitToPage="1">
      <selection activeCell="K25" sqref="K25"/>
      <colBreaks count="1" manualBreakCount="1">
        <brk id="16" max="1048575" man="1"/>
      </colBreaks>
      <pageMargins left="0.70866141732283472" right="0.70866141732283472" top="0.74803149606299213" bottom="0.74803149606299213" header="0.31496062992125984" footer="0.31496062992125984"/>
      <printOptions horizontalCentered="1"/>
      <pageSetup paperSize="9" scale="76" orientation="landscape" r:id="rId1"/>
    </customSheetView>
  </customSheetViews>
  <mergeCells count="31">
    <mergeCell ref="B3:C3"/>
    <mergeCell ref="O5:P5"/>
    <mergeCell ref="O6:P6"/>
    <mergeCell ref="B7:D10"/>
    <mergeCell ref="F7:F8"/>
    <mergeCell ref="J7:J8"/>
    <mergeCell ref="K7:K8"/>
    <mergeCell ref="L7:L8"/>
    <mergeCell ref="M7:M8"/>
    <mergeCell ref="O7:O10"/>
    <mergeCell ref="P7:P10"/>
    <mergeCell ref="F9:F10"/>
    <mergeCell ref="J9:J10"/>
    <mergeCell ref="K9:K10"/>
    <mergeCell ref="L9:L10"/>
    <mergeCell ref="M9:M10"/>
    <mergeCell ref="O12:P12"/>
    <mergeCell ref="O13:P13"/>
    <mergeCell ref="B14:D17"/>
    <mergeCell ref="F14:F15"/>
    <mergeCell ref="J14:J15"/>
    <mergeCell ref="K14:K15"/>
    <mergeCell ref="L14:L15"/>
    <mergeCell ref="M14:M15"/>
    <mergeCell ref="O14:O17"/>
    <mergeCell ref="P14:P17"/>
    <mergeCell ref="F16:F17"/>
    <mergeCell ref="J16:J17"/>
    <mergeCell ref="K16:K17"/>
    <mergeCell ref="L16:L17"/>
    <mergeCell ref="M16:M17"/>
  </mergeCells>
  <phoneticPr fontId="2" type="noConversion"/>
  <printOptions horizontalCentered="1"/>
  <pageMargins left="0.70866141732283472" right="0.70866141732283472" top="0.74803149606299213" bottom="0.74803149606299213" header="0.31496062992125984" footer="0.31496062992125984"/>
  <pageSetup paperSize="9" scale="76" orientation="landscape" r:id="rId2"/>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5EE-8A74-4101-9E18-F14CE99D5FCD}">
  <sheetPr>
    <tabColor theme="9"/>
    <pageSetUpPr fitToPage="1"/>
  </sheetPr>
  <dimension ref="B1:AE56"/>
  <sheetViews>
    <sheetView showGridLines="0" zoomScale="70" zoomScaleNormal="70" zoomScaleSheetLayoutView="70" zoomScalePageLayoutView="55" workbookViewId="0">
      <selection activeCell="B21" sqref="B21:U35"/>
    </sheetView>
  </sheetViews>
  <sheetFormatPr defaultColWidth="8.75" defaultRowHeight="16.5"/>
  <cols>
    <col min="1" max="1" width="3.25" style="2" customWidth="1"/>
    <col min="2" max="2" width="5.625" style="223" customWidth="1"/>
    <col min="3" max="3" width="15.75" style="223" customWidth="1"/>
    <col min="4" max="4" width="15.75" style="18" customWidth="1"/>
    <col min="5" max="5" width="2.75" style="18" customWidth="1"/>
    <col min="6" max="8" width="15.75" style="18" customWidth="1"/>
    <col min="9" max="9" width="1.75" style="227" customWidth="1"/>
    <col min="10" max="10" width="20.75" style="18" customWidth="1"/>
    <col min="11" max="11" width="10.75" style="18" customWidth="1"/>
    <col min="12" max="12" width="15.75" style="18" customWidth="1"/>
    <col min="13" max="13" width="1.75" style="18" customWidth="1"/>
    <col min="14" max="14" width="14.75" style="18" customWidth="1"/>
    <col min="15" max="15" width="16.75" style="18" customWidth="1"/>
    <col min="16" max="16" width="15.75" style="18" customWidth="1"/>
    <col min="17" max="17" width="1.75" style="18" customWidth="1"/>
    <col min="18" max="20" width="15.75" style="2" customWidth="1"/>
    <col min="21" max="21" width="2.75" style="14" customWidth="1"/>
    <col min="22" max="22" width="30.75" style="14" customWidth="1"/>
    <col min="23" max="23" width="4.375" style="5" bestFit="1" customWidth="1"/>
    <col min="24" max="24" width="2.625" style="18" customWidth="1"/>
    <col min="25" max="25" width="45.75" style="189" customWidth="1"/>
    <col min="26" max="26" width="33.875" style="14" customWidth="1"/>
    <col min="27" max="27" width="30.125" style="2" customWidth="1"/>
    <col min="28" max="30" width="8.75" style="2"/>
    <col min="31" max="31" width="33.875" style="14" customWidth="1"/>
    <col min="32" max="16384" width="8.75" style="2"/>
  </cols>
  <sheetData>
    <row r="1" spans="2:31" ht="51" customHeight="1">
      <c r="B1" s="449" t="s">
        <v>729</v>
      </c>
      <c r="C1" s="449"/>
      <c r="D1" s="449"/>
      <c r="E1" s="449"/>
      <c r="F1" s="449"/>
      <c r="G1" s="449"/>
      <c r="H1" s="449"/>
      <c r="I1" s="449"/>
      <c r="J1" s="449"/>
      <c r="K1" s="449"/>
      <c r="L1" s="449"/>
      <c r="M1" s="449"/>
      <c r="N1" s="449"/>
      <c r="O1" s="449"/>
      <c r="P1" s="449"/>
      <c r="Q1" s="449"/>
      <c r="R1" s="449"/>
      <c r="S1" s="449"/>
      <c r="T1" s="449"/>
      <c r="U1" s="449"/>
      <c r="V1" s="228"/>
      <c r="W1" s="228"/>
      <c r="X1" s="176"/>
      <c r="Y1" s="188"/>
      <c r="AA1" s="424"/>
      <c r="AE1" s="170"/>
    </row>
    <row r="2" spans="2:31" ht="25.15" customHeight="1">
      <c r="B2" s="174"/>
      <c r="C2" s="233"/>
      <c r="D2" s="233"/>
      <c r="E2" s="233"/>
      <c r="F2" s="233"/>
      <c r="G2" s="233"/>
      <c r="H2" s="233"/>
      <c r="I2" s="232"/>
      <c r="J2" s="231"/>
      <c r="K2" s="231"/>
      <c r="L2" s="231"/>
      <c r="M2" s="231"/>
      <c r="N2" s="231"/>
      <c r="O2" s="231"/>
      <c r="P2" s="231"/>
      <c r="Q2" s="231"/>
      <c r="R2" s="235"/>
      <c r="S2" s="235"/>
      <c r="T2" s="235"/>
      <c r="U2" s="176"/>
      <c r="V2" s="228"/>
      <c r="W2" s="228"/>
      <c r="X2" s="176"/>
      <c r="Y2" s="188"/>
      <c r="AA2" s="424"/>
      <c r="AE2" s="170"/>
    </row>
    <row r="3" spans="2:31" ht="25.15" customHeight="1" thickBot="1">
      <c r="B3" s="387" t="s">
        <v>722</v>
      </c>
      <c r="C3" s="233"/>
      <c r="D3" s="233"/>
      <c r="E3" s="233"/>
      <c r="F3" s="233"/>
      <c r="G3" s="233"/>
      <c r="H3" s="233"/>
      <c r="I3" s="232"/>
      <c r="J3" s="231"/>
      <c r="K3" s="231"/>
      <c r="L3" s="231"/>
      <c r="M3" s="231"/>
      <c r="N3" s="231"/>
      <c r="O3" s="231"/>
      <c r="P3" s="231"/>
      <c r="Q3" s="231"/>
      <c r="R3" s="235"/>
      <c r="S3" s="235"/>
      <c r="T3" s="235"/>
      <c r="U3" s="176"/>
      <c r="V3" s="228"/>
      <c r="W3" s="228"/>
      <c r="X3" s="176"/>
      <c r="Y3" s="188"/>
      <c r="AA3" s="424"/>
      <c r="AE3" s="170"/>
    </row>
    <row r="4" spans="2:31" ht="25.15" customHeight="1" thickTop="1">
      <c r="B4" s="450" t="s">
        <v>728</v>
      </c>
      <c r="C4" s="451"/>
      <c r="D4" s="451"/>
      <c r="E4" s="451"/>
      <c r="F4" s="451"/>
      <c r="G4" s="451"/>
      <c r="H4" s="451"/>
      <c r="I4" s="451"/>
      <c r="J4" s="451"/>
      <c r="K4" s="451"/>
      <c r="L4" s="451"/>
      <c r="M4" s="451"/>
      <c r="N4" s="451"/>
      <c r="O4" s="451"/>
      <c r="P4" s="451"/>
      <c r="Q4" s="451"/>
      <c r="R4" s="451"/>
      <c r="S4" s="451"/>
      <c r="T4" s="451"/>
      <c r="U4" s="452"/>
      <c r="V4" s="228"/>
      <c r="W4" s="228"/>
      <c r="X4" s="176"/>
      <c r="Y4" s="188"/>
      <c r="AA4" s="424"/>
      <c r="AE4" s="170"/>
    </row>
    <row r="5" spans="2:31" ht="25.15" customHeight="1">
      <c r="B5" s="453"/>
      <c r="C5" s="454"/>
      <c r="D5" s="454"/>
      <c r="E5" s="454"/>
      <c r="F5" s="454"/>
      <c r="G5" s="454"/>
      <c r="H5" s="454"/>
      <c r="I5" s="454"/>
      <c r="J5" s="454"/>
      <c r="K5" s="454"/>
      <c r="L5" s="454"/>
      <c r="M5" s="454"/>
      <c r="N5" s="454"/>
      <c r="O5" s="454"/>
      <c r="P5" s="454"/>
      <c r="Q5" s="454"/>
      <c r="R5" s="454"/>
      <c r="S5" s="454"/>
      <c r="T5" s="454"/>
      <c r="U5" s="455"/>
      <c r="V5" s="228"/>
      <c r="W5" s="228"/>
      <c r="X5" s="176"/>
      <c r="Y5" s="188"/>
      <c r="AA5" s="424"/>
      <c r="AE5" s="170"/>
    </row>
    <row r="6" spans="2:31" ht="25.15" customHeight="1">
      <c r="B6" s="453"/>
      <c r="C6" s="454"/>
      <c r="D6" s="454"/>
      <c r="E6" s="454"/>
      <c r="F6" s="454"/>
      <c r="G6" s="454"/>
      <c r="H6" s="454"/>
      <c r="I6" s="454"/>
      <c r="J6" s="454"/>
      <c r="K6" s="454"/>
      <c r="L6" s="454"/>
      <c r="M6" s="454"/>
      <c r="N6" s="454"/>
      <c r="O6" s="454"/>
      <c r="P6" s="454"/>
      <c r="Q6" s="454"/>
      <c r="R6" s="454"/>
      <c r="S6" s="454"/>
      <c r="T6" s="454"/>
      <c r="U6" s="455"/>
      <c r="W6" s="228"/>
      <c r="X6" s="176"/>
      <c r="Y6" s="188"/>
      <c r="AA6" s="424"/>
      <c r="AE6" s="170"/>
    </row>
    <row r="7" spans="2:31" ht="25.15" customHeight="1">
      <c r="B7" s="453"/>
      <c r="C7" s="454"/>
      <c r="D7" s="454"/>
      <c r="E7" s="454"/>
      <c r="F7" s="454"/>
      <c r="G7" s="454"/>
      <c r="H7" s="454"/>
      <c r="I7" s="454"/>
      <c r="J7" s="454"/>
      <c r="K7" s="454"/>
      <c r="L7" s="454"/>
      <c r="M7" s="454"/>
      <c r="N7" s="454"/>
      <c r="O7" s="454"/>
      <c r="P7" s="454"/>
      <c r="Q7" s="454"/>
      <c r="R7" s="454"/>
      <c r="S7" s="454"/>
      <c r="T7" s="454"/>
      <c r="U7" s="455"/>
      <c r="V7" s="228"/>
      <c r="W7" s="228"/>
      <c r="X7" s="176"/>
      <c r="Y7" s="188"/>
      <c r="AA7" s="424"/>
      <c r="AE7" s="170"/>
    </row>
    <row r="8" spans="2:31" ht="25.15" customHeight="1">
      <c r="B8" s="453"/>
      <c r="C8" s="454"/>
      <c r="D8" s="454"/>
      <c r="E8" s="454"/>
      <c r="F8" s="454"/>
      <c r="G8" s="454"/>
      <c r="H8" s="454"/>
      <c r="I8" s="454"/>
      <c r="J8" s="454"/>
      <c r="K8" s="454"/>
      <c r="L8" s="454"/>
      <c r="M8" s="454"/>
      <c r="N8" s="454"/>
      <c r="O8" s="454"/>
      <c r="P8" s="454"/>
      <c r="Q8" s="454"/>
      <c r="R8" s="454"/>
      <c r="S8" s="454"/>
      <c r="T8" s="454"/>
      <c r="U8" s="455"/>
      <c r="V8" s="228"/>
      <c r="W8" s="228"/>
      <c r="X8" s="176"/>
      <c r="Y8" s="188"/>
      <c r="AA8" s="424"/>
      <c r="AE8" s="170"/>
    </row>
    <row r="9" spans="2:31" ht="25.15" customHeight="1">
      <c r="B9" s="453"/>
      <c r="C9" s="454"/>
      <c r="D9" s="454"/>
      <c r="E9" s="454"/>
      <c r="F9" s="454"/>
      <c r="G9" s="454"/>
      <c r="H9" s="454"/>
      <c r="I9" s="454"/>
      <c r="J9" s="454"/>
      <c r="K9" s="454"/>
      <c r="L9" s="454"/>
      <c r="M9" s="454"/>
      <c r="N9" s="454"/>
      <c r="O9" s="454"/>
      <c r="P9" s="454"/>
      <c r="Q9" s="454"/>
      <c r="R9" s="454"/>
      <c r="S9" s="454"/>
      <c r="T9" s="454"/>
      <c r="U9" s="455"/>
      <c r="V9" s="228"/>
      <c r="W9" s="228"/>
      <c r="X9" s="176"/>
      <c r="Y9" s="188"/>
      <c r="AA9" s="424"/>
      <c r="AE9" s="170"/>
    </row>
    <row r="10" spans="2:31" ht="25.15" customHeight="1">
      <c r="B10" s="453"/>
      <c r="C10" s="454"/>
      <c r="D10" s="454"/>
      <c r="E10" s="454"/>
      <c r="F10" s="454"/>
      <c r="G10" s="454"/>
      <c r="H10" s="454"/>
      <c r="I10" s="454"/>
      <c r="J10" s="454"/>
      <c r="K10" s="454"/>
      <c r="L10" s="454"/>
      <c r="M10" s="454"/>
      <c r="N10" s="454"/>
      <c r="O10" s="454"/>
      <c r="P10" s="454"/>
      <c r="Q10" s="454"/>
      <c r="R10" s="454"/>
      <c r="S10" s="454"/>
      <c r="T10" s="454"/>
      <c r="U10" s="455"/>
      <c r="V10" s="176"/>
      <c r="W10" s="176"/>
      <c r="X10" s="176"/>
      <c r="Y10" s="188"/>
      <c r="AA10" s="424"/>
      <c r="AE10" s="170"/>
    </row>
    <row r="11" spans="2:31" ht="25.15" customHeight="1">
      <c r="B11" s="453"/>
      <c r="C11" s="454"/>
      <c r="D11" s="454"/>
      <c r="E11" s="454"/>
      <c r="F11" s="454"/>
      <c r="G11" s="454"/>
      <c r="H11" s="454"/>
      <c r="I11" s="454"/>
      <c r="J11" s="454"/>
      <c r="K11" s="454"/>
      <c r="L11" s="454"/>
      <c r="M11" s="454"/>
      <c r="N11" s="454"/>
      <c r="O11" s="454"/>
      <c r="P11" s="454"/>
      <c r="Q11" s="454"/>
      <c r="R11" s="454"/>
      <c r="S11" s="454"/>
      <c r="T11" s="454"/>
      <c r="U11" s="455"/>
      <c r="V11" s="176"/>
      <c r="W11" s="176"/>
      <c r="X11" s="176"/>
      <c r="Y11" s="188"/>
      <c r="AA11" s="424"/>
      <c r="AE11" s="170"/>
    </row>
    <row r="12" spans="2:31" ht="25.15" customHeight="1">
      <c r="B12" s="453"/>
      <c r="C12" s="454"/>
      <c r="D12" s="454"/>
      <c r="E12" s="454"/>
      <c r="F12" s="454"/>
      <c r="G12" s="454"/>
      <c r="H12" s="454"/>
      <c r="I12" s="454"/>
      <c r="J12" s="454"/>
      <c r="K12" s="454"/>
      <c r="L12" s="454"/>
      <c r="M12" s="454"/>
      <c r="N12" s="454"/>
      <c r="O12" s="454"/>
      <c r="P12" s="454"/>
      <c r="Q12" s="454"/>
      <c r="R12" s="454"/>
      <c r="S12" s="454"/>
      <c r="T12" s="454"/>
      <c r="U12" s="455"/>
      <c r="V12" s="176"/>
      <c r="W12" s="176"/>
      <c r="X12" s="176"/>
      <c r="Y12" s="188"/>
      <c r="AA12" s="424"/>
      <c r="AE12" s="170"/>
    </row>
    <row r="13" spans="2:31" ht="25.15" customHeight="1">
      <c r="B13" s="453"/>
      <c r="C13" s="454"/>
      <c r="D13" s="454"/>
      <c r="E13" s="454"/>
      <c r="F13" s="454"/>
      <c r="G13" s="454"/>
      <c r="H13" s="454"/>
      <c r="I13" s="454"/>
      <c r="J13" s="454"/>
      <c r="K13" s="454"/>
      <c r="L13" s="454"/>
      <c r="M13" s="454"/>
      <c r="N13" s="454"/>
      <c r="O13" s="454"/>
      <c r="P13" s="454"/>
      <c r="Q13" s="454"/>
      <c r="R13" s="454"/>
      <c r="S13" s="454"/>
      <c r="T13" s="454"/>
      <c r="U13" s="455"/>
      <c r="V13" s="176"/>
      <c r="W13" s="176"/>
      <c r="X13" s="176"/>
      <c r="Y13" s="188"/>
      <c r="AA13" s="424"/>
      <c r="AE13" s="170"/>
    </row>
    <row r="14" spans="2:31" ht="25.15" customHeight="1">
      <c r="B14" s="453"/>
      <c r="C14" s="454"/>
      <c r="D14" s="454"/>
      <c r="E14" s="454"/>
      <c r="F14" s="454"/>
      <c r="G14" s="454"/>
      <c r="H14" s="454"/>
      <c r="I14" s="454"/>
      <c r="J14" s="454"/>
      <c r="K14" s="454"/>
      <c r="L14" s="454"/>
      <c r="M14" s="454"/>
      <c r="N14" s="454"/>
      <c r="O14" s="454"/>
      <c r="P14" s="454"/>
      <c r="Q14" s="454"/>
      <c r="R14" s="454"/>
      <c r="S14" s="454"/>
      <c r="T14" s="454"/>
      <c r="U14" s="455"/>
      <c r="V14" s="176"/>
      <c r="W14" s="176"/>
      <c r="X14" s="176"/>
      <c r="Y14" s="188"/>
      <c r="AA14" s="424"/>
      <c r="AE14" s="170"/>
    </row>
    <row r="15" spans="2:31" ht="25.15" customHeight="1">
      <c r="B15" s="453"/>
      <c r="C15" s="454"/>
      <c r="D15" s="454"/>
      <c r="E15" s="454"/>
      <c r="F15" s="454"/>
      <c r="G15" s="454"/>
      <c r="H15" s="454"/>
      <c r="I15" s="454"/>
      <c r="J15" s="454"/>
      <c r="K15" s="454"/>
      <c r="L15" s="454"/>
      <c r="M15" s="454"/>
      <c r="N15" s="454"/>
      <c r="O15" s="454"/>
      <c r="P15" s="454"/>
      <c r="Q15" s="454"/>
      <c r="R15" s="454"/>
      <c r="S15" s="454"/>
      <c r="T15" s="454"/>
      <c r="U15" s="455"/>
      <c r="V15" s="176"/>
      <c r="W15" s="176"/>
      <c r="X15" s="176"/>
      <c r="Y15" s="188"/>
      <c r="AA15" s="424"/>
      <c r="AE15" s="170"/>
    </row>
    <row r="16" spans="2:31" ht="25.15" customHeight="1">
      <c r="B16" s="453"/>
      <c r="C16" s="454"/>
      <c r="D16" s="454"/>
      <c r="E16" s="454"/>
      <c r="F16" s="454"/>
      <c r="G16" s="454"/>
      <c r="H16" s="454"/>
      <c r="I16" s="454"/>
      <c r="J16" s="454"/>
      <c r="K16" s="454"/>
      <c r="L16" s="454"/>
      <c r="M16" s="454"/>
      <c r="N16" s="454"/>
      <c r="O16" s="454"/>
      <c r="P16" s="454"/>
      <c r="Q16" s="454"/>
      <c r="R16" s="454"/>
      <c r="S16" s="454"/>
      <c r="T16" s="454"/>
      <c r="U16" s="455"/>
      <c r="V16" s="176"/>
      <c r="W16" s="176"/>
      <c r="X16" s="176"/>
      <c r="Y16" s="188"/>
      <c r="AA16" s="424"/>
      <c r="AE16" s="170"/>
    </row>
    <row r="17" spans="2:31" ht="25.15" customHeight="1">
      <c r="B17" s="453"/>
      <c r="C17" s="454"/>
      <c r="D17" s="454"/>
      <c r="E17" s="454"/>
      <c r="F17" s="454"/>
      <c r="G17" s="454"/>
      <c r="H17" s="454"/>
      <c r="I17" s="454"/>
      <c r="J17" s="454"/>
      <c r="K17" s="454"/>
      <c r="L17" s="454"/>
      <c r="M17" s="454"/>
      <c r="N17" s="454"/>
      <c r="O17" s="454"/>
      <c r="P17" s="454"/>
      <c r="Q17" s="454"/>
      <c r="R17" s="454"/>
      <c r="S17" s="454"/>
      <c r="T17" s="454"/>
      <c r="U17" s="455"/>
      <c r="V17" s="176"/>
      <c r="W17" s="176"/>
      <c r="X17" s="176"/>
      <c r="Y17" s="188"/>
      <c r="AA17" s="424"/>
      <c r="AE17" s="170"/>
    </row>
    <row r="18" spans="2:31" ht="25.15" customHeight="1" thickBot="1">
      <c r="B18" s="456"/>
      <c r="C18" s="457"/>
      <c r="D18" s="457"/>
      <c r="E18" s="457"/>
      <c r="F18" s="457"/>
      <c r="G18" s="457"/>
      <c r="H18" s="457"/>
      <c r="I18" s="457"/>
      <c r="J18" s="457"/>
      <c r="K18" s="457"/>
      <c r="L18" s="457"/>
      <c r="M18" s="457"/>
      <c r="N18" s="457"/>
      <c r="O18" s="457"/>
      <c r="P18" s="457"/>
      <c r="Q18" s="457"/>
      <c r="R18" s="457"/>
      <c r="S18" s="457"/>
      <c r="T18" s="457"/>
      <c r="U18" s="458"/>
      <c r="V18" s="176"/>
      <c r="W18" s="176"/>
      <c r="X18" s="176"/>
      <c r="Y18" s="188"/>
      <c r="AA18" s="424"/>
      <c r="AE18" s="170"/>
    </row>
    <row r="19" spans="2:31" ht="25.15" customHeight="1" thickTop="1">
      <c r="B19" s="151"/>
      <c r="C19" s="151"/>
      <c r="D19" s="176"/>
      <c r="E19" s="176"/>
      <c r="F19" s="224"/>
      <c r="G19" s="224"/>
      <c r="H19" s="224"/>
      <c r="I19" s="224"/>
      <c r="J19" s="176"/>
      <c r="K19" s="176"/>
      <c r="L19" s="176"/>
      <c r="M19" s="176"/>
      <c r="N19" s="176"/>
      <c r="O19" s="176"/>
      <c r="P19" s="176"/>
      <c r="Q19" s="176"/>
      <c r="R19" s="176"/>
      <c r="S19" s="176"/>
      <c r="T19" s="176"/>
      <c r="U19" s="176"/>
      <c r="V19" s="176"/>
      <c r="W19" s="176"/>
      <c r="X19" s="176"/>
      <c r="Y19" s="188"/>
      <c r="AA19" s="424"/>
      <c r="AE19" s="170"/>
    </row>
    <row r="20" spans="2:31" ht="25.15" customHeight="1" thickBot="1">
      <c r="B20" s="387" t="s">
        <v>723</v>
      </c>
      <c r="C20" s="233"/>
      <c r="D20" s="233"/>
      <c r="E20" s="233"/>
      <c r="F20" s="233"/>
      <c r="G20" s="233"/>
      <c r="H20" s="233"/>
      <c r="I20" s="232"/>
      <c r="J20" s="231"/>
      <c r="K20" s="231"/>
      <c r="L20" s="231"/>
      <c r="M20" s="231"/>
      <c r="N20" s="231"/>
      <c r="O20" s="231"/>
      <c r="P20" s="231"/>
      <c r="Q20" s="231"/>
      <c r="R20" s="235"/>
      <c r="S20" s="235"/>
      <c r="T20" s="235"/>
      <c r="U20" s="176"/>
      <c r="V20" s="228"/>
      <c r="W20" s="228"/>
      <c r="X20" s="176"/>
      <c r="Y20" s="188"/>
      <c r="AA20" s="424"/>
      <c r="AE20" s="170"/>
    </row>
    <row r="21" spans="2:31" ht="25.15" customHeight="1" thickTop="1">
      <c r="B21" s="450" t="s">
        <v>727</v>
      </c>
      <c r="C21" s="451"/>
      <c r="D21" s="451"/>
      <c r="E21" s="451"/>
      <c r="F21" s="451"/>
      <c r="G21" s="451"/>
      <c r="H21" s="451"/>
      <c r="I21" s="451"/>
      <c r="J21" s="451"/>
      <c r="K21" s="451"/>
      <c r="L21" s="451"/>
      <c r="M21" s="451"/>
      <c r="N21" s="451"/>
      <c r="O21" s="451"/>
      <c r="P21" s="451"/>
      <c r="Q21" s="451"/>
      <c r="R21" s="451"/>
      <c r="S21" s="451"/>
      <c r="T21" s="451"/>
      <c r="U21" s="452"/>
      <c r="V21" s="228"/>
      <c r="W21" s="228"/>
      <c r="X21" s="176"/>
      <c r="Y21" s="188"/>
      <c r="AA21" s="424"/>
      <c r="AE21" s="170"/>
    </row>
    <row r="22" spans="2:31" ht="25.15" customHeight="1">
      <c r="B22" s="453"/>
      <c r="C22" s="454"/>
      <c r="D22" s="454"/>
      <c r="E22" s="454"/>
      <c r="F22" s="454"/>
      <c r="G22" s="454"/>
      <c r="H22" s="454"/>
      <c r="I22" s="454"/>
      <c r="J22" s="454"/>
      <c r="K22" s="454"/>
      <c r="L22" s="454"/>
      <c r="M22" s="454"/>
      <c r="N22" s="454"/>
      <c r="O22" s="454"/>
      <c r="P22" s="454"/>
      <c r="Q22" s="454"/>
      <c r="R22" s="454"/>
      <c r="S22" s="454"/>
      <c r="T22" s="454"/>
      <c r="U22" s="455"/>
      <c r="V22" s="228"/>
      <c r="W22" s="228"/>
      <c r="X22" s="176"/>
      <c r="Y22" s="188"/>
      <c r="AA22" s="424"/>
      <c r="AE22" s="170"/>
    </row>
    <row r="23" spans="2:31" ht="25.15" customHeight="1">
      <c r="B23" s="453"/>
      <c r="C23" s="454"/>
      <c r="D23" s="454"/>
      <c r="E23" s="454"/>
      <c r="F23" s="454"/>
      <c r="G23" s="454"/>
      <c r="H23" s="454"/>
      <c r="I23" s="454"/>
      <c r="J23" s="454"/>
      <c r="K23" s="454"/>
      <c r="L23" s="454"/>
      <c r="M23" s="454"/>
      <c r="N23" s="454"/>
      <c r="O23" s="454"/>
      <c r="P23" s="454"/>
      <c r="Q23" s="454"/>
      <c r="R23" s="454"/>
      <c r="S23" s="454"/>
      <c r="T23" s="454"/>
      <c r="U23" s="455"/>
      <c r="W23" s="228"/>
      <c r="X23" s="176"/>
      <c r="Y23" s="188"/>
      <c r="AA23" s="424"/>
      <c r="AE23" s="170"/>
    </row>
    <row r="24" spans="2:31" ht="25.15" customHeight="1">
      <c r="B24" s="453"/>
      <c r="C24" s="454"/>
      <c r="D24" s="454"/>
      <c r="E24" s="454"/>
      <c r="F24" s="454"/>
      <c r="G24" s="454"/>
      <c r="H24" s="454"/>
      <c r="I24" s="454"/>
      <c r="J24" s="454"/>
      <c r="K24" s="454"/>
      <c r="L24" s="454"/>
      <c r="M24" s="454"/>
      <c r="N24" s="454"/>
      <c r="O24" s="454"/>
      <c r="P24" s="454"/>
      <c r="Q24" s="454"/>
      <c r="R24" s="454"/>
      <c r="S24" s="454"/>
      <c r="T24" s="454"/>
      <c r="U24" s="455"/>
      <c r="V24" s="228"/>
      <c r="W24" s="228"/>
      <c r="X24" s="176"/>
      <c r="Y24" s="188"/>
      <c r="AA24" s="424"/>
      <c r="AE24" s="170"/>
    </row>
    <row r="25" spans="2:31" ht="25.15" customHeight="1">
      <c r="B25" s="453"/>
      <c r="C25" s="454"/>
      <c r="D25" s="454"/>
      <c r="E25" s="454"/>
      <c r="F25" s="454"/>
      <c r="G25" s="454"/>
      <c r="H25" s="454"/>
      <c r="I25" s="454"/>
      <c r="J25" s="454"/>
      <c r="K25" s="454"/>
      <c r="L25" s="454"/>
      <c r="M25" s="454"/>
      <c r="N25" s="454"/>
      <c r="O25" s="454"/>
      <c r="P25" s="454"/>
      <c r="Q25" s="454"/>
      <c r="R25" s="454"/>
      <c r="S25" s="454"/>
      <c r="T25" s="454"/>
      <c r="U25" s="455"/>
      <c r="V25" s="228"/>
      <c r="W25" s="228"/>
      <c r="X25" s="176"/>
      <c r="Y25" s="188"/>
      <c r="AA25" s="424"/>
      <c r="AE25" s="170"/>
    </row>
    <row r="26" spans="2:31" ht="25.15" customHeight="1">
      <c r="B26" s="453"/>
      <c r="C26" s="454"/>
      <c r="D26" s="454"/>
      <c r="E26" s="454"/>
      <c r="F26" s="454"/>
      <c r="G26" s="454"/>
      <c r="H26" s="454"/>
      <c r="I26" s="454"/>
      <c r="J26" s="454"/>
      <c r="K26" s="454"/>
      <c r="L26" s="454"/>
      <c r="M26" s="454"/>
      <c r="N26" s="454"/>
      <c r="O26" s="454"/>
      <c r="P26" s="454"/>
      <c r="Q26" s="454"/>
      <c r="R26" s="454"/>
      <c r="S26" s="454"/>
      <c r="T26" s="454"/>
      <c r="U26" s="455"/>
      <c r="V26" s="228"/>
      <c r="W26" s="228"/>
      <c r="X26" s="176"/>
      <c r="Y26" s="188"/>
      <c r="AA26" s="424"/>
      <c r="AE26" s="170"/>
    </row>
    <row r="27" spans="2:31" ht="25.15" customHeight="1">
      <c r="B27" s="453"/>
      <c r="C27" s="454"/>
      <c r="D27" s="454"/>
      <c r="E27" s="454"/>
      <c r="F27" s="454"/>
      <c r="G27" s="454"/>
      <c r="H27" s="454"/>
      <c r="I27" s="454"/>
      <c r="J27" s="454"/>
      <c r="K27" s="454"/>
      <c r="L27" s="454"/>
      <c r="M27" s="454"/>
      <c r="N27" s="454"/>
      <c r="O27" s="454"/>
      <c r="P27" s="454"/>
      <c r="Q27" s="454"/>
      <c r="R27" s="454"/>
      <c r="S27" s="454"/>
      <c r="T27" s="454"/>
      <c r="U27" s="455"/>
      <c r="V27" s="176"/>
      <c r="W27" s="176"/>
      <c r="X27" s="176"/>
      <c r="Y27" s="188"/>
      <c r="AA27" s="424"/>
      <c r="AE27" s="170"/>
    </row>
    <row r="28" spans="2:31" ht="25.15" customHeight="1">
      <c r="B28" s="453"/>
      <c r="C28" s="454"/>
      <c r="D28" s="454"/>
      <c r="E28" s="454"/>
      <c r="F28" s="454"/>
      <c r="G28" s="454"/>
      <c r="H28" s="454"/>
      <c r="I28" s="454"/>
      <c r="J28" s="454"/>
      <c r="K28" s="454"/>
      <c r="L28" s="454"/>
      <c r="M28" s="454"/>
      <c r="N28" s="454"/>
      <c r="O28" s="454"/>
      <c r="P28" s="454"/>
      <c r="Q28" s="454"/>
      <c r="R28" s="454"/>
      <c r="S28" s="454"/>
      <c r="T28" s="454"/>
      <c r="U28" s="455"/>
      <c r="V28" s="176"/>
      <c r="W28" s="176"/>
      <c r="X28" s="176"/>
      <c r="Y28" s="188"/>
      <c r="AA28" s="424"/>
      <c r="AE28" s="170"/>
    </row>
    <row r="29" spans="2:31" ht="25.15" customHeight="1">
      <c r="B29" s="453"/>
      <c r="C29" s="454"/>
      <c r="D29" s="454"/>
      <c r="E29" s="454"/>
      <c r="F29" s="454"/>
      <c r="G29" s="454"/>
      <c r="H29" s="454"/>
      <c r="I29" s="454"/>
      <c r="J29" s="454"/>
      <c r="K29" s="454"/>
      <c r="L29" s="454"/>
      <c r="M29" s="454"/>
      <c r="N29" s="454"/>
      <c r="O29" s="454"/>
      <c r="P29" s="454"/>
      <c r="Q29" s="454"/>
      <c r="R29" s="454"/>
      <c r="S29" s="454"/>
      <c r="T29" s="454"/>
      <c r="U29" s="455"/>
      <c r="V29" s="176"/>
      <c r="W29" s="176"/>
      <c r="X29" s="176"/>
      <c r="Y29" s="188"/>
      <c r="AA29" s="424"/>
      <c r="AE29" s="170"/>
    </row>
    <row r="30" spans="2:31" ht="25.15" customHeight="1">
      <c r="B30" s="453"/>
      <c r="C30" s="454"/>
      <c r="D30" s="454"/>
      <c r="E30" s="454"/>
      <c r="F30" s="454"/>
      <c r="G30" s="454"/>
      <c r="H30" s="454"/>
      <c r="I30" s="454"/>
      <c r="J30" s="454"/>
      <c r="K30" s="454"/>
      <c r="L30" s="454"/>
      <c r="M30" s="454"/>
      <c r="N30" s="454"/>
      <c r="O30" s="454"/>
      <c r="P30" s="454"/>
      <c r="Q30" s="454"/>
      <c r="R30" s="454"/>
      <c r="S30" s="454"/>
      <c r="T30" s="454"/>
      <c r="U30" s="455"/>
      <c r="V30" s="176"/>
      <c r="W30" s="176"/>
      <c r="X30" s="176"/>
      <c r="Y30" s="188"/>
      <c r="AA30" s="424"/>
      <c r="AE30" s="170"/>
    </row>
    <row r="31" spans="2:31" ht="25.15" customHeight="1">
      <c r="B31" s="453"/>
      <c r="C31" s="454"/>
      <c r="D31" s="454"/>
      <c r="E31" s="454"/>
      <c r="F31" s="454"/>
      <c r="G31" s="454"/>
      <c r="H31" s="454"/>
      <c r="I31" s="454"/>
      <c r="J31" s="454"/>
      <c r="K31" s="454"/>
      <c r="L31" s="454"/>
      <c r="M31" s="454"/>
      <c r="N31" s="454"/>
      <c r="O31" s="454"/>
      <c r="P31" s="454"/>
      <c r="Q31" s="454"/>
      <c r="R31" s="454"/>
      <c r="S31" s="454"/>
      <c r="T31" s="454"/>
      <c r="U31" s="455"/>
      <c r="V31" s="176"/>
      <c r="W31" s="176"/>
      <c r="X31" s="176"/>
      <c r="Y31" s="188"/>
      <c r="AA31" s="424"/>
      <c r="AE31" s="170"/>
    </row>
    <row r="32" spans="2:31" ht="25.15" customHeight="1">
      <c r="B32" s="453"/>
      <c r="C32" s="454"/>
      <c r="D32" s="454"/>
      <c r="E32" s="454"/>
      <c r="F32" s="454"/>
      <c r="G32" s="454"/>
      <c r="H32" s="454"/>
      <c r="I32" s="454"/>
      <c r="J32" s="454"/>
      <c r="K32" s="454"/>
      <c r="L32" s="454"/>
      <c r="M32" s="454"/>
      <c r="N32" s="454"/>
      <c r="O32" s="454"/>
      <c r="P32" s="454"/>
      <c r="Q32" s="454"/>
      <c r="R32" s="454"/>
      <c r="S32" s="454"/>
      <c r="T32" s="454"/>
      <c r="U32" s="455"/>
      <c r="V32" s="176"/>
      <c r="W32" s="176"/>
      <c r="X32" s="176"/>
      <c r="Y32" s="188"/>
      <c r="AA32" s="424"/>
      <c r="AE32" s="170"/>
    </row>
    <row r="33" spans="2:31" ht="25.15" customHeight="1">
      <c r="B33" s="453"/>
      <c r="C33" s="454"/>
      <c r="D33" s="454"/>
      <c r="E33" s="454"/>
      <c r="F33" s="454"/>
      <c r="G33" s="454"/>
      <c r="H33" s="454"/>
      <c r="I33" s="454"/>
      <c r="J33" s="454"/>
      <c r="K33" s="454"/>
      <c r="L33" s="454"/>
      <c r="M33" s="454"/>
      <c r="N33" s="454"/>
      <c r="O33" s="454"/>
      <c r="P33" s="454"/>
      <c r="Q33" s="454"/>
      <c r="R33" s="454"/>
      <c r="S33" s="454"/>
      <c r="T33" s="454"/>
      <c r="U33" s="455"/>
      <c r="V33" s="176"/>
      <c r="W33" s="176"/>
      <c r="X33" s="176"/>
      <c r="Y33" s="188"/>
      <c r="AA33" s="424"/>
      <c r="AE33" s="170"/>
    </row>
    <row r="34" spans="2:31" ht="25.15" customHeight="1">
      <c r="B34" s="453"/>
      <c r="C34" s="454"/>
      <c r="D34" s="454"/>
      <c r="E34" s="454"/>
      <c r="F34" s="454"/>
      <c r="G34" s="454"/>
      <c r="H34" s="454"/>
      <c r="I34" s="454"/>
      <c r="J34" s="454"/>
      <c r="K34" s="454"/>
      <c r="L34" s="454"/>
      <c r="M34" s="454"/>
      <c r="N34" s="454"/>
      <c r="O34" s="454"/>
      <c r="P34" s="454"/>
      <c r="Q34" s="454"/>
      <c r="R34" s="454"/>
      <c r="S34" s="454"/>
      <c r="T34" s="454"/>
      <c r="U34" s="455"/>
      <c r="V34" s="176"/>
      <c r="W34" s="176"/>
      <c r="X34" s="176"/>
      <c r="Y34" s="188"/>
      <c r="AA34" s="424"/>
      <c r="AE34" s="170"/>
    </row>
    <row r="35" spans="2:31" ht="25.15" customHeight="1" thickBot="1">
      <c r="B35" s="456"/>
      <c r="C35" s="457"/>
      <c r="D35" s="457"/>
      <c r="E35" s="457"/>
      <c r="F35" s="457"/>
      <c r="G35" s="457"/>
      <c r="H35" s="457"/>
      <c r="I35" s="457"/>
      <c r="J35" s="457"/>
      <c r="K35" s="457"/>
      <c r="L35" s="457"/>
      <c r="M35" s="457"/>
      <c r="N35" s="457"/>
      <c r="O35" s="457"/>
      <c r="P35" s="457"/>
      <c r="Q35" s="457"/>
      <c r="R35" s="457"/>
      <c r="S35" s="457"/>
      <c r="T35" s="457"/>
      <c r="U35" s="458"/>
      <c r="V35" s="176"/>
      <c r="W35" s="176"/>
      <c r="X35" s="176"/>
      <c r="Y35" s="188"/>
      <c r="AA35" s="424"/>
      <c r="AE35" s="170"/>
    </row>
    <row r="36" spans="2:31" ht="25.15" customHeight="1" thickTop="1">
      <c r="B36" s="151"/>
      <c r="C36" s="151"/>
      <c r="D36" s="176"/>
      <c r="E36" s="176"/>
      <c r="F36" s="224"/>
      <c r="G36" s="224"/>
      <c r="H36" s="224"/>
      <c r="I36" s="224"/>
      <c r="J36" s="176"/>
      <c r="K36" s="176"/>
      <c r="L36" s="176"/>
      <c r="M36" s="176"/>
      <c r="N36" s="176"/>
      <c r="O36" s="176"/>
      <c r="P36" s="176"/>
      <c r="Q36" s="176"/>
      <c r="R36" s="176"/>
      <c r="S36" s="176"/>
      <c r="T36" s="176"/>
      <c r="U36" s="176"/>
      <c r="V36" s="176"/>
      <c r="W36" s="176"/>
      <c r="X36" s="176"/>
      <c r="Y36" s="188"/>
      <c r="AA36" s="424"/>
      <c r="AE36" s="170"/>
    </row>
    <row r="37" spans="2:31" ht="25.15" customHeight="1" thickBot="1">
      <c r="B37" s="387" t="s">
        <v>725</v>
      </c>
      <c r="C37" s="233"/>
      <c r="D37" s="233"/>
      <c r="E37" s="233"/>
      <c r="F37" s="233"/>
      <c r="G37" s="233"/>
      <c r="H37" s="233"/>
      <c r="I37" s="232"/>
      <c r="J37" s="231"/>
      <c r="K37" s="231"/>
      <c r="L37" s="231"/>
      <c r="M37" s="231"/>
      <c r="N37" s="231"/>
      <c r="O37" s="231"/>
      <c r="P37" s="231"/>
      <c r="Q37" s="231"/>
      <c r="R37" s="235"/>
      <c r="S37" s="235"/>
      <c r="T37" s="235"/>
      <c r="U37" s="176"/>
      <c r="V37" s="228"/>
      <c r="W37" s="228"/>
      <c r="X37" s="176"/>
      <c r="Y37" s="188"/>
      <c r="AA37" s="424"/>
      <c r="AE37" s="170"/>
    </row>
    <row r="38" spans="2:31" ht="25.15" customHeight="1" thickTop="1">
      <c r="B38" s="450" t="s">
        <v>726</v>
      </c>
      <c r="C38" s="451"/>
      <c r="D38" s="451"/>
      <c r="E38" s="451"/>
      <c r="F38" s="451"/>
      <c r="G38" s="451"/>
      <c r="H38" s="451"/>
      <c r="I38" s="451"/>
      <c r="J38" s="451"/>
      <c r="K38" s="451"/>
      <c r="L38" s="451"/>
      <c r="M38" s="451"/>
      <c r="N38" s="451"/>
      <c r="O38" s="451"/>
      <c r="P38" s="451"/>
      <c r="Q38" s="451"/>
      <c r="R38" s="451"/>
      <c r="S38" s="451"/>
      <c r="T38" s="451"/>
      <c r="U38" s="452"/>
      <c r="V38" s="228"/>
      <c r="W38" s="228"/>
      <c r="X38" s="176"/>
      <c r="Y38" s="188"/>
      <c r="AA38" s="424"/>
      <c r="AE38" s="170"/>
    </row>
    <row r="39" spans="2:31" ht="25.15" customHeight="1">
      <c r="B39" s="453"/>
      <c r="C39" s="454"/>
      <c r="D39" s="454"/>
      <c r="E39" s="454"/>
      <c r="F39" s="454"/>
      <c r="G39" s="454"/>
      <c r="H39" s="454"/>
      <c r="I39" s="454"/>
      <c r="J39" s="454"/>
      <c r="K39" s="454"/>
      <c r="L39" s="454"/>
      <c r="M39" s="454"/>
      <c r="N39" s="454"/>
      <c r="O39" s="454"/>
      <c r="P39" s="454"/>
      <c r="Q39" s="454"/>
      <c r="R39" s="454"/>
      <c r="S39" s="454"/>
      <c r="T39" s="454"/>
      <c r="U39" s="455"/>
      <c r="V39" s="228"/>
      <c r="W39" s="228"/>
      <c r="X39" s="176"/>
      <c r="Y39" s="188"/>
      <c r="AA39" s="424"/>
      <c r="AE39" s="170"/>
    </row>
    <row r="40" spans="2:31" ht="25.15" customHeight="1">
      <c r="B40" s="453"/>
      <c r="C40" s="454"/>
      <c r="D40" s="454"/>
      <c r="E40" s="454"/>
      <c r="F40" s="454"/>
      <c r="G40" s="454"/>
      <c r="H40" s="454"/>
      <c r="I40" s="454"/>
      <c r="J40" s="454"/>
      <c r="K40" s="454"/>
      <c r="L40" s="454"/>
      <c r="M40" s="454"/>
      <c r="N40" s="454"/>
      <c r="O40" s="454"/>
      <c r="P40" s="454"/>
      <c r="Q40" s="454"/>
      <c r="R40" s="454"/>
      <c r="S40" s="454"/>
      <c r="T40" s="454"/>
      <c r="U40" s="455"/>
      <c r="W40" s="228"/>
      <c r="X40" s="176"/>
      <c r="Y40" s="188"/>
      <c r="AA40" s="424"/>
      <c r="AE40" s="170"/>
    </row>
    <row r="41" spans="2:31" ht="25.15" customHeight="1">
      <c r="B41" s="453"/>
      <c r="C41" s="454"/>
      <c r="D41" s="454"/>
      <c r="E41" s="454"/>
      <c r="F41" s="454"/>
      <c r="G41" s="454"/>
      <c r="H41" s="454"/>
      <c r="I41" s="454"/>
      <c r="J41" s="454"/>
      <c r="K41" s="454"/>
      <c r="L41" s="454"/>
      <c r="M41" s="454"/>
      <c r="N41" s="454"/>
      <c r="O41" s="454"/>
      <c r="P41" s="454"/>
      <c r="Q41" s="454"/>
      <c r="R41" s="454"/>
      <c r="S41" s="454"/>
      <c r="T41" s="454"/>
      <c r="U41" s="455"/>
      <c r="V41" s="228"/>
      <c r="W41" s="228"/>
      <c r="X41" s="176"/>
      <c r="Y41" s="188"/>
      <c r="AA41" s="424"/>
      <c r="AE41" s="170"/>
    </row>
    <row r="42" spans="2:31" ht="25.15" customHeight="1">
      <c r="B42" s="453"/>
      <c r="C42" s="454"/>
      <c r="D42" s="454"/>
      <c r="E42" s="454"/>
      <c r="F42" s="454"/>
      <c r="G42" s="454"/>
      <c r="H42" s="454"/>
      <c r="I42" s="454"/>
      <c r="J42" s="454"/>
      <c r="K42" s="454"/>
      <c r="L42" s="454"/>
      <c r="M42" s="454"/>
      <c r="N42" s="454"/>
      <c r="O42" s="454"/>
      <c r="P42" s="454"/>
      <c r="Q42" s="454"/>
      <c r="R42" s="454"/>
      <c r="S42" s="454"/>
      <c r="T42" s="454"/>
      <c r="U42" s="455"/>
      <c r="V42" s="228"/>
      <c r="W42" s="228"/>
      <c r="X42" s="176"/>
      <c r="Y42" s="188"/>
      <c r="AA42" s="424"/>
      <c r="AE42" s="170"/>
    </row>
    <row r="43" spans="2:31" ht="25.15" customHeight="1">
      <c r="B43" s="453"/>
      <c r="C43" s="454"/>
      <c r="D43" s="454"/>
      <c r="E43" s="454"/>
      <c r="F43" s="454"/>
      <c r="G43" s="454"/>
      <c r="H43" s="454"/>
      <c r="I43" s="454"/>
      <c r="J43" s="454"/>
      <c r="K43" s="454"/>
      <c r="L43" s="454"/>
      <c r="M43" s="454"/>
      <c r="N43" s="454"/>
      <c r="O43" s="454"/>
      <c r="P43" s="454"/>
      <c r="Q43" s="454"/>
      <c r="R43" s="454"/>
      <c r="S43" s="454"/>
      <c r="T43" s="454"/>
      <c r="U43" s="455"/>
      <c r="V43" s="228"/>
      <c r="W43" s="228"/>
      <c r="X43" s="176"/>
      <c r="Y43" s="188"/>
      <c r="AA43" s="424"/>
      <c r="AE43" s="170"/>
    </row>
    <row r="44" spans="2:31" ht="25.15" customHeight="1">
      <c r="B44" s="453"/>
      <c r="C44" s="454"/>
      <c r="D44" s="454"/>
      <c r="E44" s="454"/>
      <c r="F44" s="454"/>
      <c r="G44" s="454"/>
      <c r="H44" s="454"/>
      <c r="I44" s="454"/>
      <c r="J44" s="454"/>
      <c r="K44" s="454"/>
      <c r="L44" s="454"/>
      <c r="M44" s="454"/>
      <c r="N44" s="454"/>
      <c r="O44" s="454"/>
      <c r="P44" s="454"/>
      <c r="Q44" s="454"/>
      <c r="R44" s="454"/>
      <c r="S44" s="454"/>
      <c r="T44" s="454"/>
      <c r="U44" s="455"/>
      <c r="V44" s="176"/>
      <c r="W44" s="176"/>
      <c r="X44" s="176"/>
      <c r="Y44" s="188"/>
      <c r="AA44" s="424"/>
      <c r="AE44" s="170"/>
    </row>
    <row r="45" spans="2:31" ht="25.15" customHeight="1">
      <c r="B45" s="453"/>
      <c r="C45" s="454"/>
      <c r="D45" s="454"/>
      <c r="E45" s="454"/>
      <c r="F45" s="454"/>
      <c r="G45" s="454"/>
      <c r="H45" s="454"/>
      <c r="I45" s="454"/>
      <c r="J45" s="454"/>
      <c r="K45" s="454"/>
      <c r="L45" s="454"/>
      <c r="M45" s="454"/>
      <c r="N45" s="454"/>
      <c r="O45" s="454"/>
      <c r="P45" s="454"/>
      <c r="Q45" s="454"/>
      <c r="R45" s="454"/>
      <c r="S45" s="454"/>
      <c r="T45" s="454"/>
      <c r="U45" s="455"/>
      <c r="V45" s="176"/>
      <c r="W45" s="176"/>
      <c r="X45" s="176"/>
      <c r="Y45" s="188"/>
      <c r="AA45" s="424"/>
      <c r="AE45" s="170"/>
    </row>
    <row r="46" spans="2:31" ht="25.15" customHeight="1">
      <c r="B46" s="453"/>
      <c r="C46" s="454"/>
      <c r="D46" s="454"/>
      <c r="E46" s="454"/>
      <c r="F46" s="454"/>
      <c r="G46" s="454"/>
      <c r="H46" s="454"/>
      <c r="I46" s="454"/>
      <c r="J46" s="454"/>
      <c r="K46" s="454"/>
      <c r="L46" s="454"/>
      <c r="M46" s="454"/>
      <c r="N46" s="454"/>
      <c r="O46" s="454"/>
      <c r="P46" s="454"/>
      <c r="Q46" s="454"/>
      <c r="R46" s="454"/>
      <c r="S46" s="454"/>
      <c r="T46" s="454"/>
      <c r="U46" s="455"/>
      <c r="V46" s="176"/>
      <c r="W46" s="176"/>
      <c r="X46" s="176"/>
      <c r="Y46" s="188"/>
      <c r="AA46" s="424"/>
      <c r="AE46" s="170"/>
    </row>
    <row r="47" spans="2:31" ht="25.15" customHeight="1">
      <c r="B47" s="453"/>
      <c r="C47" s="454"/>
      <c r="D47" s="454"/>
      <c r="E47" s="454"/>
      <c r="F47" s="454"/>
      <c r="G47" s="454"/>
      <c r="H47" s="454"/>
      <c r="I47" s="454"/>
      <c r="J47" s="454"/>
      <c r="K47" s="454"/>
      <c r="L47" s="454"/>
      <c r="M47" s="454"/>
      <c r="N47" s="454"/>
      <c r="O47" s="454"/>
      <c r="P47" s="454"/>
      <c r="Q47" s="454"/>
      <c r="R47" s="454"/>
      <c r="S47" s="454"/>
      <c r="T47" s="454"/>
      <c r="U47" s="455"/>
      <c r="V47" s="176"/>
      <c r="W47" s="176"/>
      <c r="X47" s="176"/>
      <c r="Y47" s="188"/>
      <c r="AA47" s="424"/>
      <c r="AE47" s="170"/>
    </row>
    <row r="48" spans="2:31" ht="25.15" customHeight="1">
      <c r="B48" s="453"/>
      <c r="C48" s="454"/>
      <c r="D48" s="454"/>
      <c r="E48" s="454"/>
      <c r="F48" s="454"/>
      <c r="G48" s="454"/>
      <c r="H48" s="454"/>
      <c r="I48" s="454"/>
      <c r="J48" s="454"/>
      <c r="K48" s="454"/>
      <c r="L48" s="454"/>
      <c r="M48" s="454"/>
      <c r="N48" s="454"/>
      <c r="O48" s="454"/>
      <c r="P48" s="454"/>
      <c r="Q48" s="454"/>
      <c r="R48" s="454"/>
      <c r="S48" s="454"/>
      <c r="T48" s="454"/>
      <c r="U48" s="455"/>
      <c r="V48" s="176"/>
      <c r="W48" s="176"/>
      <c r="X48" s="176"/>
      <c r="Y48" s="188"/>
      <c r="AA48" s="424"/>
      <c r="AE48" s="170"/>
    </row>
    <row r="49" spans="2:31" ht="25.15" customHeight="1">
      <c r="B49" s="453"/>
      <c r="C49" s="454"/>
      <c r="D49" s="454"/>
      <c r="E49" s="454"/>
      <c r="F49" s="454"/>
      <c r="G49" s="454"/>
      <c r="H49" s="454"/>
      <c r="I49" s="454"/>
      <c r="J49" s="454"/>
      <c r="K49" s="454"/>
      <c r="L49" s="454"/>
      <c r="M49" s="454"/>
      <c r="N49" s="454"/>
      <c r="O49" s="454"/>
      <c r="P49" s="454"/>
      <c r="Q49" s="454"/>
      <c r="R49" s="454"/>
      <c r="S49" s="454"/>
      <c r="T49" s="454"/>
      <c r="U49" s="455"/>
      <c r="V49" s="176"/>
      <c r="W49" s="176"/>
      <c r="X49" s="176"/>
      <c r="Y49" s="188"/>
      <c r="AA49" s="424"/>
      <c r="AE49" s="170"/>
    </row>
    <row r="50" spans="2:31" ht="25.15" customHeight="1">
      <c r="B50" s="453"/>
      <c r="C50" s="454"/>
      <c r="D50" s="454"/>
      <c r="E50" s="454"/>
      <c r="F50" s="454"/>
      <c r="G50" s="454"/>
      <c r="H50" s="454"/>
      <c r="I50" s="454"/>
      <c r="J50" s="454"/>
      <c r="K50" s="454"/>
      <c r="L50" s="454"/>
      <c r="M50" s="454"/>
      <c r="N50" s="454"/>
      <c r="O50" s="454"/>
      <c r="P50" s="454"/>
      <c r="Q50" s="454"/>
      <c r="R50" s="454"/>
      <c r="S50" s="454"/>
      <c r="T50" s="454"/>
      <c r="U50" s="455"/>
      <c r="V50" s="176"/>
      <c r="W50" s="176"/>
      <c r="X50" s="176"/>
      <c r="Y50" s="188"/>
      <c r="AA50" s="424"/>
      <c r="AE50" s="170"/>
    </row>
    <row r="51" spans="2:31" ht="25.15" customHeight="1">
      <c r="B51" s="453"/>
      <c r="C51" s="454"/>
      <c r="D51" s="454"/>
      <c r="E51" s="454"/>
      <c r="F51" s="454"/>
      <c r="G51" s="454"/>
      <c r="H51" s="454"/>
      <c r="I51" s="454"/>
      <c r="J51" s="454"/>
      <c r="K51" s="454"/>
      <c r="L51" s="454"/>
      <c r="M51" s="454"/>
      <c r="N51" s="454"/>
      <c r="O51" s="454"/>
      <c r="P51" s="454"/>
      <c r="Q51" s="454"/>
      <c r="R51" s="454"/>
      <c r="S51" s="454"/>
      <c r="T51" s="454"/>
      <c r="U51" s="455"/>
      <c r="V51" s="176"/>
      <c r="W51" s="176"/>
      <c r="X51" s="176"/>
      <c r="Y51" s="188"/>
      <c r="AA51" s="424"/>
      <c r="AE51" s="170"/>
    </row>
    <row r="52" spans="2:31" ht="25.15" customHeight="1" thickBot="1">
      <c r="B52" s="456"/>
      <c r="C52" s="457"/>
      <c r="D52" s="457"/>
      <c r="E52" s="457"/>
      <c r="F52" s="457"/>
      <c r="G52" s="457"/>
      <c r="H52" s="457"/>
      <c r="I52" s="457"/>
      <c r="J52" s="457"/>
      <c r="K52" s="457"/>
      <c r="L52" s="457"/>
      <c r="M52" s="457"/>
      <c r="N52" s="457"/>
      <c r="O52" s="457"/>
      <c r="P52" s="457"/>
      <c r="Q52" s="457"/>
      <c r="R52" s="457"/>
      <c r="S52" s="457"/>
      <c r="T52" s="457"/>
      <c r="U52" s="458"/>
      <c r="V52" s="176"/>
      <c r="W52" s="176"/>
      <c r="X52" s="176"/>
      <c r="Y52" s="188"/>
      <c r="AA52" s="424"/>
      <c r="AE52" s="170"/>
    </row>
    <row r="53" spans="2:31" ht="25.15" customHeight="1" thickTop="1">
      <c r="B53" s="151"/>
      <c r="C53" s="151"/>
      <c r="D53" s="176"/>
      <c r="E53" s="176"/>
      <c r="F53" s="224"/>
      <c r="G53" s="224"/>
      <c r="H53" s="224"/>
      <c r="I53" s="224"/>
      <c r="J53" s="176"/>
      <c r="K53" s="176"/>
      <c r="L53" s="176"/>
      <c r="M53" s="176"/>
      <c r="N53" s="176"/>
      <c r="O53" s="176"/>
      <c r="P53" s="176"/>
      <c r="Q53" s="176"/>
      <c r="R53" s="176"/>
      <c r="S53" s="176"/>
      <c r="T53" s="176"/>
      <c r="U53" s="176"/>
      <c r="V53" s="176"/>
      <c r="W53" s="176"/>
      <c r="X53" s="176"/>
      <c r="Y53" s="188"/>
      <c r="AA53" s="424"/>
      <c r="AE53" s="170"/>
    </row>
    <row r="54" spans="2:31" ht="25.15" customHeight="1">
      <c r="B54" s="151"/>
      <c r="C54" s="151"/>
      <c r="D54" s="176"/>
      <c r="E54" s="176"/>
      <c r="F54" s="224"/>
      <c r="G54" s="224"/>
      <c r="H54" s="224"/>
      <c r="I54" s="224"/>
      <c r="J54" s="176"/>
      <c r="K54" s="176"/>
      <c r="L54" s="176"/>
      <c r="M54" s="176"/>
      <c r="N54" s="176"/>
      <c r="O54" s="176"/>
      <c r="P54" s="176"/>
      <c r="Q54" s="176"/>
      <c r="R54" s="176"/>
      <c r="S54" s="176"/>
      <c r="T54" s="176"/>
      <c r="U54" s="176"/>
      <c r="V54" s="176"/>
      <c r="W54" s="176"/>
      <c r="X54" s="176"/>
      <c r="Y54" s="188"/>
      <c r="AA54" s="424"/>
      <c r="AE54" s="170"/>
    </row>
    <row r="55" spans="2:31" ht="25.15" customHeight="1">
      <c r="B55" s="151"/>
      <c r="C55" s="151"/>
      <c r="D55" s="176"/>
      <c r="E55" s="176"/>
      <c r="F55" s="224"/>
      <c r="G55" s="224"/>
      <c r="H55" s="224"/>
      <c r="I55" s="224"/>
      <c r="J55" s="176"/>
      <c r="K55" s="176"/>
      <c r="L55" s="176"/>
      <c r="M55" s="176"/>
      <c r="N55" s="176"/>
      <c r="O55" s="176"/>
      <c r="P55" s="176"/>
      <c r="Q55" s="176"/>
      <c r="R55" s="176"/>
      <c r="S55" s="176"/>
      <c r="T55" s="176"/>
      <c r="U55" s="176"/>
      <c r="V55" s="176"/>
      <c r="W55" s="176"/>
      <c r="X55" s="176"/>
      <c r="Y55" s="188"/>
      <c r="AA55" s="424"/>
      <c r="AE55" s="170"/>
    </row>
    <row r="56" spans="2:31" ht="25.15" customHeight="1">
      <c r="B56" s="226"/>
      <c r="C56" s="226"/>
      <c r="D56" s="176"/>
      <c r="E56" s="176"/>
      <c r="F56" s="224"/>
      <c r="G56" s="224"/>
      <c r="H56" s="224"/>
      <c r="I56" s="224"/>
      <c r="J56" s="176"/>
      <c r="K56" s="176"/>
      <c r="L56" s="176"/>
      <c r="M56" s="176"/>
      <c r="N56" s="176"/>
      <c r="O56" s="176"/>
      <c r="P56" s="176"/>
      <c r="Q56" s="176"/>
      <c r="R56" s="176"/>
      <c r="S56" s="176"/>
      <c r="T56" s="176"/>
      <c r="U56" s="176"/>
      <c r="V56" s="176"/>
      <c r="W56" s="176"/>
      <c r="X56" s="176"/>
      <c r="Y56" s="188"/>
      <c r="AA56" s="424"/>
      <c r="AE56" s="170"/>
    </row>
  </sheetData>
  <mergeCells count="5">
    <mergeCell ref="B1:U1"/>
    <mergeCell ref="B4:U18"/>
    <mergeCell ref="B21:U35"/>
    <mergeCell ref="B38:U52"/>
    <mergeCell ref="AA1:AA56"/>
  </mergeCells>
  <phoneticPr fontId="2" type="noConversion"/>
  <dataValidations count="1">
    <dataValidation type="list" allowBlank="1" showInputMessage="1" showErrorMessage="1" sqref="AE1:AE56" xr:uid="{FBA71360-D88C-4F65-B18F-81CD823A2AA3}">
      <formula1>#REF!</formula1>
    </dataValidation>
  </dataValidations>
  <printOptions horizontalCentered="1"/>
  <pageMargins left="0.39370078740157483" right="0.39370078740157483" top="0.39370078740157483" bottom="0.59055118110236227" header="0.31496062992125984" footer="0.15748031496062992"/>
  <pageSetup paperSize="8" scale="44" fitToHeight="0" orientation="landscape" r:id="rId1"/>
  <headerFooter>
    <oddFooter>&amp;L마지막 업데이트 날짜 : &amp;D&amp;CSmart Green (주)아키테코그룹&amp;R대표이사 이종일 010-8731-0424 / il@architeco.kr
이사 김선형 010-2108-1588 / ksh@architeco.kr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52B6-3778-4A2F-9FFB-0AE0FDDD8020}">
  <dimension ref="A2:E28"/>
  <sheetViews>
    <sheetView workbookViewId="0">
      <selection activeCell="B12" sqref="B12"/>
    </sheetView>
  </sheetViews>
  <sheetFormatPr defaultRowHeight="16.5"/>
  <cols>
    <col min="1" max="1" width="21.5" customWidth="1"/>
    <col min="2" max="2" width="26.125" style="357" bestFit="1" customWidth="1"/>
    <col min="3" max="3" width="21.375" customWidth="1"/>
    <col min="4" max="4" width="17.75" style="205" customWidth="1"/>
    <col min="5" max="5" width="30.125" style="205" customWidth="1"/>
  </cols>
  <sheetData>
    <row r="2" spans="1:5" ht="49.5">
      <c r="A2" s="207" t="s">
        <v>529</v>
      </c>
      <c r="B2" s="391" t="s">
        <v>520</v>
      </c>
      <c r="C2" s="217" t="str">
        <f>VLOOKUP(B2,'법규 검토 과정'!$A:$K,2,FALSE)</f>
        <v>의무 대상 아님</v>
      </c>
      <c r="D2" s="209">
        <f>IF(C2="의무 대상",1,0)</f>
        <v>0</v>
      </c>
      <c r="E2" s="459">
        <f>SUM(D2:D11)</f>
        <v>6</v>
      </c>
    </row>
    <row r="3" spans="1:5">
      <c r="B3" s="391" t="s">
        <v>532</v>
      </c>
      <c r="C3" s="217" t="str">
        <f>VLOOKUP(B3,'법규 검토 과정'!$A:$K,2,FALSE)</f>
        <v>의무 대상 아님</v>
      </c>
      <c r="D3" s="209">
        <f t="shared" ref="D3:D23" si="0">IF(C3="의무 대상",1,0)</f>
        <v>0</v>
      </c>
      <c r="E3" s="459"/>
    </row>
    <row r="4" spans="1:5">
      <c r="B4" s="391" t="s">
        <v>539</v>
      </c>
      <c r="C4" s="217" t="str">
        <f>VLOOKUP(B4,'법규 검토 과정'!$A:$K,2,FALSE)</f>
        <v>의무 대상 아님</v>
      </c>
      <c r="D4" s="209">
        <f t="shared" si="0"/>
        <v>0</v>
      </c>
      <c r="E4" s="459"/>
    </row>
    <row r="5" spans="1:5">
      <c r="B5" s="391" t="s">
        <v>470</v>
      </c>
      <c r="C5" s="217" t="str">
        <f>VLOOKUP(B5,'법규 검토 과정'!$A:$K,2,FALSE)</f>
        <v>의무 대상</v>
      </c>
      <c r="D5" s="209">
        <f t="shared" si="0"/>
        <v>1</v>
      </c>
      <c r="E5" s="459"/>
    </row>
    <row r="6" spans="1:5">
      <c r="B6" s="391" t="s">
        <v>546</v>
      </c>
      <c r="C6" s="217" t="str">
        <f>VLOOKUP(B6,'법규 검토 과정'!$A:$K,2,FALSE)</f>
        <v>의무 대상</v>
      </c>
      <c r="D6" s="209">
        <f t="shared" si="0"/>
        <v>1</v>
      </c>
      <c r="E6" s="459"/>
    </row>
    <row r="7" spans="1:5">
      <c r="B7" s="391" t="s">
        <v>552</v>
      </c>
      <c r="C7" s="217" t="str">
        <f>VLOOKUP(B7,'법규 검토 과정'!$A:$K,2,FALSE)</f>
        <v>의무 대상</v>
      </c>
      <c r="D7" s="209">
        <f t="shared" si="0"/>
        <v>1</v>
      </c>
      <c r="E7" s="459"/>
    </row>
    <row r="8" spans="1:5">
      <c r="B8" s="391" t="s">
        <v>556</v>
      </c>
      <c r="C8" s="217" t="str">
        <f>VLOOKUP(B8,'법규 검토 과정'!$A:$K,2,FALSE)</f>
        <v>의무 대상</v>
      </c>
      <c r="D8" s="209">
        <f t="shared" si="0"/>
        <v>1</v>
      </c>
      <c r="E8" s="459"/>
    </row>
    <row r="9" spans="1:5">
      <c r="B9" s="391" t="s">
        <v>471</v>
      </c>
      <c r="C9" s="217" t="str">
        <f>VLOOKUP(B9,'법규 검토 과정'!$A:$K,2,FALSE)</f>
        <v>의무 대상</v>
      </c>
      <c r="D9" s="209">
        <f t="shared" si="0"/>
        <v>1</v>
      </c>
      <c r="E9" s="459"/>
    </row>
    <row r="10" spans="1:5">
      <c r="B10" s="391" t="s">
        <v>482</v>
      </c>
      <c r="C10" s="217" t="str">
        <f>VLOOKUP(B10,'법규 검토 과정'!$A:$K,2,FALSE)</f>
        <v>의무 대상</v>
      </c>
      <c r="D10" s="209">
        <f t="shared" si="0"/>
        <v>1</v>
      </c>
      <c r="E10" s="459"/>
    </row>
    <row r="11" spans="1:5">
      <c r="B11" s="391" t="s">
        <v>578</v>
      </c>
      <c r="C11" s="217" t="str">
        <f>VLOOKUP(B11,'법규 검토 과정'!$A:$K,2,FALSE)</f>
        <v>의무 대상 아님</v>
      </c>
      <c r="D11" s="209">
        <f t="shared" si="0"/>
        <v>0</v>
      </c>
      <c r="E11" s="459"/>
    </row>
    <row r="12" spans="1:5">
      <c r="A12" t="s">
        <v>373</v>
      </c>
      <c r="B12" s="391" t="s">
        <v>472</v>
      </c>
      <c r="C12" s="217" t="str">
        <f>VLOOKUP(B12,'법규 검토 과정'!$A:$K,2,FALSE)</f>
        <v>의무 대상</v>
      </c>
      <c r="D12" s="209">
        <f t="shared" si="0"/>
        <v>1</v>
      </c>
      <c r="E12" s="459">
        <f>SUM(D12:D17)</f>
        <v>5</v>
      </c>
    </row>
    <row r="13" spans="1:5">
      <c r="B13" s="391" t="s">
        <v>589</v>
      </c>
      <c r="C13" s="217" t="str">
        <f>VLOOKUP(B13,'법규 검토 과정'!$A:$K,2,FALSE)</f>
        <v>의무 대상</v>
      </c>
      <c r="D13" s="209">
        <f t="shared" si="0"/>
        <v>1</v>
      </c>
      <c r="E13" s="459"/>
    </row>
    <row r="14" spans="1:5">
      <c r="B14" s="391" t="s">
        <v>593</v>
      </c>
      <c r="C14" s="217" t="str">
        <f>VLOOKUP(B14,'법규 검토 과정'!$A:$K,2,FALSE)</f>
        <v>의무 대상</v>
      </c>
      <c r="D14" s="209">
        <f t="shared" si="0"/>
        <v>1</v>
      </c>
      <c r="E14" s="459"/>
    </row>
    <row r="15" spans="1:5">
      <c r="B15" s="391" t="s">
        <v>604</v>
      </c>
      <c r="C15" s="217" t="str">
        <f>VLOOKUP(B15,'법규 검토 과정'!$A:$K,2,FALSE)</f>
        <v>의무 대상</v>
      </c>
      <c r="D15" s="209">
        <f t="shared" si="0"/>
        <v>1</v>
      </c>
      <c r="E15" s="459"/>
    </row>
    <row r="16" spans="1:5">
      <c r="B16" s="391" t="s">
        <v>611</v>
      </c>
      <c r="C16" s="217" t="str">
        <f>VLOOKUP(B16,'법규 검토 과정'!$A:$K,2,FALSE)</f>
        <v>의무 대상 아님</v>
      </c>
      <c r="D16" s="209">
        <f t="shared" si="0"/>
        <v>0</v>
      </c>
      <c r="E16" s="459"/>
    </row>
    <row r="17" spans="1:5">
      <c r="B17" s="391" t="s">
        <v>474</v>
      </c>
      <c r="C17" s="217" t="str">
        <f>VLOOKUP(B17,'법규 검토 과정'!$A:$K,2,FALSE)</f>
        <v>의무 대상</v>
      </c>
      <c r="D17" s="209">
        <f t="shared" si="0"/>
        <v>1</v>
      </c>
      <c r="E17" s="459"/>
    </row>
    <row r="18" spans="1:5">
      <c r="A18" t="s">
        <v>526</v>
      </c>
      <c r="B18" s="391" t="s">
        <v>472</v>
      </c>
      <c r="C18" s="217" t="str">
        <f>VLOOKUP(B18,'법규 검토 과정'!$A:$K,2,FALSE)</f>
        <v>의무 대상</v>
      </c>
      <c r="D18" s="209">
        <f t="shared" si="0"/>
        <v>1</v>
      </c>
      <c r="E18" s="459">
        <f>SUM(D18:D22)</f>
        <v>4</v>
      </c>
    </row>
    <row r="19" spans="1:5">
      <c r="B19" s="391" t="s">
        <v>589</v>
      </c>
      <c r="C19" s="217" t="str">
        <f>VLOOKUP(B19,'법규 검토 과정'!$A:$K,2,FALSE)</f>
        <v>의무 대상</v>
      </c>
      <c r="D19" s="209">
        <f t="shared" si="0"/>
        <v>1</v>
      </c>
      <c r="E19" s="459"/>
    </row>
    <row r="20" spans="1:5">
      <c r="B20" s="391" t="s">
        <v>593</v>
      </c>
      <c r="C20" s="217" t="str">
        <f>VLOOKUP(B20,'법규 검토 과정'!$A:$K,2,FALSE)</f>
        <v>의무 대상</v>
      </c>
      <c r="D20" s="209">
        <f t="shared" si="0"/>
        <v>1</v>
      </c>
      <c r="E20" s="459"/>
    </row>
    <row r="21" spans="1:5">
      <c r="B21" s="391" t="s">
        <v>604</v>
      </c>
      <c r="C21" s="217" t="str">
        <f>VLOOKUP(B21,'법규 검토 과정'!$A:$K,2,FALSE)</f>
        <v>의무 대상</v>
      </c>
      <c r="D21" s="209">
        <f t="shared" si="0"/>
        <v>1</v>
      </c>
      <c r="E21" s="459"/>
    </row>
    <row r="22" spans="1:5">
      <c r="B22" s="391" t="s">
        <v>611</v>
      </c>
      <c r="C22" s="217" t="str">
        <f>VLOOKUP(B22,'법규 검토 과정'!$A:$K,2,FALSE)</f>
        <v>의무 대상 아님</v>
      </c>
      <c r="D22" s="209">
        <f t="shared" si="0"/>
        <v>0</v>
      </c>
      <c r="E22" s="459"/>
    </row>
    <row r="23" spans="1:5">
      <c r="A23" t="s">
        <v>528</v>
      </c>
      <c r="B23" s="391" t="s">
        <v>521</v>
      </c>
      <c r="C23" s="217" t="str">
        <f>VLOOKUP(B23,'법규 검토 과정'!$A:$K,2,FALSE)</f>
        <v>의무 대상</v>
      </c>
      <c r="D23" s="209">
        <f t="shared" si="0"/>
        <v>1</v>
      </c>
      <c r="E23" s="205">
        <f>SUM(D23:D24)</f>
        <v>1</v>
      </c>
    </row>
    <row r="24" spans="1:5">
      <c r="B24" s="392" t="s">
        <v>473</v>
      </c>
      <c r="C24" s="217"/>
      <c r="D24" s="209"/>
    </row>
    <row r="25" spans="1:5">
      <c r="A25" t="s">
        <v>527</v>
      </c>
      <c r="B25" s="392" t="s">
        <v>527</v>
      </c>
      <c r="C25" s="217"/>
      <c r="D25" s="209"/>
      <c r="E25" s="205">
        <f>SUM(D25)</f>
        <v>0</v>
      </c>
    </row>
    <row r="26" spans="1:5">
      <c r="B26" s="392"/>
      <c r="C26" s="217"/>
      <c r="D26" s="209"/>
    </row>
    <row r="27" spans="1:5">
      <c r="B27" s="392"/>
      <c r="C27" s="217"/>
      <c r="D27" s="209"/>
    </row>
    <row r="28" spans="1:5">
      <c r="D28" s="312">
        <f>SUM(D2:D27)</f>
        <v>16</v>
      </c>
    </row>
  </sheetData>
  <mergeCells count="3">
    <mergeCell ref="E2:E11"/>
    <mergeCell ref="E12:E17"/>
    <mergeCell ref="E18:E2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89A6B-1E4E-4689-BE31-0E502A3B81B4}">
  <dimension ref="A1:M347"/>
  <sheetViews>
    <sheetView zoomScale="70" zoomScaleNormal="70" workbookViewId="0">
      <selection activeCell="E14" sqref="E14"/>
    </sheetView>
  </sheetViews>
  <sheetFormatPr defaultRowHeight="16.5"/>
  <cols>
    <col min="1" max="1" width="47.75" customWidth="1"/>
    <col min="2" max="2" width="15.25" style="208" customWidth="1"/>
    <col min="3" max="3" width="8.75" style="208" customWidth="1"/>
    <col min="4" max="4" width="21.375" style="205" customWidth="1"/>
    <col min="5" max="5" width="60.75" style="205" customWidth="1"/>
    <col min="6" max="8" width="60.75" style="207" customWidth="1"/>
    <col min="9" max="9" width="34.75" style="207" customWidth="1"/>
    <col min="10" max="10" width="15.125" style="207" customWidth="1"/>
    <col min="11" max="12" width="26.75" style="207" customWidth="1"/>
    <col min="13" max="13" width="30.375" style="216" customWidth="1"/>
    <col min="14" max="16" width="30.75" customWidth="1"/>
  </cols>
  <sheetData>
    <row r="1" spans="1:12">
      <c r="A1" s="208" t="s">
        <v>476</v>
      </c>
    </row>
    <row r="3" spans="1:12" s="300" customFormat="1" ht="20.25">
      <c r="A3" s="237" t="s">
        <v>520</v>
      </c>
      <c r="B3" s="299" t="str">
        <f>I14</f>
        <v>의무 대상 아님</v>
      </c>
      <c r="C3" s="237"/>
      <c r="D3" s="238"/>
      <c r="E3" s="238"/>
      <c r="F3" s="239"/>
      <c r="G3" s="239"/>
      <c r="H3" s="239"/>
      <c r="I3" s="239"/>
      <c r="J3" s="239"/>
      <c r="K3" s="239"/>
      <c r="L3" s="207"/>
    </row>
    <row r="4" spans="1:12" ht="20.25">
      <c r="C4" s="236"/>
    </row>
    <row r="5" spans="1:12">
      <c r="C5" s="218"/>
      <c r="D5" s="218" t="s">
        <v>513</v>
      </c>
    </row>
    <row r="6" spans="1:12" ht="17.25">
      <c r="D6" s="460" t="s">
        <v>475</v>
      </c>
      <c r="E6" s="461"/>
      <c r="F6" s="461"/>
      <c r="G6" s="462"/>
      <c r="H6" s="366"/>
    </row>
    <row r="7" spans="1:12" ht="17.25">
      <c r="D7" s="219"/>
      <c r="E7" s="220" t="s">
        <v>499</v>
      </c>
      <c r="F7" s="220" t="s">
        <v>500</v>
      </c>
      <c r="G7" s="220" t="s">
        <v>501</v>
      </c>
      <c r="H7" s="366"/>
    </row>
    <row r="8" spans="1:12" ht="17.25">
      <c r="D8" s="219"/>
      <c r="E8" s="220" t="s">
        <v>533</v>
      </c>
      <c r="F8" s="220" t="s">
        <v>534</v>
      </c>
      <c r="G8" s="220" t="s">
        <v>535</v>
      </c>
      <c r="H8" s="366"/>
    </row>
    <row r="9" spans="1:12" ht="183" customHeight="1">
      <c r="D9" s="221" t="s">
        <v>507</v>
      </c>
      <c r="E9" s="211" t="s">
        <v>481</v>
      </c>
      <c r="F9" s="211" t="s">
        <v>477</v>
      </c>
      <c r="G9" s="211" t="s">
        <v>478</v>
      </c>
      <c r="H9" s="365"/>
    </row>
    <row r="10" spans="1:12" ht="70.900000000000006" customHeight="1">
      <c r="D10" s="221" t="s">
        <v>508</v>
      </c>
      <c r="E10" s="212" t="s">
        <v>502</v>
      </c>
      <c r="F10" s="212" t="s">
        <v>516</v>
      </c>
      <c r="G10" s="213" t="s">
        <v>517</v>
      </c>
      <c r="H10" s="215"/>
    </row>
    <row r="12" spans="1:12" ht="25.15" customHeight="1">
      <c r="D12" s="218" t="s">
        <v>687</v>
      </c>
      <c r="E12" s="395"/>
    </row>
    <row r="13" spans="1:12" ht="25.15" customHeight="1">
      <c r="D13" s="463" t="s">
        <v>688</v>
      </c>
      <c r="E13" s="396">
        <f>COUNTA(E14:E16)</f>
        <v>3</v>
      </c>
      <c r="F13" s="362" t="s">
        <v>692</v>
      </c>
      <c r="G13" s="363" t="s">
        <v>735</v>
      </c>
      <c r="H13" s="363" t="s">
        <v>695</v>
      </c>
      <c r="I13" s="361" t="s">
        <v>686</v>
      </c>
    </row>
    <row r="14" spans="1:12" ht="25.15" customHeight="1">
      <c r="D14" s="464"/>
      <c r="E14" s="209" t="s">
        <v>514</v>
      </c>
      <c r="F14" s="210" t="str">
        <f>VLOOKUP(E14,'조건문 LIST'!$C:$G,5,FALSE)</f>
        <v>Y</v>
      </c>
      <c r="G14" s="210">
        <f>IF(F14="Y",1,0)</f>
        <v>1</v>
      </c>
      <c r="H14" s="478">
        <f>SUM(G14:G16)</f>
        <v>2</v>
      </c>
      <c r="I14" s="468" t="str">
        <f>IF((E13=H14),"의무 대상","의무 대상 아님")</f>
        <v>의무 대상 아님</v>
      </c>
    </row>
    <row r="15" spans="1:12" ht="25.15" customHeight="1">
      <c r="D15" s="464"/>
      <c r="E15" s="209" t="s">
        <v>515</v>
      </c>
      <c r="F15" s="210" t="str">
        <f>VLOOKUP(E15,'조건문 LIST'!$C:$G,5,FALSE)</f>
        <v>Y</v>
      </c>
      <c r="G15" s="210">
        <f>IF(F15="Y",1,0)</f>
        <v>1</v>
      </c>
      <c r="H15" s="479"/>
      <c r="I15" s="468"/>
    </row>
    <row r="16" spans="1:12" ht="25.15" customHeight="1">
      <c r="D16" s="464"/>
      <c r="E16" s="209" t="s">
        <v>664</v>
      </c>
      <c r="F16" s="210" t="str">
        <f>VLOOKUP(E16,'조건문 LIST'!$C:$G,5,FALSE)</f>
        <v>N</v>
      </c>
      <c r="G16" s="210">
        <f>IF(F16="Y",1,0)</f>
        <v>0</v>
      </c>
      <c r="H16" s="480"/>
      <c r="I16" s="468"/>
    </row>
    <row r="17" spans="1:12">
      <c r="D17" s="395"/>
      <c r="E17" s="395"/>
    </row>
    <row r="19" spans="1:12">
      <c r="I19" s="206"/>
    </row>
    <row r="20" spans="1:12" s="305" customFormat="1" ht="20.25">
      <c r="A20" s="302" t="s">
        <v>532</v>
      </c>
      <c r="B20" s="301" t="str">
        <f>I31</f>
        <v>의무 대상 아님</v>
      </c>
      <c r="C20" s="302"/>
      <c r="D20" s="303"/>
      <c r="E20" s="303"/>
      <c r="F20" s="304"/>
      <c r="G20" s="304"/>
      <c r="H20" s="304"/>
      <c r="I20" s="304"/>
      <c r="J20" s="304"/>
      <c r="K20" s="304"/>
      <c r="L20" s="207"/>
    </row>
    <row r="21" spans="1:12" ht="20.25">
      <c r="C21" s="236"/>
    </row>
    <row r="22" spans="1:12">
      <c r="C22" s="218"/>
      <c r="D22" s="218" t="s">
        <v>513</v>
      </c>
    </row>
    <row r="23" spans="1:12" ht="17.25">
      <c r="D23" s="460" t="s">
        <v>475</v>
      </c>
      <c r="E23" s="461"/>
      <c r="F23" s="461"/>
      <c r="G23" s="462"/>
      <c r="H23" s="366"/>
    </row>
    <row r="24" spans="1:12" ht="17.25">
      <c r="D24" s="219"/>
      <c r="E24" s="220" t="s">
        <v>499</v>
      </c>
      <c r="F24" s="220" t="s">
        <v>500</v>
      </c>
      <c r="G24" s="220" t="s">
        <v>501</v>
      </c>
      <c r="H24" s="366"/>
    </row>
    <row r="25" spans="1:12" ht="17.25">
      <c r="D25" s="219"/>
      <c r="E25" s="220" t="s">
        <v>540</v>
      </c>
      <c r="F25" s="220" t="s">
        <v>541</v>
      </c>
      <c r="G25" s="220"/>
      <c r="H25" s="366"/>
    </row>
    <row r="26" spans="1:12" ht="251.45" customHeight="1">
      <c r="D26" s="221" t="s">
        <v>507</v>
      </c>
      <c r="E26" s="211" t="s">
        <v>479</v>
      </c>
      <c r="F26" s="211" t="s">
        <v>480</v>
      </c>
      <c r="G26" s="211"/>
      <c r="H26" s="365"/>
    </row>
    <row r="27" spans="1:12" ht="70.900000000000006" customHeight="1">
      <c r="D27" s="221" t="s">
        <v>508</v>
      </c>
      <c r="E27" s="212" t="s">
        <v>536</v>
      </c>
      <c r="F27" s="213" t="s">
        <v>538</v>
      </c>
      <c r="G27" s="213"/>
      <c r="H27" s="215"/>
    </row>
    <row r="29" spans="1:12" ht="25.15" customHeight="1">
      <c r="D29" s="218" t="s">
        <v>687</v>
      </c>
      <c r="E29" s="395"/>
    </row>
    <row r="30" spans="1:12" ht="25.15" customHeight="1">
      <c r="D30" s="463" t="s">
        <v>688</v>
      </c>
      <c r="E30" s="396">
        <f>COUNTA(E31:E33)</f>
        <v>3</v>
      </c>
      <c r="F30" s="362" t="s">
        <v>692</v>
      </c>
      <c r="G30" s="363" t="s">
        <v>735</v>
      </c>
      <c r="H30" s="363" t="s">
        <v>695</v>
      </c>
      <c r="I30" s="361" t="s">
        <v>686</v>
      </c>
    </row>
    <row r="31" spans="1:12" ht="25.15" customHeight="1">
      <c r="D31" s="464"/>
      <c r="E31" s="209" t="s">
        <v>689</v>
      </c>
      <c r="F31" s="210" t="str">
        <f>VLOOKUP(E31,'조건문 LIST'!$C:$G,5,FALSE)</f>
        <v>Y</v>
      </c>
      <c r="G31" s="210">
        <f>IF(F31="Y",1,0)</f>
        <v>1</v>
      </c>
      <c r="H31" s="465">
        <f>SUM(G31:G33)</f>
        <v>2</v>
      </c>
      <c r="I31" s="468" t="str">
        <f>IF((E30=H31),"의무 대상","의무 대상 아님")</f>
        <v>의무 대상 아님</v>
      </c>
    </row>
    <row r="32" spans="1:12" ht="25.15" customHeight="1">
      <c r="D32" s="464"/>
      <c r="E32" s="209" t="s">
        <v>690</v>
      </c>
      <c r="F32" s="210" t="str">
        <f>VLOOKUP(E32,'조건문 LIST'!$C:$G,5,FALSE)</f>
        <v>N</v>
      </c>
      <c r="G32" s="210">
        <f>IF(F32="Y",1,0)</f>
        <v>0</v>
      </c>
      <c r="H32" s="466"/>
      <c r="I32" s="468"/>
    </row>
    <row r="33" spans="1:12" ht="25.15" customHeight="1">
      <c r="D33" s="464"/>
      <c r="E33" s="209" t="s">
        <v>543</v>
      </c>
      <c r="F33" s="210" t="str">
        <f>VLOOKUP(E33,'조건문 LIST'!$C:$G,5,FALSE)</f>
        <v>Y</v>
      </c>
      <c r="G33" s="210">
        <f>IF(F33="Y",1,0)</f>
        <v>1</v>
      </c>
      <c r="H33" s="467"/>
      <c r="I33" s="468"/>
    </row>
    <row r="34" spans="1:12">
      <c r="D34" s="395"/>
      <c r="E34" s="395"/>
    </row>
    <row r="35" spans="1:12" s="307" customFormat="1">
      <c r="A35"/>
      <c r="B35" s="208"/>
      <c r="C35" s="208"/>
      <c r="D35" s="205"/>
      <c r="E35" s="205"/>
      <c r="F35" s="207"/>
      <c r="G35" s="207"/>
      <c r="H35" s="207"/>
      <c r="I35" s="207"/>
      <c r="J35" s="207"/>
      <c r="K35" s="207"/>
      <c r="L35" s="207"/>
    </row>
    <row r="36" spans="1:12" ht="20.25">
      <c r="A36" s="240" t="s">
        <v>539</v>
      </c>
      <c r="B36" s="306" t="str">
        <f>K46</f>
        <v>의무 대상 아님</v>
      </c>
      <c r="C36" s="240"/>
      <c r="D36" s="241"/>
      <c r="E36" s="241"/>
      <c r="F36" s="242"/>
      <c r="G36" s="242"/>
      <c r="H36" s="242"/>
      <c r="I36" s="242"/>
      <c r="J36" s="242"/>
      <c r="K36" s="242"/>
    </row>
    <row r="37" spans="1:12" ht="20.25">
      <c r="C37" s="236"/>
    </row>
    <row r="38" spans="1:12">
      <c r="C38" s="218"/>
      <c r="D38" s="218" t="s">
        <v>513</v>
      </c>
    </row>
    <row r="39" spans="1:12" ht="17.25">
      <c r="D39" s="460" t="s">
        <v>475</v>
      </c>
      <c r="E39" s="461"/>
      <c r="F39" s="461"/>
      <c r="G39" s="462"/>
      <c r="H39" s="366"/>
    </row>
    <row r="40" spans="1:12" ht="17.25">
      <c r="D40" s="219"/>
      <c r="E40" s="220" t="s">
        <v>499</v>
      </c>
      <c r="F40" s="220" t="s">
        <v>500</v>
      </c>
      <c r="G40" s="220" t="s">
        <v>501</v>
      </c>
      <c r="H40" s="366"/>
    </row>
    <row r="41" spans="1:12" ht="17.25">
      <c r="D41" s="219"/>
      <c r="E41" s="220" t="s">
        <v>540</v>
      </c>
      <c r="F41" s="220" t="s">
        <v>541</v>
      </c>
      <c r="G41" s="220"/>
      <c r="H41" s="366"/>
    </row>
    <row r="42" spans="1:12" ht="214.5">
      <c r="D42" s="221" t="s">
        <v>507</v>
      </c>
      <c r="E42" s="211" t="s">
        <v>479</v>
      </c>
      <c r="F42" s="211" t="s">
        <v>480</v>
      </c>
      <c r="G42" s="211"/>
      <c r="H42" s="365"/>
    </row>
    <row r="43" spans="1:12" ht="49.5">
      <c r="D43" s="221" t="s">
        <v>508</v>
      </c>
      <c r="E43" s="212" t="s">
        <v>536</v>
      </c>
      <c r="F43" s="213" t="s">
        <v>538</v>
      </c>
      <c r="G43" s="213"/>
      <c r="H43" s="215"/>
    </row>
    <row r="44" spans="1:12" ht="25.15" customHeight="1"/>
    <row r="45" spans="1:12" ht="25.15" customHeight="1">
      <c r="D45" s="218" t="s">
        <v>687</v>
      </c>
    </row>
    <row r="46" spans="1:12" ht="49.15" customHeight="1">
      <c r="D46" s="463" t="s">
        <v>688</v>
      </c>
      <c r="E46" s="396">
        <f>COUNTA(E47:E49)</f>
        <v>3</v>
      </c>
      <c r="F46" s="362" t="s">
        <v>692</v>
      </c>
      <c r="G46" s="363" t="s">
        <v>735</v>
      </c>
      <c r="H46" s="363" t="s">
        <v>695</v>
      </c>
      <c r="I46" s="361" t="s">
        <v>686</v>
      </c>
      <c r="J46" s="471" t="s">
        <v>693</v>
      </c>
      <c r="K46" s="473" t="str">
        <f>IF(OR(H47=E46,H51=E50),"의무 대상","의무 대상 아님")</f>
        <v>의무 대상 아님</v>
      </c>
    </row>
    <row r="47" spans="1:12" ht="33">
      <c r="D47" s="464"/>
      <c r="E47" s="210" t="s">
        <v>665</v>
      </c>
      <c r="F47" s="210" t="str">
        <f>VLOOKUP(E47,'조건문 LIST'!$C:$G,5,FALSE)</f>
        <v>Y</v>
      </c>
      <c r="G47" s="210">
        <f>IF(F47="Y",1,0)</f>
        <v>1</v>
      </c>
      <c r="H47" s="465">
        <f>SUM(G47:G49)</f>
        <v>2</v>
      </c>
      <c r="I47" s="468" t="str">
        <f>IF((E46=H47),"의무 대상","의무 대상 아님")</f>
        <v>의무 대상 아님</v>
      </c>
      <c r="J47" s="472"/>
      <c r="K47" s="474"/>
    </row>
    <row r="48" spans="1:12" ht="25.15" customHeight="1">
      <c r="D48" s="464"/>
      <c r="E48" s="209" t="s">
        <v>691</v>
      </c>
      <c r="F48" s="210" t="str">
        <f>VLOOKUP(E48,'조건문 LIST'!$C:$G,5,FALSE)</f>
        <v>N</v>
      </c>
      <c r="G48" s="210">
        <f>IF(F48="Y",1,0)</f>
        <v>0</v>
      </c>
      <c r="H48" s="466"/>
      <c r="I48" s="468"/>
      <c r="J48" s="472"/>
      <c r="K48" s="474"/>
    </row>
    <row r="49" spans="1:12" ht="25.15" customHeight="1">
      <c r="D49" s="464"/>
      <c r="E49" s="209" t="s">
        <v>543</v>
      </c>
      <c r="F49" s="210" t="str">
        <f>VLOOKUP(E49,'조건문 LIST'!$C:$G,5,FALSE)</f>
        <v>Y</v>
      </c>
      <c r="G49" s="210">
        <f>IF(F49="Y",1,0)</f>
        <v>1</v>
      </c>
      <c r="H49" s="467"/>
      <c r="I49" s="468"/>
      <c r="J49" s="472"/>
      <c r="K49" s="474"/>
    </row>
    <row r="50" spans="1:12" ht="49.15" customHeight="1">
      <c r="D50" s="463" t="s">
        <v>688</v>
      </c>
      <c r="E50" s="396">
        <f>COUNTA(E51:E53)</f>
        <v>3</v>
      </c>
      <c r="F50" s="362" t="s">
        <v>692</v>
      </c>
      <c r="G50" s="363" t="s">
        <v>735</v>
      </c>
      <c r="H50" s="363" t="s">
        <v>695</v>
      </c>
      <c r="I50" s="361" t="s">
        <v>686</v>
      </c>
      <c r="J50" s="472"/>
      <c r="K50" s="474"/>
    </row>
    <row r="51" spans="1:12" ht="25.15" customHeight="1">
      <c r="D51" s="464"/>
      <c r="E51" s="210" t="s">
        <v>514</v>
      </c>
      <c r="F51" s="210" t="str">
        <f>VLOOKUP(E51,'조건문 LIST'!$C:$G,5,FALSE)</f>
        <v>Y</v>
      </c>
      <c r="G51" s="210">
        <f>IF(F51="Y",1,0)</f>
        <v>1</v>
      </c>
      <c r="H51" s="465">
        <f>SUM(G51:G53)</f>
        <v>2</v>
      </c>
      <c r="I51" s="468" t="str">
        <f>IF((E50=H51),"의무 대상","의무 대상 아님")</f>
        <v>의무 대상 아님</v>
      </c>
      <c r="J51" s="472"/>
      <c r="K51" s="474"/>
    </row>
    <row r="52" spans="1:12" ht="25.15" customHeight="1">
      <c r="D52" s="464"/>
      <c r="E52" s="209" t="s">
        <v>664</v>
      </c>
      <c r="F52" s="210" t="str">
        <f>VLOOKUP(E52,'조건문 LIST'!$C:$G,5,FALSE)</f>
        <v>N</v>
      </c>
      <c r="G52" s="210">
        <f>IF(F52="Y",1,0)</f>
        <v>0</v>
      </c>
      <c r="H52" s="466"/>
      <c r="I52" s="468"/>
      <c r="J52" s="472"/>
      <c r="K52" s="474"/>
    </row>
    <row r="53" spans="1:12" ht="25.9" customHeight="1">
      <c r="D53" s="464"/>
      <c r="E53" s="209" t="s">
        <v>543</v>
      </c>
      <c r="F53" s="210" t="str">
        <f>VLOOKUP(E53,'조건문 LIST'!$C:$G,5,FALSE)</f>
        <v>Y</v>
      </c>
      <c r="G53" s="210">
        <f>IF(F53="Y",1,0)</f>
        <v>1</v>
      </c>
      <c r="H53" s="467"/>
      <c r="I53" s="468"/>
      <c r="J53" s="472"/>
      <c r="K53" s="475"/>
    </row>
    <row r="54" spans="1:12" s="309" customFormat="1">
      <c r="A54"/>
      <c r="B54" s="208"/>
      <c r="C54" s="208"/>
      <c r="D54" s="205"/>
      <c r="E54" s="205"/>
      <c r="F54" s="207"/>
      <c r="G54" s="207"/>
      <c r="H54" s="207"/>
      <c r="I54" s="207"/>
      <c r="J54" s="207"/>
      <c r="K54" s="207"/>
      <c r="L54" s="207"/>
    </row>
    <row r="55" spans="1:12" ht="20.25">
      <c r="A55" s="243" t="s">
        <v>470</v>
      </c>
      <c r="B55" s="308" t="str">
        <f>K65</f>
        <v>의무 대상</v>
      </c>
      <c r="C55" s="243"/>
      <c r="D55" s="244"/>
      <c r="E55" s="244"/>
      <c r="F55" s="245"/>
      <c r="G55" s="245"/>
      <c r="H55" s="245"/>
      <c r="I55" s="245"/>
      <c r="J55" s="245"/>
      <c r="K55" s="245"/>
    </row>
    <row r="56" spans="1:12" ht="20.25">
      <c r="C56" s="236"/>
    </row>
    <row r="57" spans="1:12">
      <c r="C57" s="218"/>
      <c r="D57" s="218" t="s">
        <v>513</v>
      </c>
    </row>
    <row r="58" spans="1:12" ht="17.25">
      <c r="D58" s="460" t="s">
        <v>475</v>
      </c>
      <c r="E58" s="461"/>
      <c r="F58" s="461"/>
      <c r="G58" s="462"/>
      <c r="H58" s="366"/>
    </row>
    <row r="59" spans="1:12" ht="17.25">
      <c r="D59" s="219"/>
      <c r="E59" s="220" t="s">
        <v>499</v>
      </c>
      <c r="F59" s="220" t="s">
        <v>500</v>
      </c>
      <c r="G59" s="220" t="s">
        <v>501</v>
      </c>
      <c r="H59" s="366"/>
    </row>
    <row r="60" spans="1:12" ht="17.25">
      <c r="D60" s="219"/>
      <c r="E60" s="220" t="s">
        <v>542</v>
      </c>
      <c r="F60" s="220"/>
      <c r="G60" s="220"/>
      <c r="H60" s="366"/>
    </row>
    <row r="61" spans="1:12" ht="165">
      <c r="D61" s="221" t="s">
        <v>507</v>
      </c>
      <c r="E61" s="213" t="s">
        <v>484</v>
      </c>
      <c r="F61" s="211"/>
      <c r="G61" s="211"/>
      <c r="H61" s="365"/>
    </row>
    <row r="62" spans="1:12" ht="49.5">
      <c r="D62" s="221" t="s">
        <v>508</v>
      </c>
      <c r="E62" s="212" t="s">
        <v>545</v>
      </c>
      <c r="F62" s="213"/>
      <c r="G62" s="213"/>
      <c r="H62" s="215"/>
    </row>
    <row r="63" spans="1:12" ht="25.15" customHeight="1"/>
    <row r="64" spans="1:12" ht="25.15" customHeight="1">
      <c r="D64" s="218" t="s">
        <v>687</v>
      </c>
    </row>
    <row r="65" spans="1:12" ht="49.15" customHeight="1">
      <c r="D65" s="463" t="s">
        <v>688</v>
      </c>
      <c r="E65" s="396">
        <f>COUNTA(E66:E68)</f>
        <v>3</v>
      </c>
      <c r="F65" s="362" t="s">
        <v>692</v>
      </c>
      <c r="G65" s="363" t="s">
        <v>735</v>
      </c>
      <c r="H65" s="363" t="s">
        <v>695</v>
      </c>
      <c r="I65" s="361" t="s">
        <v>686</v>
      </c>
      <c r="J65" s="471" t="s">
        <v>693</v>
      </c>
      <c r="K65" s="473" t="str">
        <f>IF(OR(H66=E65,H70=E69),"의무 대상","의무 대상 아님")</f>
        <v>의무 대상</v>
      </c>
    </row>
    <row r="66" spans="1:12" ht="25.15" customHeight="1">
      <c r="D66" s="464"/>
      <c r="E66" s="210" t="s">
        <v>668</v>
      </c>
      <c r="F66" s="210" t="str">
        <f>VLOOKUP(E66,'조건문 LIST'!$C:$G,5,FALSE)</f>
        <v>Y</v>
      </c>
      <c r="G66" s="210">
        <f>IF(F66="Y",1,0)</f>
        <v>1</v>
      </c>
      <c r="H66" s="465">
        <f>SUM(G66:G68)</f>
        <v>3</v>
      </c>
      <c r="I66" s="468" t="str">
        <f>IF((E65=H66),"의무 대상","의무 대상 아님")</f>
        <v>의무 대상</v>
      </c>
      <c r="J66" s="472"/>
      <c r="K66" s="474"/>
    </row>
    <row r="67" spans="1:12" ht="25.15" customHeight="1">
      <c r="D67" s="464"/>
      <c r="E67" s="209" t="s">
        <v>543</v>
      </c>
      <c r="F67" s="210" t="str">
        <f>VLOOKUP(E67,'조건문 LIST'!$C:$G,5,FALSE)</f>
        <v>Y</v>
      </c>
      <c r="G67" s="210">
        <f>IF(F67="Y",1,0)</f>
        <v>1</v>
      </c>
      <c r="H67" s="466"/>
      <c r="I67" s="468"/>
      <c r="J67" s="472"/>
      <c r="K67" s="474"/>
    </row>
    <row r="68" spans="1:12" ht="25.15" customHeight="1">
      <c r="D68" s="464"/>
      <c r="E68" s="209" t="s">
        <v>673</v>
      </c>
      <c r="F68" s="210" t="str">
        <f>VLOOKUP(E68,'조건문 LIST'!$C:$G,5,FALSE)</f>
        <v>Y</v>
      </c>
      <c r="G68" s="210">
        <f>IF(F68="Y",1,0)</f>
        <v>1</v>
      </c>
      <c r="H68" s="467"/>
      <c r="I68" s="468"/>
      <c r="J68" s="472"/>
      <c r="K68" s="474"/>
    </row>
    <row r="69" spans="1:12" ht="49.15" customHeight="1">
      <c r="D69" s="463" t="s">
        <v>688</v>
      </c>
      <c r="E69" s="396">
        <f>COUNTA(E70:E72)</f>
        <v>3</v>
      </c>
      <c r="F69" s="362" t="s">
        <v>692</v>
      </c>
      <c r="G69" s="363" t="s">
        <v>735</v>
      </c>
      <c r="H69" s="363" t="s">
        <v>695</v>
      </c>
      <c r="I69" s="361" t="s">
        <v>686</v>
      </c>
      <c r="J69" s="472"/>
      <c r="K69" s="474"/>
    </row>
    <row r="70" spans="1:12" ht="25.15" customHeight="1">
      <c r="D70" s="464"/>
      <c r="E70" s="210" t="s">
        <v>668</v>
      </c>
      <c r="F70" s="210" t="str">
        <f>VLOOKUP(E70,'조건문 LIST'!$C:$G,5,FALSE)</f>
        <v>Y</v>
      </c>
      <c r="G70" s="210">
        <f>IF(F70="Y",1,0)</f>
        <v>1</v>
      </c>
      <c r="H70" s="465">
        <f>SUM(G70:G72)</f>
        <v>2</v>
      </c>
      <c r="I70" s="468" t="str">
        <f>IF((E69=H70),"의무 대상","의무 대상 아님")</f>
        <v>의무 대상 아님</v>
      </c>
      <c r="J70" s="472"/>
      <c r="K70" s="474"/>
    </row>
    <row r="71" spans="1:12" ht="25.15" customHeight="1">
      <c r="D71" s="464"/>
      <c r="E71" s="209" t="s">
        <v>544</v>
      </c>
      <c r="F71" s="210" t="str">
        <f>VLOOKUP(E71,'조건문 LIST'!$C:$G,5,FALSE)</f>
        <v>Y</v>
      </c>
      <c r="G71" s="210">
        <f>IF(F71="Y",1,0)</f>
        <v>1</v>
      </c>
      <c r="H71" s="466"/>
      <c r="I71" s="468"/>
      <c r="J71" s="472"/>
      <c r="K71" s="474"/>
    </row>
    <row r="72" spans="1:12" ht="17.45" customHeight="1">
      <c r="D72" s="464"/>
      <c r="E72" s="209" t="s">
        <v>666</v>
      </c>
      <c r="F72" s="210" t="str">
        <f>VLOOKUP(E72,'조건문 LIST'!$C:$G,5,FALSE)</f>
        <v>N</v>
      </c>
      <c r="G72" s="210">
        <f>IF(F72="Y",1,0)</f>
        <v>0</v>
      </c>
      <c r="H72" s="467"/>
      <c r="I72" s="468"/>
      <c r="J72" s="472"/>
      <c r="K72" s="475"/>
    </row>
    <row r="73" spans="1:12" s="314" customFormat="1">
      <c r="A73"/>
      <c r="B73" s="208"/>
      <c r="C73" s="208"/>
      <c r="D73" s="205"/>
      <c r="E73" s="205"/>
      <c r="F73" s="207"/>
      <c r="G73" s="207"/>
      <c r="H73" s="207"/>
      <c r="I73" s="207"/>
      <c r="J73" s="207"/>
      <c r="K73" s="207"/>
      <c r="L73" s="207"/>
    </row>
    <row r="74" spans="1:12" ht="20.25">
      <c r="A74" s="310" t="s">
        <v>546</v>
      </c>
      <c r="B74" s="311" t="str">
        <f>I85</f>
        <v>의무 대상</v>
      </c>
      <c r="C74" s="310"/>
      <c r="D74" s="312"/>
      <c r="E74" s="312"/>
      <c r="F74" s="313"/>
      <c r="G74" s="313"/>
      <c r="H74" s="313"/>
      <c r="I74" s="313"/>
      <c r="J74" s="313"/>
      <c r="K74" s="313"/>
    </row>
    <row r="75" spans="1:12" ht="20.25">
      <c r="C75" s="236"/>
    </row>
    <row r="76" spans="1:12">
      <c r="C76" s="218"/>
      <c r="D76" s="218" t="s">
        <v>513</v>
      </c>
    </row>
    <row r="77" spans="1:12" ht="17.25">
      <c r="D77" s="460" t="s">
        <v>475</v>
      </c>
      <c r="E77" s="461"/>
      <c r="F77" s="461"/>
      <c r="G77" s="462"/>
      <c r="H77" s="366"/>
    </row>
    <row r="78" spans="1:12" ht="17.25">
      <c r="D78" s="219"/>
      <c r="E78" s="220" t="s">
        <v>499</v>
      </c>
      <c r="F78" s="220" t="s">
        <v>500</v>
      </c>
      <c r="G78" s="220" t="s">
        <v>501</v>
      </c>
      <c r="H78" s="366"/>
    </row>
    <row r="79" spans="1:12" ht="17.25">
      <c r="D79" s="219"/>
      <c r="E79" s="220" t="s">
        <v>547</v>
      </c>
      <c r="F79" s="220" t="s">
        <v>548</v>
      </c>
      <c r="G79" s="220"/>
      <c r="H79" s="366"/>
    </row>
    <row r="80" spans="1:12" ht="198">
      <c r="D80" s="221" t="s">
        <v>507</v>
      </c>
      <c r="E80" s="211" t="s">
        <v>485</v>
      </c>
      <c r="F80" s="211" t="s">
        <v>486</v>
      </c>
      <c r="G80" s="211"/>
      <c r="H80" s="365"/>
    </row>
    <row r="81" spans="1:12">
      <c r="D81" s="221" t="s">
        <v>508</v>
      </c>
      <c r="E81" s="212"/>
      <c r="F81" s="213" t="s">
        <v>549</v>
      </c>
      <c r="G81" s="213"/>
      <c r="H81" s="215"/>
    </row>
    <row r="82" spans="1:12" ht="25.15" customHeight="1"/>
    <row r="83" spans="1:12" ht="25.15" customHeight="1">
      <c r="D83" s="218" t="s">
        <v>687</v>
      </c>
    </row>
    <row r="84" spans="1:12" ht="49.15" customHeight="1">
      <c r="D84" s="476" t="s">
        <v>712</v>
      </c>
      <c r="E84" s="396">
        <f>COUNTA(E85:E94)</f>
        <v>10</v>
      </c>
      <c r="F84" s="362" t="s">
        <v>692</v>
      </c>
      <c r="G84" s="363" t="s">
        <v>735</v>
      </c>
      <c r="H84" s="363" t="s">
        <v>695</v>
      </c>
      <c r="I84" s="361" t="s">
        <v>686</v>
      </c>
      <c r="J84" s="471"/>
      <c r="K84" s="246"/>
      <c r="L84" s="246"/>
    </row>
    <row r="85" spans="1:12" ht="49.15" customHeight="1">
      <c r="D85" s="477"/>
      <c r="E85" s="210" t="s">
        <v>514</v>
      </c>
      <c r="F85" s="210" t="str">
        <f>VLOOKUP(E85,'조건문 LIST'!$C:$G,5,FALSE)</f>
        <v>Y</v>
      </c>
      <c r="G85" s="210">
        <f>IF(F85="Y",1,0)</f>
        <v>1</v>
      </c>
      <c r="H85" s="465">
        <f>SUM(G85:G94)</f>
        <v>1</v>
      </c>
      <c r="I85" s="468" t="str">
        <f>IF(H85&gt;0,"의무 대상","의무 대상 아님")</f>
        <v>의무 대상</v>
      </c>
      <c r="J85" s="472"/>
    </row>
    <row r="86" spans="1:12" ht="49.15" customHeight="1">
      <c r="D86" s="477"/>
      <c r="E86" s="210" t="s">
        <v>694</v>
      </c>
      <c r="F86" s="210" t="str">
        <f>VLOOKUP(E86,'조건문 LIST'!$C:$G,5,FALSE)</f>
        <v>N</v>
      </c>
      <c r="G86" s="210">
        <f t="shared" ref="G86:G94" si="0">IF(F86="Y",1,0)</f>
        <v>0</v>
      </c>
      <c r="H86" s="466"/>
      <c r="I86" s="468"/>
      <c r="J86" s="472"/>
    </row>
    <row r="87" spans="1:12" ht="25.15" customHeight="1">
      <c r="D87" s="477"/>
      <c r="E87" s="210" t="s">
        <v>704</v>
      </c>
      <c r="F87" s="210" t="str">
        <f>VLOOKUP(E87,'조건문 LIST'!$C:$G,5,FALSE)</f>
        <v>N</v>
      </c>
      <c r="G87" s="210">
        <f t="shared" si="0"/>
        <v>0</v>
      </c>
      <c r="H87" s="466"/>
      <c r="I87" s="468"/>
      <c r="J87" s="472"/>
    </row>
    <row r="88" spans="1:12" ht="25.15" customHeight="1">
      <c r="D88" s="477"/>
      <c r="E88" s="210" t="s">
        <v>705</v>
      </c>
      <c r="F88" s="210" t="str">
        <f>VLOOKUP(E88,'조건문 LIST'!$C:$G,5,FALSE)</f>
        <v>N</v>
      </c>
      <c r="G88" s="210">
        <f t="shared" si="0"/>
        <v>0</v>
      </c>
      <c r="H88" s="466"/>
      <c r="I88" s="468"/>
      <c r="J88" s="472"/>
    </row>
    <row r="89" spans="1:12" ht="25.15" customHeight="1">
      <c r="D89" s="477"/>
      <c r="E89" s="210" t="s">
        <v>706</v>
      </c>
      <c r="F89" s="210" t="str">
        <f>VLOOKUP(E89,'조건문 LIST'!$C:$G,5,FALSE)</f>
        <v>N</v>
      </c>
      <c r="G89" s="210">
        <f t="shared" si="0"/>
        <v>0</v>
      </c>
      <c r="H89" s="466"/>
      <c r="I89" s="468"/>
      <c r="J89" s="472"/>
    </row>
    <row r="90" spans="1:12" ht="25.15" customHeight="1">
      <c r="D90" s="477"/>
      <c r="E90" s="210" t="s">
        <v>707</v>
      </c>
      <c r="F90" s="210" t="str">
        <f>VLOOKUP(E90,'조건문 LIST'!$C:$G,5,FALSE)</f>
        <v>N</v>
      </c>
      <c r="G90" s="210">
        <f t="shared" si="0"/>
        <v>0</v>
      </c>
      <c r="H90" s="466"/>
      <c r="I90" s="468"/>
      <c r="J90" s="472"/>
    </row>
    <row r="91" spans="1:12" ht="25.15" customHeight="1">
      <c r="D91" s="477"/>
      <c r="E91" s="210" t="s">
        <v>708</v>
      </c>
      <c r="F91" s="210" t="str">
        <f>VLOOKUP(E91,'조건문 LIST'!$C:$G,5,FALSE)</f>
        <v>N</v>
      </c>
      <c r="G91" s="210">
        <f t="shared" si="0"/>
        <v>0</v>
      </c>
      <c r="H91" s="466"/>
      <c r="I91" s="468"/>
      <c r="J91" s="472"/>
    </row>
    <row r="92" spans="1:12" ht="25.15" customHeight="1">
      <c r="D92" s="477"/>
      <c r="E92" s="210" t="s">
        <v>709</v>
      </c>
      <c r="F92" s="210" t="str">
        <f>VLOOKUP(E92,'조건문 LIST'!$C:$G,5,FALSE)</f>
        <v>N</v>
      </c>
      <c r="G92" s="210">
        <f t="shared" si="0"/>
        <v>0</v>
      </c>
      <c r="H92" s="466"/>
      <c r="I92" s="468"/>
      <c r="J92" s="472"/>
    </row>
    <row r="93" spans="1:12" ht="25.15" customHeight="1">
      <c r="D93" s="477"/>
      <c r="E93" s="210" t="s">
        <v>710</v>
      </c>
      <c r="F93" s="210" t="str">
        <f>VLOOKUP(E93,'조건문 LIST'!$C:$G,5,FALSE)</f>
        <v>N</v>
      </c>
      <c r="G93" s="210">
        <f t="shared" si="0"/>
        <v>0</v>
      </c>
      <c r="H93" s="466"/>
      <c r="I93" s="468"/>
      <c r="J93" s="472"/>
    </row>
    <row r="94" spans="1:12">
      <c r="D94" s="477"/>
      <c r="E94" s="210" t="s">
        <v>711</v>
      </c>
      <c r="F94" s="210" t="str">
        <f>VLOOKUP(E94,'조건문 LIST'!$C:$G,5,FALSE)</f>
        <v>N</v>
      </c>
      <c r="G94" s="210">
        <f t="shared" si="0"/>
        <v>0</v>
      </c>
      <c r="H94" s="467"/>
      <c r="I94" s="468"/>
      <c r="J94" s="472"/>
    </row>
    <row r="95" spans="1:12">
      <c r="D95" s="218"/>
    </row>
    <row r="96" spans="1:12" s="250" customFormat="1">
      <c r="A96"/>
      <c r="B96" s="208"/>
      <c r="C96" s="208"/>
      <c r="D96" s="205"/>
      <c r="E96" s="205"/>
      <c r="F96" s="207"/>
      <c r="G96" s="207"/>
      <c r="H96" s="207"/>
      <c r="I96" s="207"/>
      <c r="J96" s="207"/>
      <c r="K96" s="207"/>
      <c r="L96" s="207"/>
    </row>
    <row r="97" spans="1:12" ht="20.25">
      <c r="A97" s="249" t="s">
        <v>552</v>
      </c>
      <c r="B97" s="358" t="str">
        <f>I108</f>
        <v>의무 대상</v>
      </c>
      <c r="C97" s="249"/>
      <c r="D97" s="247"/>
      <c r="E97" s="247"/>
      <c r="F97" s="248"/>
      <c r="G97" s="248"/>
      <c r="H97" s="248"/>
      <c r="I97" s="248"/>
      <c r="J97" s="248"/>
      <c r="K97" s="248"/>
    </row>
    <row r="98" spans="1:12" ht="20.25">
      <c r="C98" s="236"/>
    </row>
    <row r="99" spans="1:12">
      <c r="C99" s="218"/>
      <c r="D99" s="218" t="s">
        <v>513</v>
      </c>
    </row>
    <row r="100" spans="1:12" ht="17.25">
      <c r="D100" s="460" t="s">
        <v>475</v>
      </c>
      <c r="E100" s="461"/>
      <c r="F100" s="461"/>
      <c r="G100" s="462"/>
      <c r="H100" s="366"/>
    </row>
    <row r="101" spans="1:12" ht="17.25">
      <c r="D101" s="219"/>
      <c r="E101" s="220" t="s">
        <v>499</v>
      </c>
      <c r="F101" s="220" t="s">
        <v>500</v>
      </c>
      <c r="G101" s="220" t="s">
        <v>501</v>
      </c>
      <c r="H101" s="366"/>
    </row>
    <row r="102" spans="1:12" ht="17.25">
      <c r="D102" s="219"/>
      <c r="E102" s="220" t="s">
        <v>553</v>
      </c>
      <c r="F102" s="220"/>
      <c r="G102" s="220"/>
      <c r="H102" s="366"/>
    </row>
    <row r="103" spans="1:12" ht="66">
      <c r="D103" s="221" t="s">
        <v>507</v>
      </c>
      <c r="E103" s="211" t="s">
        <v>483</v>
      </c>
      <c r="F103" s="211"/>
      <c r="G103" s="211"/>
      <c r="H103" s="365"/>
    </row>
    <row r="104" spans="1:12">
      <c r="D104" s="221" t="s">
        <v>508</v>
      </c>
      <c r="E104" s="212" t="s">
        <v>554</v>
      </c>
      <c r="F104" s="213"/>
      <c r="G104" s="213"/>
      <c r="H104" s="215"/>
    </row>
    <row r="105" spans="1:12" ht="25.15" customHeight="1"/>
    <row r="106" spans="1:12" ht="25.15" customHeight="1">
      <c r="D106" s="218" t="s">
        <v>687</v>
      </c>
    </row>
    <row r="107" spans="1:12" ht="49.15" customHeight="1">
      <c r="D107" s="463" t="s">
        <v>688</v>
      </c>
      <c r="E107" s="396">
        <f>COUNTA(E108:E110)</f>
        <v>2</v>
      </c>
      <c r="F107" s="362" t="s">
        <v>692</v>
      </c>
      <c r="G107" s="363" t="s">
        <v>735</v>
      </c>
      <c r="H107" s="363" t="s">
        <v>695</v>
      </c>
      <c r="I107" s="361" t="s">
        <v>686</v>
      </c>
    </row>
    <row r="108" spans="1:12" ht="25.15" customHeight="1">
      <c r="D108" s="464"/>
      <c r="E108" s="210" t="s">
        <v>514</v>
      </c>
      <c r="F108" s="210" t="str">
        <f>VLOOKUP(E108,'조건문 LIST'!$C:$G,5,FALSE)</f>
        <v>Y</v>
      </c>
      <c r="G108" s="210">
        <f t="shared" ref="G108:G109" si="1">IF(F108="Y",1,0)</f>
        <v>1</v>
      </c>
      <c r="H108" s="465">
        <f>SUM(G108:G110)</f>
        <v>2</v>
      </c>
      <c r="I108" s="468" t="str">
        <f>IF((E107=H108),"의무 대상","의무 대상 아님")</f>
        <v>의무 대상</v>
      </c>
    </row>
    <row r="109" spans="1:12" ht="25.15" customHeight="1">
      <c r="D109" s="464"/>
      <c r="E109" s="209" t="s">
        <v>555</v>
      </c>
      <c r="F109" s="210" t="str">
        <f>VLOOKUP(E109,'조건문 LIST'!$C:$G,5,FALSE)</f>
        <v>Y</v>
      </c>
      <c r="G109" s="210">
        <f t="shared" si="1"/>
        <v>1</v>
      </c>
      <c r="H109" s="466"/>
      <c r="I109" s="468"/>
    </row>
    <row r="110" spans="1:12">
      <c r="D110" s="464"/>
      <c r="E110" s="209"/>
      <c r="F110" s="210"/>
      <c r="G110" s="210"/>
      <c r="H110" s="467"/>
      <c r="I110" s="468"/>
    </row>
    <row r="112" spans="1:12" s="255" customFormat="1">
      <c r="A112"/>
      <c r="B112" s="208"/>
      <c r="C112" s="208"/>
      <c r="D112" s="205"/>
      <c r="E112" s="205"/>
      <c r="F112" s="207"/>
      <c r="G112" s="207"/>
      <c r="H112" s="207"/>
      <c r="I112" s="207"/>
      <c r="J112" s="207"/>
      <c r="K112" s="207"/>
      <c r="L112" s="207"/>
    </row>
    <row r="113" spans="1:11" ht="20.25">
      <c r="A113" s="252" t="s">
        <v>556</v>
      </c>
      <c r="B113" s="251" t="str">
        <f>K123</f>
        <v>의무 대상</v>
      </c>
      <c r="C113" s="252"/>
      <c r="D113" s="253"/>
      <c r="E113" s="253"/>
      <c r="F113" s="254"/>
      <c r="G113" s="254"/>
      <c r="H113" s="254"/>
      <c r="I113" s="254"/>
      <c r="J113" s="254"/>
      <c r="K113" s="254"/>
    </row>
    <row r="114" spans="1:11" ht="20.25">
      <c r="C114" s="236"/>
    </row>
    <row r="115" spans="1:11">
      <c r="C115" s="218"/>
      <c r="D115" s="218" t="s">
        <v>513</v>
      </c>
    </row>
    <row r="116" spans="1:11" ht="17.25">
      <c r="D116" s="460" t="s">
        <v>475</v>
      </c>
      <c r="E116" s="461"/>
      <c r="F116" s="461"/>
      <c r="G116" s="462"/>
      <c r="H116" s="366"/>
    </row>
    <row r="117" spans="1:11" ht="17.25">
      <c r="D117" s="219"/>
      <c r="E117" s="220" t="s">
        <v>499</v>
      </c>
      <c r="F117" s="220" t="s">
        <v>500</v>
      </c>
      <c r="G117" s="220" t="s">
        <v>501</v>
      </c>
      <c r="H117" s="366"/>
    </row>
    <row r="118" spans="1:11" ht="17.25">
      <c r="D118" s="219"/>
      <c r="E118" s="220" t="s">
        <v>557</v>
      </c>
      <c r="F118" s="220" t="s">
        <v>558</v>
      </c>
      <c r="G118" s="220" t="s">
        <v>559</v>
      </c>
      <c r="H118" s="366"/>
    </row>
    <row r="119" spans="1:11" ht="247.5">
      <c r="D119" s="221" t="s">
        <v>507</v>
      </c>
      <c r="E119" s="211" t="s">
        <v>487</v>
      </c>
      <c r="F119" s="211" t="s">
        <v>488</v>
      </c>
      <c r="G119" s="213" t="s">
        <v>489</v>
      </c>
      <c r="H119" s="215"/>
    </row>
    <row r="120" spans="1:11" ht="49.5">
      <c r="D120" s="221" t="s">
        <v>508</v>
      </c>
      <c r="E120" s="212" t="s">
        <v>562</v>
      </c>
      <c r="F120" s="213" t="s">
        <v>561</v>
      </c>
      <c r="G120" s="213"/>
      <c r="H120" s="215"/>
    </row>
    <row r="121" spans="1:11" ht="25.15" customHeight="1"/>
    <row r="122" spans="1:11" ht="25.15" customHeight="1">
      <c r="D122" s="218" t="s">
        <v>687</v>
      </c>
    </row>
    <row r="123" spans="1:11" ht="25.15" customHeight="1">
      <c r="D123" s="463" t="s">
        <v>688</v>
      </c>
      <c r="E123" s="396">
        <f>COUNTA(E124:E126)</f>
        <v>2</v>
      </c>
      <c r="F123" s="362" t="s">
        <v>692</v>
      </c>
      <c r="G123" s="363" t="s">
        <v>735</v>
      </c>
      <c r="H123" s="363" t="s">
        <v>695</v>
      </c>
      <c r="I123" s="361" t="s">
        <v>686</v>
      </c>
      <c r="J123" s="471" t="s">
        <v>693</v>
      </c>
      <c r="K123" s="473" t="str">
        <f>IF(OR(H124=E123,H128=E127,H132=E131),"의무 대상","의무 대상 아님")</f>
        <v>의무 대상</v>
      </c>
    </row>
    <row r="124" spans="1:11" ht="25.15" customHeight="1">
      <c r="D124" s="464"/>
      <c r="E124" s="210" t="s">
        <v>564</v>
      </c>
      <c r="F124" s="210" t="str">
        <f>VLOOKUP(E124,'조건문 LIST'!$C:$G,5,FALSE)</f>
        <v>Y</v>
      </c>
      <c r="G124" s="210">
        <f t="shared" ref="G124:G125" si="2">IF(F124="Y",1,0)</f>
        <v>1</v>
      </c>
      <c r="H124" s="465">
        <f>SUM(G124:G126)</f>
        <v>2</v>
      </c>
      <c r="I124" s="468" t="str">
        <f>IF((E123=H124),"의무 대상","의무 대상 아님")</f>
        <v>의무 대상</v>
      </c>
      <c r="J124" s="472"/>
      <c r="K124" s="474"/>
    </row>
    <row r="125" spans="1:11" ht="25.15" customHeight="1">
      <c r="D125" s="464"/>
      <c r="E125" s="209" t="s">
        <v>566</v>
      </c>
      <c r="F125" s="210" t="str">
        <f>VLOOKUP(E125,'조건문 LIST'!$C:$G,5,FALSE)</f>
        <v>Y</v>
      </c>
      <c r="G125" s="210">
        <f t="shared" si="2"/>
        <v>1</v>
      </c>
      <c r="H125" s="466"/>
      <c r="I125" s="468"/>
      <c r="J125" s="472"/>
      <c r="K125" s="474"/>
    </row>
    <row r="126" spans="1:11" ht="25.15" customHeight="1">
      <c r="D126" s="464"/>
      <c r="E126" s="209"/>
      <c r="F126" s="210"/>
      <c r="G126" s="210"/>
      <c r="H126" s="467"/>
      <c r="I126" s="468"/>
      <c r="J126" s="472"/>
      <c r="K126" s="474"/>
    </row>
    <row r="127" spans="1:11" ht="25.15" customHeight="1">
      <c r="D127" s="463" t="s">
        <v>688</v>
      </c>
      <c r="E127" s="396">
        <f>COUNTA(E128:E130)</f>
        <v>2</v>
      </c>
      <c r="F127" s="362" t="s">
        <v>692</v>
      </c>
      <c r="G127" s="363" t="s">
        <v>735</v>
      </c>
      <c r="H127" s="363" t="s">
        <v>695</v>
      </c>
      <c r="I127" s="361" t="s">
        <v>686</v>
      </c>
      <c r="J127" s="472"/>
      <c r="K127" s="474"/>
    </row>
    <row r="128" spans="1:11" ht="25.15" customHeight="1">
      <c r="D128" s="464"/>
      <c r="E128" s="210" t="s">
        <v>564</v>
      </c>
      <c r="F128" s="210" t="str">
        <f>VLOOKUP(E128,'조건문 LIST'!$C:$G,5,FALSE)</f>
        <v>Y</v>
      </c>
      <c r="G128" s="210">
        <f t="shared" ref="G128:G129" si="3">IF(F128="Y",1,0)</f>
        <v>1</v>
      </c>
      <c r="H128" s="465">
        <f>SUM(G128:G130)</f>
        <v>2</v>
      </c>
      <c r="I128" s="468" t="str">
        <f>IF((E127=H128),"의무 대상","의무 대상 아님")</f>
        <v>의무 대상</v>
      </c>
      <c r="J128" s="472"/>
      <c r="K128" s="474"/>
    </row>
    <row r="129" spans="1:12" ht="25.15" customHeight="1">
      <c r="D129" s="464"/>
      <c r="E129" s="209" t="s">
        <v>568</v>
      </c>
      <c r="F129" s="210" t="str">
        <f>VLOOKUP(E129,'조건문 LIST'!$C:$G,5,FALSE)</f>
        <v>Y</v>
      </c>
      <c r="G129" s="210">
        <f t="shared" si="3"/>
        <v>1</v>
      </c>
      <c r="H129" s="466"/>
      <c r="I129" s="468"/>
      <c r="J129" s="472"/>
      <c r="K129" s="474"/>
    </row>
    <row r="130" spans="1:12" ht="25.15" customHeight="1">
      <c r="D130" s="464"/>
      <c r="E130" s="209"/>
      <c r="F130" s="210"/>
      <c r="G130" s="210"/>
      <c r="H130" s="467"/>
      <c r="I130" s="468"/>
      <c r="J130" s="472"/>
      <c r="K130" s="474"/>
    </row>
    <row r="131" spans="1:12" ht="25.15" customHeight="1">
      <c r="D131" s="463" t="s">
        <v>688</v>
      </c>
      <c r="E131" s="396">
        <f>COUNTA(E132:E134)</f>
        <v>2</v>
      </c>
      <c r="F131" s="362" t="s">
        <v>692</v>
      </c>
      <c r="G131" s="363" t="s">
        <v>735</v>
      </c>
      <c r="H131" s="363" t="s">
        <v>695</v>
      </c>
      <c r="I131" s="361" t="s">
        <v>686</v>
      </c>
      <c r="J131" s="472"/>
      <c r="K131" s="474"/>
    </row>
    <row r="132" spans="1:12" ht="25.15" customHeight="1">
      <c r="D132" s="464"/>
      <c r="E132" s="210" t="s">
        <v>564</v>
      </c>
      <c r="F132" s="210" t="str">
        <f>VLOOKUP(E132,'조건문 LIST'!$C:$G,5,FALSE)</f>
        <v>Y</v>
      </c>
      <c r="G132" s="210">
        <f t="shared" ref="G132:G133" si="4">IF(F132="Y",1,0)</f>
        <v>1</v>
      </c>
      <c r="H132" s="465">
        <f>SUM(G132:G134)</f>
        <v>1</v>
      </c>
      <c r="I132" s="468" t="str">
        <f>IF((E131=H132),"의무 대상","의무 대상 아님")</f>
        <v>의무 대상 아님</v>
      </c>
      <c r="J132" s="472"/>
      <c r="K132" s="474"/>
    </row>
    <row r="133" spans="1:12" ht="25.15" customHeight="1">
      <c r="D133" s="464"/>
      <c r="E133" s="209" t="s">
        <v>569</v>
      </c>
      <c r="F133" s="210" t="str">
        <f>VLOOKUP(E133,'조건문 LIST'!$C:$G,5,FALSE)</f>
        <v>N</v>
      </c>
      <c r="G133" s="210">
        <f t="shared" si="4"/>
        <v>0</v>
      </c>
      <c r="H133" s="466"/>
      <c r="I133" s="468"/>
      <c r="J133" s="472"/>
      <c r="K133" s="474"/>
    </row>
    <row r="134" spans="1:12">
      <c r="D134" s="464"/>
      <c r="E134" s="209"/>
      <c r="F134" s="210"/>
      <c r="G134" s="210"/>
      <c r="H134" s="467"/>
      <c r="I134" s="468"/>
      <c r="J134" s="472"/>
      <c r="K134" s="475"/>
    </row>
    <row r="135" spans="1:12" s="259" customFormat="1">
      <c r="A135"/>
      <c r="B135" s="208"/>
      <c r="C135" s="208"/>
      <c r="D135" s="205"/>
      <c r="E135" s="205"/>
      <c r="F135" s="207"/>
      <c r="G135" s="207"/>
      <c r="H135" s="207"/>
      <c r="I135" s="207"/>
      <c r="J135" s="207"/>
      <c r="K135" s="207"/>
      <c r="L135" s="207"/>
    </row>
    <row r="136" spans="1:12" ht="20.25">
      <c r="A136" s="256" t="s">
        <v>471</v>
      </c>
      <c r="B136" s="368" t="str">
        <f>I147</f>
        <v>의무 대상</v>
      </c>
      <c r="C136" s="256"/>
      <c r="D136" s="257"/>
      <c r="E136" s="257"/>
      <c r="F136" s="258"/>
      <c r="G136" s="258"/>
      <c r="H136" s="258"/>
      <c r="I136" s="258"/>
      <c r="J136" s="258"/>
      <c r="K136" s="258"/>
    </row>
    <row r="137" spans="1:12" ht="20.25">
      <c r="C137" s="236"/>
    </row>
    <row r="138" spans="1:12">
      <c r="C138" s="218"/>
      <c r="D138" s="218" t="s">
        <v>513</v>
      </c>
    </row>
    <row r="139" spans="1:12" ht="17.25">
      <c r="D139" s="460" t="s">
        <v>475</v>
      </c>
      <c r="E139" s="461"/>
      <c r="F139" s="461"/>
      <c r="G139" s="462"/>
      <c r="H139" s="366"/>
    </row>
    <row r="140" spans="1:12" ht="17.25">
      <c r="D140" s="219"/>
      <c r="E140" s="220" t="s">
        <v>499</v>
      </c>
      <c r="F140" s="220" t="s">
        <v>500</v>
      </c>
      <c r="G140" s="220" t="s">
        <v>501</v>
      </c>
      <c r="H140" s="366"/>
    </row>
    <row r="141" spans="1:12" ht="17.25">
      <c r="D141" s="219"/>
      <c r="E141" s="220" t="s">
        <v>573</v>
      </c>
      <c r="F141" s="220"/>
      <c r="G141" s="220"/>
      <c r="H141" s="366"/>
    </row>
    <row r="142" spans="1:12" ht="70.900000000000006" customHeight="1">
      <c r="D142" s="221" t="s">
        <v>507</v>
      </c>
      <c r="E142" s="212" t="s">
        <v>571</v>
      </c>
      <c r="F142" s="212" t="s">
        <v>572</v>
      </c>
      <c r="G142" s="211"/>
      <c r="H142" s="365"/>
    </row>
    <row r="143" spans="1:12">
      <c r="D143" s="221" t="s">
        <v>508</v>
      </c>
      <c r="E143" s="212"/>
      <c r="F143" s="213"/>
      <c r="G143" s="213"/>
      <c r="H143" s="215"/>
    </row>
    <row r="144" spans="1:12" ht="25.15" customHeight="1"/>
    <row r="145" spans="1:12" ht="25.15" customHeight="1">
      <c r="D145" s="218" t="s">
        <v>687</v>
      </c>
    </row>
    <row r="146" spans="1:12" ht="25.15" customHeight="1">
      <c r="D146" s="463" t="s">
        <v>688</v>
      </c>
      <c r="E146" s="396">
        <f>COUNTA(E147:E149)</f>
        <v>3</v>
      </c>
      <c r="F146" s="362" t="s">
        <v>692</v>
      </c>
      <c r="G146" s="363" t="s">
        <v>735</v>
      </c>
      <c r="H146" s="363" t="s">
        <v>695</v>
      </c>
      <c r="I146" s="361" t="s">
        <v>686</v>
      </c>
    </row>
    <row r="147" spans="1:12" ht="25.15" customHeight="1">
      <c r="D147" s="464"/>
      <c r="E147" s="210" t="s">
        <v>514</v>
      </c>
      <c r="F147" s="210" t="str">
        <f>VLOOKUP(E147,'조건문 LIST'!$C:$G,5,FALSE)</f>
        <v>Y</v>
      </c>
      <c r="G147" s="210">
        <f t="shared" ref="G147:G149" si="5">IF(F147="Y",1,0)</f>
        <v>1</v>
      </c>
      <c r="H147" s="465">
        <f>SUM(G147:G149)</f>
        <v>3</v>
      </c>
      <c r="I147" s="468" t="str">
        <f>IF((E146=H147),"의무 대상","의무 대상 아님")</f>
        <v>의무 대상</v>
      </c>
    </row>
    <row r="148" spans="1:12" ht="25.15" customHeight="1">
      <c r="D148" s="464"/>
      <c r="E148" s="209" t="s">
        <v>574</v>
      </c>
      <c r="F148" s="210" t="str">
        <f>VLOOKUP(E148,'조건문 LIST'!$C:$G,5,FALSE)</f>
        <v>Y</v>
      </c>
      <c r="G148" s="210">
        <f t="shared" si="5"/>
        <v>1</v>
      </c>
      <c r="H148" s="466"/>
      <c r="I148" s="468"/>
    </row>
    <row r="149" spans="1:12">
      <c r="D149" s="464"/>
      <c r="E149" s="209" t="s">
        <v>713</v>
      </c>
      <c r="F149" s="210" t="str">
        <f>VLOOKUP(E149,'조건문 LIST'!$C:$G,5,FALSE)</f>
        <v>Y</v>
      </c>
      <c r="G149" s="210">
        <f t="shared" si="5"/>
        <v>1</v>
      </c>
      <c r="H149" s="467"/>
      <c r="I149" s="468"/>
    </row>
    <row r="151" spans="1:12" s="255" customFormat="1">
      <c r="A151"/>
      <c r="B151" s="208"/>
      <c r="C151" s="208"/>
      <c r="D151" s="205"/>
      <c r="E151" s="205"/>
      <c r="F151" s="207"/>
      <c r="G151" s="207"/>
      <c r="H151" s="207"/>
      <c r="I151" s="207"/>
      <c r="J151" s="207"/>
      <c r="K151" s="207"/>
      <c r="L151" s="207"/>
    </row>
    <row r="152" spans="1:12" ht="20.25">
      <c r="A152" s="252" t="s">
        <v>482</v>
      </c>
      <c r="B152" s="251" t="str">
        <f>I163</f>
        <v>의무 대상</v>
      </c>
      <c r="C152" s="252"/>
      <c r="D152" s="253"/>
      <c r="E152" s="253"/>
      <c r="F152" s="254"/>
      <c r="G152" s="254"/>
      <c r="H152" s="254"/>
      <c r="I152" s="254"/>
      <c r="J152" s="254"/>
      <c r="K152" s="254"/>
    </row>
    <row r="153" spans="1:12" ht="20.25">
      <c r="C153" s="236"/>
    </row>
    <row r="154" spans="1:12">
      <c r="C154" s="218"/>
      <c r="D154" s="218" t="s">
        <v>513</v>
      </c>
    </row>
    <row r="155" spans="1:12" ht="17.25">
      <c r="D155" s="460" t="s">
        <v>475</v>
      </c>
      <c r="E155" s="461"/>
      <c r="F155" s="461"/>
      <c r="G155" s="462"/>
      <c r="H155" s="366"/>
    </row>
    <row r="156" spans="1:12" ht="17.25">
      <c r="D156" s="219"/>
      <c r="E156" s="220" t="s">
        <v>499</v>
      </c>
      <c r="F156" s="220" t="s">
        <v>500</v>
      </c>
      <c r="G156" s="220" t="s">
        <v>501</v>
      </c>
      <c r="H156" s="366"/>
    </row>
    <row r="157" spans="1:12" ht="17.25">
      <c r="D157" s="219"/>
      <c r="E157" s="220" t="s">
        <v>575</v>
      </c>
      <c r="F157" s="220" t="s">
        <v>576</v>
      </c>
      <c r="G157" s="220" t="s">
        <v>535</v>
      </c>
      <c r="H157" s="366"/>
    </row>
    <row r="158" spans="1:12" ht="409.5">
      <c r="D158" s="221" t="s">
        <v>507</v>
      </c>
      <c r="E158" s="212" t="s">
        <v>510</v>
      </c>
      <c r="F158" s="212" t="s">
        <v>509</v>
      </c>
      <c r="G158" s="212" t="s">
        <v>511</v>
      </c>
    </row>
    <row r="159" spans="1:12">
      <c r="D159" s="221" t="s">
        <v>508</v>
      </c>
      <c r="E159" s="212"/>
      <c r="F159" s="213"/>
      <c r="G159" s="213" t="s">
        <v>577</v>
      </c>
      <c r="H159" s="215"/>
    </row>
    <row r="160" spans="1:12" ht="25.15" customHeight="1"/>
    <row r="161" spans="1:12" ht="25.15" customHeight="1">
      <c r="D161" s="218" t="s">
        <v>687</v>
      </c>
    </row>
    <row r="162" spans="1:12" ht="25.15" customHeight="1">
      <c r="D162" s="463" t="s">
        <v>688</v>
      </c>
      <c r="E162" s="396">
        <f>COUNTA(E163:E165)</f>
        <v>2</v>
      </c>
      <c r="F162" s="362" t="s">
        <v>692</v>
      </c>
      <c r="G162" s="363" t="s">
        <v>735</v>
      </c>
      <c r="H162" s="363" t="s">
        <v>695</v>
      </c>
      <c r="I162" s="361" t="s">
        <v>686</v>
      </c>
    </row>
    <row r="163" spans="1:12" ht="25.15" customHeight="1">
      <c r="D163" s="464"/>
      <c r="E163" s="210" t="s">
        <v>514</v>
      </c>
      <c r="F163" s="210" t="str">
        <f>VLOOKUP(E163,'조건문 LIST'!$C:$G,5,FALSE)</f>
        <v>Y</v>
      </c>
      <c r="G163" s="210">
        <f t="shared" ref="G163:G164" si="6">IF(F163="Y",1,0)</f>
        <v>1</v>
      </c>
      <c r="H163" s="465">
        <f>SUM(G163:G165)</f>
        <v>2</v>
      </c>
      <c r="I163" s="468" t="str">
        <f>IF((E162=H163),"의무 대상","의무 대상 아님")</f>
        <v>의무 대상</v>
      </c>
    </row>
    <row r="164" spans="1:12" ht="25.15" customHeight="1">
      <c r="D164" s="464"/>
      <c r="E164" s="209" t="s">
        <v>515</v>
      </c>
      <c r="F164" s="210" t="str">
        <f>VLOOKUP(E164,'조건문 LIST'!$C:$G,5,FALSE)</f>
        <v>Y</v>
      </c>
      <c r="G164" s="210">
        <f t="shared" si="6"/>
        <v>1</v>
      </c>
      <c r="H164" s="466"/>
      <c r="I164" s="468"/>
    </row>
    <row r="165" spans="1:12">
      <c r="D165" s="464"/>
      <c r="E165" s="209"/>
      <c r="F165" s="210"/>
      <c r="G165" s="210"/>
      <c r="H165" s="467"/>
      <c r="I165" s="468"/>
    </row>
    <row r="166" spans="1:12" s="264" customFormat="1">
      <c r="A166"/>
      <c r="B166" s="208"/>
      <c r="C166" s="208"/>
      <c r="D166" s="205"/>
      <c r="E166" s="205"/>
      <c r="F166" s="207"/>
      <c r="G166" s="207"/>
      <c r="H166" s="207"/>
      <c r="I166" s="207"/>
      <c r="J166" s="207"/>
      <c r="K166" s="207"/>
      <c r="L166" s="207"/>
    </row>
    <row r="167" spans="1:12" ht="20.25">
      <c r="A167" s="261" t="s">
        <v>578</v>
      </c>
      <c r="B167" s="260" t="str">
        <f>I178</f>
        <v>의무 대상 아님</v>
      </c>
      <c r="C167" s="261"/>
      <c r="D167" s="262"/>
      <c r="E167" s="262"/>
      <c r="F167" s="263"/>
      <c r="G167" s="263"/>
      <c r="H167" s="263"/>
      <c r="I167" s="263"/>
      <c r="J167" s="263"/>
      <c r="K167" s="263"/>
    </row>
    <row r="168" spans="1:12" ht="20.25">
      <c r="C168" s="236"/>
    </row>
    <row r="169" spans="1:12">
      <c r="C169" s="218"/>
      <c r="D169" s="218" t="s">
        <v>513</v>
      </c>
    </row>
    <row r="170" spans="1:12" ht="17.25">
      <c r="D170" s="460" t="s">
        <v>475</v>
      </c>
      <c r="E170" s="461"/>
      <c r="F170" s="461"/>
      <c r="G170" s="462"/>
      <c r="H170" s="366"/>
    </row>
    <row r="171" spans="1:12" ht="17.25">
      <c r="D171" s="219"/>
      <c r="E171" s="220" t="s">
        <v>499</v>
      </c>
      <c r="F171" s="220" t="s">
        <v>500</v>
      </c>
      <c r="G171" s="220" t="s">
        <v>501</v>
      </c>
      <c r="H171" s="366"/>
    </row>
    <row r="172" spans="1:12" ht="17.25">
      <c r="D172" s="219"/>
      <c r="E172" s="220" t="s">
        <v>575</v>
      </c>
      <c r="F172" s="220" t="s">
        <v>579</v>
      </c>
      <c r="G172" s="220"/>
      <c r="H172" s="366"/>
    </row>
    <row r="173" spans="1:12" ht="66">
      <c r="D173" s="221" t="s">
        <v>507</v>
      </c>
      <c r="E173" s="213" t="s">
        <v>491</v>
      </c>
      <c r="F173" s="213" t="s">
        <v>580</v>
      </c>
      <c r="G173" s="212"/>
    </row>
    <row r="174" spans="1:12">
      <c r="D174" s="221" t="s">
        <v>508</v>
      </c>
      <c r="E174" s="212"/>
      <c r="F174" s="213" t="s">
        <v>554</v>
      </c>
      <c r="G174" s="213"/>
      <c r="H174" s="215"/>
    </row>
    <row r="175" spans="1:12" ht="25.15" customHeight="1"/>
    <row r="176" spans="1:12" ht="25.15" customHeight="1">
      <c r="D176" s="218" t="s">
        <v>687</v>
      </c>
    </row>
    <row r="177" spans="1:12" ht="25.15" customHeight="1">
      <c r="D177" s="463" t="s">
        <v>688</v>
      </c>
      <c r="E177" s="396">
        <f>COUNTA(E178:E180)</f>
        <v>3</v>
      </c>
      <c r="F177" s="362" t="s">
        <v>692</v>
      </c>
      <c r="G177" s="363" t="s">
        <v>735</v>
      </c>
      <c r="H177" s="363" t="s">
        <v>695</v>
      </c>
      <c r="I177" s="361" t="s">
        <v>686</v>
      </c>
    </row>
    <row r="178" spans="1:12" ht="25.15" customHeight="1">
      <c r="D178" s="464"/>
      <c r="E178" s="210" t="s">
        <v>514</v>
      </c>
      <c r="F178" s="210" t="str">
        <f>VLOOKUP(E178,'조건문 LIST'!$C:$G,5,FALSE)</f>
        <v>Y</v>
      </c>
      <c r="G178" s="210">
        <f t="shared" ref="G178:G180" si="7">IF(F178="Y",1,0)</f>
        <v>1</v>
      </c>
      <c r="H178" s="465">
        <f>SUM(G178:G180)</f>
        <v>2</v>
      </c>
      <c r="I178" s="468" t="str">
        <f>IF((E177=H178),"의무 대상","의무 대상 아님")</f>
        <v>의무 대상 아님</v>
      </c>
    </row>
    <row r="179" spans="1:12" ht="25.15" customHeight="1">
      <c r="D179" s="464"/>
      <c r="E179" s="209" t="s">
        <v>555</v>
      </c>
      <c r="F179" s="210" t="str">
        <f>VLOOKUP(E179,'조건문 LIST'!$C:$G,5,FALSE)</f>
        <v>Y</v>
      </c>
      <c r="G179" s="210">
        <f t="shared" si="7"/>
        <v>1</v>
      </c>
      <c r="H179" s="466"/>
      <c r="I179" s="468"/>
    </row>
    <row r="180" spans="1:12">
      <c r="D180" s="464"/>
      <c r="E180" s="209" t="s">
        <v>664</v>
      </c>
      <c r="F180" s="210" t="str">
        <f>VLOOKUP(E180,'조건문 LIST'!$C:$G,5,FALSE)</f>
        <v>N</v>
      </c>
      <c r="G180" s="210">
        <f t="shared" si="7"/>
        <v>0</v>
      </c>
      <c r="H180" s="467"/>
      <c r="I180" s="468"/>
    </row>
    <row r="182" spans="1:12" s="268" customFormat="1">
      <c r="A182"/>
      <c r="B182" s="208"/>
      <c r="C182" s="208"/>
      <c r="D182" s="205"/>
      <c r="E182" s="205"/>
      <c r="F182" s="207"/>
      <c r="G182" s="207"/>
      <c r="H182" s="207"/>
      <c r="I182" s="207"/>
      <c r="J182" s="207"/>
      <c r="K182" s="207"/>
      <c r="L182" s="207"/>
    </row>
    <row r="183" spans="1:12" ht="20.25">
      <c r="A183" s="265" t="s">
        <v>472</v>
      </c>
      <c r="B183" s="369" t="str">
        <f>K193</f>
        <v>의무 대상</v>
      </c>
      <c r="C183" s="265"/>
      <c r="D183" s="266"/>
      <c r="E183" s="266"/>
      <c r="F183" s="267"/>
      <c r="G183" s="267"/>
      <c r="H183" s="267"/>
      <c r="I183" s="267"/>
      <c r="J183" s="267"/>
      <c r="K183" s="267"/>
    </row>
    <row r="184" spans="1:12" ht="20.25">
      <c r="C184" s="236"/>
    </row>
    <row r="185" spans="1:12">
      <c r="C185" s="218"/>
      <c r="D185" s="218" t="s">
        <v>513</v>
      </c>
    </row>
    <row r="186" spans="1:12" ht="17.25">
      <c r="D186" s="460" t="s">
        <v>475</v>
      </c>
      <c r="E186" s="461"/>
      <c r="F186" s="461"/>
      <c r="G186" s="462"/>
      <c r="H186" s="366"/>
    </row>
    <row r="187" spans="1:12" ht="17.25">
      <c r="D187" s="219"/>
      <c r="E187" s="220" t="s">
        <v>499</v>
      </c>
      <c r="F187" s="220" t="s">
        <v>500</v>
      </c>
      <c r="G187" s="220" t="s">
        <v>501</v>
      </c>
      <c r="H187" s="366"/>
    </row>
    <row r="188" spans="1:12" ht="17.25">
      <c r="D188" s="219"/>
      <c r="E188" s="220" t="s">
        <v>581</v>
      </c>
      <c r="F188" s="220" t="s">
        <v>585</v>
      </c>
      <c r="G188" s="220" t="s">
        <v>582</v>
      </c>
      <c r="H188" s="366"/>
    </row>
    <row r="189" spans="1:12" ht="148.5">
      <c r="D189" s="221" t="s">
        <v>507</v>
      </c>
      <c r="E189" s="211" t="s">
        <v>492</v>
      </c>
      <c r="F189" s="211" t="s">
        <v>495</v>
      </c>
      <c r="G189" s="211" t="s">
        <v>493</v>
      </c>
      <c r="H189" s="365"/>
    </row>
    <row r="190" spans="1:12">
      <c r="D190" s="221" t="s">
        <v>508</v>
      </c>
      <c r="E190" s="212"/>
      <c r="F190" s="213" t="s">
        <v>586</v>
      </c>
      <c r="G190" s="213" t="s">
        <v>587</v>
      </c>
      <c r="H190" s="215"/>
    </row>
    <row r="191" spans="1:12" ht="25.15" customHeight="1"/>
    <row r="192" spans="1:12" ht="25.15" customHeight="1">
      <c r="D192" s="218" t="s">
        <v>687</v>
      </c>
    </row>
    <row r="193" spans="1:12" ht="25.15" customHeight="1">
      <c r="C193" s="208" t="s">
        <v>714</v>
      </c>
      <c r="D193" s="463" t="s">
        <v>688</v>
      </c>
      <c r="E193" s="396">
        <f>COUNTA(E194:E196)</f>
        <v>3</v>
      </c>
      <c r="F193" s="362" t="s">
        <v>692</v>
      </c>
      <c r="G193" s="363" t="s">
        <v>735</v>
      </c>
      <c r="H193" s="363" t="s">
        <v>695</v>
      </c>
      <c r="I193" s="361" t="s">
        <v>686</v>
      </c>
      <c r="J193" s="471" t="s">
        <v>693</v>
      </c>
      <c r="K193" s="473" t="str">
        <f>IF(OR(H194=E193,H198=E197),"의무 대상","의무 대상 아님")</f>
        <v>의무 대상</v>
      </c>
    </row>
    <row r="194" spans="1:12" ht="25.15" customHeight="1">
      <c r="D194" s="464"/>
      <c r="E194" s="210" t="s">
        <v>673</v>
      </c>
      <c r="F194" s="210" t="str">
        <f>VLOOKUP(E194,'조건문 LIST'!$C:$G,5,FALSE)</f>
        <v>Y</v>
      </c>
      <c r="G194" s="210">
        <f t="shared" ref="G194:G196" si="8">IF(F194="Y",1,0)</f>
        <v>1</v>
      </c>
      <c r="H194" s="465">
        <f>SUM(G194:G196)</f>
        <v>3</v>
      </c>
      <c r="I194" s="468" t="str">
        <f>IF((E193=H194),"의무 대상","의무 대상 아님")</f>
        <v>의무 대상</v>
      </c>
      <c r="J194" s="472"/>
      <c r="K194" s="474"/>
    </row>
    <row r="195" spans="1:12" ht="25.15" customHeight="1">
      <c r="D195" s="464"/>
      <c r="E195" s="209" t="s">
        <v>668</v>
      </c>
      <c r="F195" s="210" t="str">
        <f>VLOOKUP(E195,'조건문 LIST'!$C:$G,5,FALSE)</f>
        <v>Y</v>
      </c>
      <c r="G195" s="210">
        <f t="shared" si="8"/>
        <v>1</v>
      </c>
      <c r="H195" s="466"/>
      <c r="I195" s="468"/>
      <c r="J195" s="472"/>
      <c r="K195" s="474"/>
    </row>
    <row r="196" spans="1:12" ht="25.15" customHeight="1">
      <c r="D196" s="464"/>
      <c r="E196" s="209" t="s">
        <v>544</v>
      </c>
      <c r="F196" s="210" t="str">
        <f>VLOOKUP(E196,'조건문 LIST'!$C:$G,5,FALSE)</f>
        <v>Y</v>
      </c>
      <c r="G196" s="210">
        <f t="shared" si="8"/>
        <v>1</v>
      </c>
      <c r="H196" s="467"/>
      <c r="I196" s="468"/>
      <c r="J196" s="472"/>
      <c r="K196" s="474"/>
    </row>
    <row r="197" spans="1:12" ht="25.15" customHeight="1">
      <c r="C197" s="208" t="s">
        <v>715</v>
      </c>
      <c r="D197" s="463" t="s">
        <v>688</v>
      </c>
      <c r="E197" s="396">
        <f>COUNTA(E198:E201)</f>
        <v>4</v>
      </c>
      <c r="F197" s="362" t="s">
        <v>692</v>
      </c>
      <c r="G197" s="363" t="s">
        <v>735</v>
      </c>
      <c r="H197" s="363" t="s">
        <v>695</v>
      </c>
      <c r="I197" s="361" t="s">
        <v>686</v>
      </c>
      <c r="J197" s="472"/>
      <c r="K197" s="474"/>
    </row>
    <row r="198" spans="1:12" ht="25.15" customHeight="1">
      <c r="D198" s="464"/>
      <c r="E198" s="210" t="s">
        <v>673</v>
      </c>
      <c r="F198" s="210" t="str">
        <f>VLOOKUP(E198,'조건문 LIST'!$C:$G,5,FALSE)</f>
        <v>Y</v>
      </c>
      <c r="G198" s="210">
        <f t="shared" ref="G198:G201" si="9">IF(F198="Y",1,0)</f>
        <v>1</v>
      </c>
      <c r="H198" s="465">
        <f>SUM(G198:G201)</f>
        <v>3</v>
      </c>
      <c r="I198" s="468" t="str">
        <f>IF((H198=E197),"의무 대상","의무 대상 아님")</f>
        <v>의무 대상 아님</v>
      </c>
      <c r="J198" s="472"/>
      <c r="K198" s="474"/>
    </row>
    <row r="199" spans="1:12" ht="25.15" customHeight="1">
      <c r="D199" s="464"/>
      <c r="E199" s="209" t="s">
        <v>668</v>
      </c>
      <c r="F199" s="210" t="str">
        <f>VLOOKUP(E199,'조건문 LIST'!$C:$G,5,FALSE)</f>
        <v>Y</v>
      </c>
      <c r="G199" s="210">
        <f t="shared" si="9"/>
        <v>1</v>
      </c>
      <c r="H199" s="466"/>
      <c r="I199" s="468"/>
      <c r="J199" s="472"/>
      <c r="K199" s="474"/>
    </row>
    <row r="200" spans="1:12" ht="25.15" customHeight="1">
      <c r="D200" s="464"/>
      <c r="E200" s="209" t="s">
        <v>544</v>
      </c>
      <c r="F200" s="210" t="str">
        <f>VLOOKUP(E200,'조건문 LIST'!$C:$G,5,FALSE)</f>
        <v>Y</v>
      </c>
      <c r="G200" s="210">
        <f t="shared" si="9"/>
        <v>1</v>
      </c>
      <c r="H200" s="466"/>
      <c r="I200" s="468"/>
      <c r="J200" s="472"/>
      <c r="K200" s="474"/>
    </row>
    <row r="201" spans="1:12">
      <c r="D201" s="464"/>
      <c r="E201" s="209" t="s">
        <v>588</v>
      </c>
      <c r="F201" s="210" t="str">
        <f>VLOOKUP(E201,'조건문 LIST'!$C:$G,5,FALSE)</f>
        <v>N</v>
      </c>
      <c r="G201" s="210">
        <f t="shared" si="9"/>
        <v>0</v>
      </c>
      <c r="H201" s="467"/>
      <c r="I201" s="468"/>
      <c r="J201" s="472"/>
      <c r="K201" s="475"/>
    </row>
    <row r="202" spans="1:12" ht="17.45" customHeight="1"/>
    <row r="203" spans="1:12" s="273" customFormat="1">
      <c r="A203"/>
      <c r="B203" s="208"/>
      <c r="C203" s="208"/>
      <c r="D203" s="205"/>
      <c r="E203" s="205"/>
      <c r="F203" s="207"/>
      <c r="G203" s="207"/>
      <c r="H203" s="207"/>
      <c r="I203" s="207"/>
      <c r="J203" s="207"/>
      <c r="K203" s="207"/>
      <c r="L203" s="207"/>
    </row>
    <row r="204" spans="1:12" ht="20.25">
      <c r="A204" s="270" t="s">
        <v>589</v>
      </c>
      <c r="B204" s="269" t="str">
        <f>I215</f>
        <v>의무 대상</v>
      </c>
      <c r="C204" s="270"/>
      <c r="D204" s="271"/>
      <c r="E204" s="271"/>
      <c r="F204" s="272"/>
      <c r="G204" s="272"/>
      <c r="H204" s="272"/>
      <c r="I204" s="272"/>
      <c r="J204" s="272"/>
      <c r="K204" s="272"/>
    </row>
    <row r="205" spans="1:12" ht="20.25">
      <c r="C205" s="236"/>
    </row>
    <row r="206" spans="1:12">
      <c r="C206" s="218"/>
      <c r="D206" s="218" t="s">
        <v>513</v>
      </c>
    </row>
    <row r="207" spans="1:12" ht="17.25">
      <c r="D207" s="460" t="s">
        <v>475</v>
      </c>
      <c r="E207" s="461"/>
      <c r="F207" s="461"/>
      <c r="G207" s="462"/>
      <c r="H207" s="366"/>
    </row>
    <row r="208" spans="1:12" ht="17.25">
      <c r="D208" s="219"/>
      <c r="E208" s="220" t="s">
        <v>499</v>
      </c>
      <c r="F208" s="220" t="s">
        <v>500</v>
      </c>
      <c r="G208" s="220" t="s">
        <v>501</v>
      </c>
      <c r="H208" s="366"/>
    </row>
    <row r="209" spans="1:12" ht="17.25">
      <c r="D209" s="219"/>
      <c r="E209" s="220" t="s">
        <v>590</v>
      </c>
      <c r="F209" s="220" t="s">
        <v>591</v>
      </c>
      <c r="G209" s="220"/>
      <c r="H209" s="366"/>
    </row>
    <row r="210" spans="1:12" ht="148.5">
      <c r="D210" s="221" t="s">
        <v>507</v>
      </c>
      <c r="E210" s="212" t="s">
        <v>592</v>
      </c>
      <c r="F210" s="212" t="s">
        <v>494</v>
      </c>
      <c r="G210" s="212"/>
    </row>
    <row r="211" spans="1:12">
      <c r="D211" s="221" t="s">
        <v>508</v>
      </c>
      <c r="E211" s="212"/>
      <c r="F211" s="213" t="s">
        <v>554</v>
      </c>
      <c r="G211" s="213"/>
      <c r="H211" s="215"/>
    </row>
    <row r="212" spans="1:12" ht="25.15" customHeight="1"/>
    <row r="213" spans="1:12" ht="25.15" customHeight="1">
      <c r="D213" s="218" t="s">
        <v>687</v>
      </c>
    </row>
    <row r="214" spans="1:12" ht="25.15" customHeight="1">
      <c r="D214" s="463" t="s">
        <v>688</v>
      </c>
      <c r="E214" s="396">
        <f>COUNTA(E215:E217)</f>
        <v>2</v>
      </c>
      <c r="F214" s="362" t="s">
        <v>692</v>
      </c>
      <c r="G214" s="363" t="s">
        <v>735</v>
      </c>
      <c r="H214" s="363" t="s">
        <v>695</v>
      </c>
      <c r="I214" s="361" t="s">
        <v>686</v>
      </c>
    </row>
    <row r="215" spans="1:12" ht="25.15" customHeight="1">
      <c r="D215" s="464"/>
      <c r="E215" s="210" t="s">
        <v>514</v>
      </c>
      <c r="F215" s="210" t="str">
        <f>VLOOKUP(E215,'조건문 LIST'!$C:$G,5,FALSE)</f>
        <v>Y</v>
      </c>
      <c r="G215" s="210">
        <f t="shared" ref="G215:G216" si="10">IF(F215="Y",1,0)</f>
        <v>1</v>
      </c>
      <c r="H215" s="465">
        <f>SUM(G215:G217)</f>
        <v>2</v>
      </c>
      <c r="I215" s="468" t="str">
        <f>IF(H215=E214,"의무 대상","의무 대상 아님")</f>
        <v>의무 대상</v>
      </c>
    </row>
    <row r="216" spans="1:12" ht="25.15" customHeight="1">
      <c r="D216" s="464"/>
      <c r="E216" s="209" t="s">
        <v>555</v>
      </c>
      <c r="F216" s="210" t="str">
        <f>VLOOKUP(E216,'조건문 LIST'!$C:$G,5,FALSE)</f>
        <v>Y</v>
      </c>
      <c r="G216" s="210">
        <f t="shared" si="10"/>
        <v>1</v>
      </c>
      <c r="H216" s="466"/>
      <c r="I216" s="468"/>
    </row>
    <row r="217" spans="1:12">
      <c r="D217" s="464"/>
      <c r="E217" s="209"/>
      <c r="F217" s="210"/>
      <c r="G217" s="210"/>
      <c r="H217" s="467"/>
      <c r="I217" s="468"/>
    </row>
    <row r="219" spans="1:12" s="278" customFormat="1">
      <c r="A219"/>
      <c r="B219" s="208"/>
      <c r="C219" s="208"/>
      <c r="D219" s="205"/>
      <c r="E219" s="205"/>
      <c r="F219" s="207"/>
      <c r="G219" s="207"/>
      <c r="H219" s="207"/>
      <c r="I219" s="207"/>
      <c r="J219" s="207"/>
      <c r="K219" s="207"/>
      <c r="L219" s="207"/>
    </row>
    <row r="220" spans="1:12" ht="20.25">
      <c r="A220" s="275" t="s">
        <v>593</v>
      </c>
      <c r="B220" s="274" t="str">
        <f>K230</f>
        <v>의무 대상</v>
      </c>
      <c r="C220" s="275"/>
      <c r="D220" s="276"/>
      <c r="E220" s="276"/>
      <c r="F220" s="277"/>
      <c r="G220" s="277"/>
      <c r="H220" s="277"/>
      <c r="I220" s="277"/>
      <c r="J220" s="277"/>
      <c r="K220" s="277"/>
    </row>
    <row r="221" spans="1:12" ht="20.25">
      <c r="C221" s="236"/>
    </row>
    <row r="222" spans="1:12">
      <c r="C222" s="218"/>
      <c r="D222" s="218" t="s">
        <v>513</v>
      </c>
    </row>
    <row r="223" spans="1:12" ht="17.25">
      <c r="D223" s="469" t="s">
        <v>475</v>
      </c>
      <c r="E223" s="470"/>
      <c r="F223" s="470"/>
      <c r="G223" s="470"/>
      <c r="H223" s="470"/>
      <c r="I223" s="470"/>
    </row>
    <row r="224" spans="1:12" ht="17.25">
      <c r="D224" s="219"/>
      <c r="E224" s="220" t="s">
        <v>499</v>
      </c>
      <c r="F224" s="220" t="s">
        <v>500</v>
      </c>
      <c r="G224" s="220" t="s">
        <v>501</v>
      </c>
      <c r="H224" s="220" t="s">
        <v>601</v>
      </c>
      <c r="I224" s="220"/>
    </row>
    <row r="225" spans="3:11" ht="17.25">
      <c r="D225" s="219"/>
      <c r="E225" s="220" t="s">
        <v>594</v>
      </c>
      <c r="F225" s="220" t="s">
        <v>595</v>
      </c>
      <c r="G225" s="220" t="s">
        <v>596</v>
      </c>
      <c r="H225" s="220" t="s">
        <v>602</v>
      </c>
      <c r="I225" s="220"/>
    </row>
    <row r="226" spans="3:11" ht="330">
      <c r="D226" s="221" t="s">
        <v>507</v>
      </c>
      <c r="E226" s="212" t="s">
        <v>496</v>
      </c>
      <c r="F226" s="212" t="s">
        <v>497</v>
      </c>
      <c r="G226" s="213" t="s">
        <v>597</v>
      </c>
      <c r="H226" s="212" t="s">
        <v>603</v>
      </c>
      <c r="I226" s="212"/>
    </row>
    <row r="227" spans="3:11" ht="66">
      <c r="D227" s="221" t="s">
        <v>508</v>
      </c>
      <c r="E227" s="212"/>
      <c r="F227" s="213"/>
      <c r="G227" s="213" t="s">
        <v>607</v>
      </c>
      <c r="H227" s="213" t="s">
        <v>608</v>
      </c>
      <c r="I227" s="213"/>
    </row>
    <row r="228" spans="3:11" ht="25.15" customHeight="1"/>
    <row r="229" spans="3:11" ht="25.15" customHeight="1">
      <c r="D229" s="218" t="s">
        <v>687</v>
      </c>
    </row>
    <row r="230" spans="3:11" ht="25.15" customHeight="1">
      <c r="C230" s="208" t="s">
        <v>716</v>
      </c>
      <c r="D230" s="463" t="s">
        <v>688</v>
      </c>
      <c r="E230" s="396">
        <f>COUNTA(E231:E234)</f>
        <v>4</v>
      </c>
      <c r="F230" s="362" t="s">
        <v>692</v>
      </c>
      <c r="G230" s="363" t="s">
        <v>735</v>
      </c>
      <c r="H230" s="363" t="s">
        <v>695</v>
      </c>
      <c r="I230" s="361" t="s">
        <v>686</v>
      </c>
      <c r="J230" s="471" t="s">
        <v>693</v>
      </c>
      <c r="K230" s="473" t="str">
        <f>IF(OR(H231=E230,H236=E235,H241=E240,H246=E245),"의무 대상","의무 대상 아님")</f>
        <v>의무 대상</v>
      </c>
    </row>
    <row r="231" spans="3:11" ht="25.15" customHeight="1">
      <c r="D231" s="464"/>
      <c r="E231" s="210" t="s">
        <v>673</v>
      </c>
      <c r="F231" s="210" t="str">
        <f>VLOOKUP(E231,'조건문 LIST'!$C:$G,5,FALSE)</f>
        <v>Y</v>
      </c>
      <c r="G231" s="210">
        <f t="shared" ref="G231:G249" si="11">IF(F231="Y",1,0)</f>
        <v>1</v>
      </c>
      <c r="H231" s="465">
        <f>SUM(G231:G234)</f>
        <v>4</v>
      </c>
      <c r="I231" s="468" t="str">
        <f>IF(H231=E230,"의무 대상","의무 대상 아님")</f>
        <v>의무 대상</v>
      </c>
      <c r="J231" s="472"/>
      <c r="K231" s="474"/>
    </row>
    <row r="232" spans="3:11" ht="25.15" customHeight="1">
      <c r="D232" s="464"/>
      <c r="E232" s="209" t="s">
        <v>668</v>
      </c>
      <c r="F232" s="210" t="str">
        <f>VLOOKUP(E232,'조건문 LIST'!$C:$G,5,FALSE)</f>
        <v>Y</v>
      </c>
      <c r="G232" s="210">
        <f t="shared" si="11"/>
        <v>1</v>
      </c>
      <c r="H232" s="466"/>
      <c r="I232" s="468"/>
      <c r="J232" s="472"/>
      <c r="K232" s="474"/>
    </row>
    <row r="233" spans="3:11" ht="25.15" customHeight="1">
      <c r="D233" s="464"/>
      <c r="E233" s="209" t="s">
        <v>514</v>
      </c>
      <c r="F233" s="210" t="str">
        <f>VLOOKUP(E233,'조건문 LIST'!$C:$G,5,FALSE)</f>
        <v>Y</v>
      </c>
      <c r="G233" s="210">
        <f t="shared" si="11"/>
        <v>1</v>
      </c>
      <c r="H233" s="466"/>
      <c r="I233" s="468"/>
      <c r="J233" s="472"/>
      <c r="K233" s="474"/>
    </row>
    <row r="234" spans="3:11" ht="25.15" customHeight="1">
      <c r="D234" s="464"/>
      <c r="E234" s="209" t="s">
        <v>515</v>
      </c>
      <c r="F234" s="210" t="str">
        <f>VLOOKUP(E234,'조건문 LIST'!$C:$G,5,FALSE)</f>
        <v>Y</v>
      </c>
      <c r="G234" s="210">
        <f t="shared" si="11"/>
        <v>1</v>
      </c>
      <c r="H234" s="467"/>
      <c r="I234" s="468"/>
      <c r="J234" s="472"/>
      <c r="K234" s="474"/>
    </row>
    <row r="235" spans="3:11" ht="25.15" customHeight="1">
      <c r="C235" s="208" t="s">
        <v>716</v>
      </c>
      <c r="D235" s="463" t="s">
        <v>688</v>
      </c>
      <c r="E235" s="396">
        <f>COUNTA(E236:E239)</f>
        <v>4</v>
      </c>
      <c r="F235" s="362" t="s">
        <v>692</v>
      </c>
      <c r="G235" s="363" t="s">
        <v>735</v>
      </c>
      <c r="H235" s="363" t="s">
        <v>695</v>
      </c>
      <c r="I235" s="361" t="s">
        <v>686</v>
      </c>
      <c r="J235" s="472"/>
      <c r="K235" s="474"/>
    </row>
    <row r="236" spans="3:11" ht="25.15" customHeight="1">
      <c r="D236" s="464"/>
      <c r="E236" s="210" t="s">
        <v>673</v>
      </c>
      <c r="F236" s="210" t="str">
        <f>VLOOKUP(E236,'조건문 LIST'!$C:$G,5,FALSE)</f>
        <v>Y</v>
      </c>
      <c r="G236" s="210">
        <f t="shared" si="11"/>
        <v>1</v>
      </c>
      <c r="H236" s="465">
        <f>SUM(G236:G239)</f>
        <v>3</v>
      </c>
      <c r="I236" s="468" t="str">
        <f>IF(H236=E235,"의무 대상","의무 대상 아님")</f>
        <v>의무 대상 아님</v>
      </c>
      <c r="J236" s="472"/>
      <c r="K236" s="474"/>
    </row>
    <row r="237" spans="3:11" ht="25.15" customHeight="1">
      <c r="D237" s="464"/>
      <c r="E237" s="209" t="s">
        <v>668</v>
      </c>
      <c r="F237" s="210" t="str">
        <f>VLOOKUP(E237,'조건문 LIST'!$C:$G,5,FALSE)</f>
        <v>Y</v>
      </c>
      <c r="G237" s="210">
        <f t="shared" si="11"/>
        <v>1</v>
      </c>
      <c r="H237" s="466"/>
      <c r="I237" s="468"/>
      <c r="J237" s="472"/>
      <c r="K237" s="474"/>
    </row>
    <row r="238" spans="3:11" ht="25.15" customHeight="1">
      <c r="D238" s="464"/>
      <c r="E238" s="209" t="s">
        <v>598</v>
      </c>
      <c r="F238" s="210" t="str">
        <f>VLOOKUP(E238,'조건문 LIST'!$C:$G,5,FALSE)</f>
        <v>N</v>
      </c>
      <c r="G238" s="210">
        <f t="shared" si="11"/>
        <v>0</v>
      </c>
      <c r="H238" s="466"/>
      <c r="I238" s="468"/>
      <c r="J238" s="472"/>
      <c r="K238" s="474"/>
    </row>
    <row r="239" spans="3:11" ht="25.15" customHeight="1">
      <c r="D239" s="464"/>
      <c r="E239" s="209" t="s">
        <v>544</v>
      </c>
      <c r="F239" s="210" t="str">
        <f>VLOOKUP(E239,'조건문 LIST'!$C:$G,5,FALSE)</f>
        <v>Y</v>
      </c>
      <c r="G239" s="210">
        <f t="shared" si="11"/>
        <v>1</v>
      </c>
      <c r="H239" s="467"/>
      <c r="I239" s="468"/>
      <c r="J239" s="472"/>
      <c r="K239" s="474"/>
    </row>
    <row r="240" spans="3:11" ht="25.15" customHeight="1">
      <c r="C240" s="208" t="s">
        <v>716</v>
      </c>
      <c r="D240" s="463" t="s">
        <v>688</v>
      </c>
      <c r="E240" s="396">
        <f>COUNTA(E241:E244)</f>
        <v>4</v>
      </c>
      <c r="F240" s="362" t="s">
        <v>692</v>
      </c>
      <c r="G240" s="363" t="s">
        <v>735</v>
      </c>
      <c r="H240" s="363" t="s">
        <v>695</v>
      </c>
      <c r="I240" s="361" t="s">
        <v>686</v>
      </c>
      <c r="J240" s="472"/>
      <c r="K240" s="474"/>
    </row>
    <row r="241" spans="1:12" ht="25.15" customHeight="1">
      <c r="D241" s="464"/>
      <c r="E241" s="210" t="s">
        <v>673</v>
      </c>
      <c r="F241" s="210" t="str">
        <f>VLOOKUP(E241,'조건문 LIST'!$C:$G,5,FALSE)</f>
        <v>Y</v>
      </c>
      <c r="G241" s="210">
        <f t="shared" si="11"/>
        <v>1</v>
      </c>
      <c r="H241" s="465">
        <f>SUM(G241:G244)</f>
        <v>3</v>
      </c>
      <c r="I241" s="468" t="str">
        <f>IF(H241=E240,"의무 대상","의무 대상 아님")</f>
        <v>의무 대상 아님</v>
      </c>
      <c r="J241" s="472"/>
      <c r="K241" s="474"/>
    </row>
    <row r="242" spans="1:12" ht="25.15" customHeight="1">
      <c r="D242" s="464"/>
      <c r="E242" s="209" t="s">
        <v>668</v>
      </c>
      <c r="F242" s="210" t="str">
        <f>VLOOKUP(E242,'조건문 LIST'!$C:$G,5,FALSE)</f>
        <v>Y</v>
      </c>
      <c r="G242" s="210">
        <f t="shared" si="11"/>
        <v>1</v>
      </c>
      <c r="H242" s="466"/>
      <c r="I242" s="468"/>
      <c r="J242" s="472"/>
      <c r="K242" s="474"/>
    </row>
    <row r="243" spans="1:12" ht="25.15" customHeight="1">
      <c r="D243" s="464"/>
      <c r="E243" s="209" t="s">
        <v>600</v>
      </c>
      <c r="F243" s="210" t="str">
        <f>VLOOKUP(E243,'조건문 LIST'!$C:$G,5,FALSE)</f>
        <v>N</v>
      </c>
      <c r="G243" s="210">
        <f t="shared" si="11"/>
        <v>0</v>
      </c>
      <c r="H243" s="466"/>
      <c r="I243" s="468"/>
      <c r="J243" s="472"/>
      <c r="K243" s="474"/>
    </row>
    <row r="244" spans="1:12" ht="25.15" customHeight="1">
      <c r="D244" s="464"/>
      <c r="E244" s="209" t="s">
        <v>543</v>
      </c>
      <c r="F244" s="210" t="str">
        <f>VLOOKUP(E244,'조건문 LIST'!$C:$G,5,FALSE)</f>
        <v>Y</v>
      </c>
      <c r="G244" s="210">
        <f t="shared" si="11"/>
        <v>1</v>
      </c>
      <c r="H244" s="467"/>
      <c r="I244" s="468"/>
      <c r="J244" s="472"/>
      <c r="K244" s="474"/>
    </row>
    <row r="245" spans="1:12" ht="25.15" customHeight="1">
      <c r="C245" s="208" t="s">
        <v>303</v>
      </c>
      <c r="D245" s="463" t="s">
        <v>688</v>
      </c>
      <c r="E245" s="396">
        <f>COUNTA(E246:E249)</f>
        <v>4</v>
      </c>
      <c r="F245" s="362" t="s">
        <v>692</v>
      </c>
      <c r="G245" s="363" t="s">
        <v>735</v>
      </c>
      <c r="H245" s="363" t="s">
        <v>695</v>
      </c>
      <c r="I245" s="361" t="s">
        <v>686</v>
      </c>
      <c r="J245" s="472"/>
      <c r="K245" s="474"/>
    </row>
    <row r="246" spans="1:12" ht="25.15" customHeight="1">
      <c r="D246" s="464"/>
      <c r="E246" s="210" t="s">
        <v>673</v>
      </c>
      <c r="F246" s="210" t="str">
        <f>VLOOKUP(E246,'조건문 LIST'!$C:$G,5,FALSE)</f>
        <v>Y</v>
      </c>
      <c r="G246" s="210">
        <f t="shared" si="11"/>
        <v>1</v>
      </c>
      <c r="H246" s="465">
        <f>SUM(G246:G249)</f>
        <v>4</v>
      </c>
      <c r="I246" s="468" t="str">
        <f>IF(H246=E245,"의무 대상","의무 대상 아님")</f>
        <v>의무 대상</v>
      </c>
      <c r="J246" s="472"/>
      <c r="K246" s="474"/>
    </row>
    <row r="247" spans="1:12" ht="25.15" customHeight="1">
      <c r="D247" s="464"/>
      <c r="E247" s="209" t="s">
        <v>668</v>
      </c>
      <c r="F247" s="210" t="str">
        <f>VLOOKUP(E247,'조건문 LIST'!$C:$G,5,FALSE)</f>
        <v>Y</v>
      </c>
      <c r="G247" s="210">
        <f t="shared" si="11"/>
        <v>1</v>
      </c>
      <c r="H247" s="466"/>
      <c r="I247" s="468"/>
      <c r="J247" s="472"/>
      <c r="K247" s="474"/>
    </row>
    <row r="248" spans="1:12" ht="25.15" customHeight="1">
      <c r="D248" s="464"/>
      <c r="E248" s="209" t="s">
        <v>514</v>
      </c>
      <c r="F248" s="210" t="str">
        <f>VLOOKUP(E248,'조건문 LIST'!$C:$G,5,FALSE)</f>
        <v>Y</v>
      </c>
      <c r="G248" s="210">
        <f t="shared" si="11"/>
        <v>1</v>
      </c>
      <c r="H248" s="466"/>
      <c r="I248" s="468"/>
      <c r="J248" s="472"/>
      <c r="K248" s="474"/>
    </row>
    <row r="249" spans="1:12">
      <c r="D249" s="464"/>
      <c r="E249" s="209" t="s">
        <v>567</v>
      </c>
      <c r="F249" s="210" t="str">
        <f>VLOOKUP(E249,'조건문 LIST'!$C:$G,5,FALSE)</f>
        <v>Y</v>
      </c>
      <c r="G249" s="210">
        <f t="shared" si="11"/>
        <v>1</v>
      </c>
      <c r="H249" s="467"/>
      <c r="I249" s="468"/>
      <c r="J249" s="472"/>
      <c r="K249" s="475"/>
    </row>
    <row r="250" spans="1:12" ht="17.45" customHeight="1"/>
    <row r="251" spans="1:12" s="283" customFormat="1">
      <c r="A251"/>
      <c r="B251" s="208"/>
      <c r="C251" s="208"/>
      <c r="D251" s="205"/>
      <c r="E251" s="205"/>
      <c r="F251" s="207"/>
      <c r="G251" s="207"/>
      <c r="H251" s="207"/>
      <c r="I251" s="207"/>
      <c r="J251" s="207"/>
      <c r="K251" s="207"/>
      <c r="L251" s="207"/>
    </row>
    <row r="252" spans="1:12" ht="20.25">
      <c r="A252" s="280" t="s">
        <v>604</v>
      </c>
      <c r="B252" s="279" t="str">
        <f>K262</f>
        <v>의무 대상</v>
      </c>
      <c r="C252" s="280"/>
      <c r="D252" s="281"/>
      <c r="E252" s="281"/>
      <c r="F252" s="282"/>
      <c r="G252" s="282"/>
      <c r="H252" s="282"/>
      <c r="I252" s="282"/>
      <c r="J252" s="282"/>
      <c r="K252" s="282"/>
      <c r="L252" s="215"/>
    </row>
    <row r="253" spans="1:12" ht="20.25">
      <c r="C253" s="236"/>
    </row>
    <row r="254" spans="1:12">
      <c r="C254" s="218"/>
      <c r="D254" s="218" t="s">
        <v>513</v>
      </c>
    </row>
    <row r="255" spans="1:12" ht="17.25">
      <c r="D255" s="469" t="s">
        <v>475</v>
      </c>
      <c r="E255" s="470"/>
      <c r="F255" s="470"/>
      <c r="G255" s="470"/>
      <c r="H255" s="470"/>
      <c r="I255" s="470"/>
    </row>
    <row r="256" spans="1:12" ht="17.25">
      <c r="D256" s="219"/>
      <c r="E256" s="220" t="s">
        <v>499</v>
      </c>
      <c r="F256" s="220" t="s">
        <v>500</v>
      </c>
      <c r="G256" s="220" t="s">
        <v>501</v>
      </c>
      <c r="H256" s="220" t="s">
        <v>601</v>
      </c>
      <c r="I256" s="220"/>
    </row>
    <row r="257" spans="1:12" ht="17.25">
      <c r="D257" s="219"/>
      <c r="E257" s="220" t="s">
        <v>594</v>
      </c>
      <c r="F257" s="220" t="s">
        <v>595</v>
      </c>
      <c r="G257" s="220" t="s">
        <v>596</v>
      </c>
      <c r="H257" s="220" t="s">
        <v>602</v>
      </c>
      <c r="I257" s="220"/>
    </row>
    <row r="258" spans="1:12" ht="330">
      <c r="D258" s="221" t="s">
        <v>507</v>
      </c>
      <c r="E258" s="212" t="s">
        <v>496</v>
      </c>
      <c r="F258" s="212" t="s">
        <v>497</v>
      </c>
      <c r="G258" s="213" t="s">
        <v>597</v>
      </c>
      <c r="H258" s="212" t="s">
        <v>605</v>
      </c>
      <c r="I258" s="212"/>
    </row>
    <row r="259" spans="1:12" ht="33">
      <c r="D259" s="221" t="s">
        <v>508</v>
      </c>
      <c r="E259" s="212"/>
      <c r="F259" s="213"/>
      <c r="G259" s="213" t="s">
        <v>606</v>
      </c>
      <c r="H259" s="213" t="s">
        <v>610</v>
      </c>
      <c r="I259" s="213"/>
    </row>
    <row r="260" spans="1:12" ht="25.15" customHeight="1"/>
    <row r="261" spans="1:12" ht="25.15" customHeight="1">
      <c r="D261" s="218" t="s">
        <v>687</v>
      </c>
    </row>
    <row r="262" spans="1:12" ht="25.15" customHeight="1">
      <c r="D262" s="463" t="s">
        <v>688</v>
      </c>
      <c r="E262" s="396">
        <f>COUNTA(E263:E266)</f>
        <v>4</v>
      </c>
      <c r="F262" s="362" t="s">
        <v>692</v>
      </c>
      <c r="G262" s="363" t="s">
        <v>735</v>
      </c>
      <c r="H262" s="363" t="s">
        <v>695</v>
      </c>
      <c r="I262" s="361" t="s">
        <v>686</v>
      </c>
      <c r="J262" s="471" t="s">
        <v>693</v>
      </c>
      <c r="K262" s="473" t="str">
        <f>IF(OR(H263=E262,H268=E267),"의무 대상","의무 대상 아님")</f>
        <v>의무 대상</v>
      </c>
    </row>
    <row r="263" spans="1:12" ht="25.15" customHeight="1">
      <c r="D263" s="464"/>
      <c r="E263" s="210" t="s">
        <v>673</v>
      </c>
      <c r="F263" s="210" t="str">
        <f>VLOOKUP(E263,'조건문 LIST'!$C:$G,5,FALSE)</f>
        <v>Y</v>
      </c>
      <c r="G263" s="210">
        <f t="shared" ref="G263:G266" si="12">IF(F263="Y",1,0)</f>
        <v>1</v>
      </c>
      <c r="H263" s="465">
        <f>SUM(G263:G266)</f>
        <v>4</v>
      </c>
      <c r="I263" s="468" t="str">
        <f>IF(H263=E262,"의무 대상","의무 대상 아님")</f>
        <v>의무 대상</v>
      </c>
      <c r="J263" s="472"/>
      <c r="K263" s="474"/>
    </row>
    <row r="264" spans="1:12" ht="25.15" customHeight="1">
      <c r="D264" s="464"/>
      <c r="E264" s="209" t="s">
        <v>668</v>
      </c>
      <c r="F264" s="210" t="str">
        <f>VLOOKUP(E264,'조건문 LIST'!$C:$G,5,FALSE)</f>
        <v>Y</v>
      </c>
      <c r="G264" s="210">
        <f t="shared" si="12"/>
        <v>1</v>
      </c>
      <c r="H264" s="466"/>
      <c r="I264" s="468"/>
      <c r="J264" s="472"/>
      <c r="K264" s="474"/>
    </row>
    <row r="265" spans="1:12" ht="25.15" customHeight="1">
      <c r="D265" s="464"/>
      <c r="E265" s="209" t="s">
        <v>514</v>
      </c>
      <c r="F265" s="210" t="str">
        <f>VLOOKUP(E265,'조건문 LIST'!$C:$G,5,FALSE)</f>
        <v>Y</v>
      </c>
      <c r="G265" s="210">
        <f t="shared" si="12"/>
        <v>1</v>
      </c>
      <c r="H265" s="466"/>
      <c r="I265" s="468"/>
      <c r="J265" s="472"/>
      <c r="K265" s="474"/>
    </row>
    <row r="266" spans="1:12" ht="25.15" customHeight="1">
      <c r="D266" s="464"/>
      <c r="E266" s="209" t="s">
        <v>515</v>
      </c>
      <c r="F266" s="210" t="str">
        <f>VLOOKUP(E266,'조건문 LIST'!$C:$G,5,FALSE)</f>
        <v>Y</v>
      </c>
      <c r="G266" s="210">
        <f t="shared" si="12"/>
        <v>1</v>
      </c>
      <c r="H266" s="467"/>
      <c r="I266" s="468"/>
      <c r="J266" s="472"/>
      <c r="K266" s="474"/>
    </row>
    <row r="267" spans="1:12" ht="25.15" customHeight="1">
      <c r="D267" s="463" t="s">
        <v>688</v>
      </c>
      <c r="E267" s="396">
        <f>COUNTA(E268:E271)</f>
        <v>4</v>
      </c>
      <c r="F267" s="362" t="s">
        <v>692</v>
      </c>
      <c r="G267" s="363" t="s">
        <v>735</v>
      </c>
      <c r="H267" s="363" t="s">
        <v>695</v>
      </c>
      <c r="I267" s="361" t="s">
        <v>686</v>
      </c>
      <c r="J267" s="472"/>
      <c r="K267" s="474"/>
    </row>
    <row r="268" spans="1:12" ht="25.15" customHeight="1">
      <c r="D268" s="464"/>
      <c r="E268" s="210" t="s">
        <v>673</v>
      </c>
      <c r="F268" s="210" t="str">
        <f>VLOOKUP(E268,'조건문 LIST'!$C:$G,5,FALSE)</f>
        <v>Y</v>
      </c>
      <c r="G268" s="210">
        <f t="shared" ref="G268:G271" si="13">IF(F268="Y",1,0)</f>
        <v>1</v>
      </c>
      <c r="H268" s="465">
        <f>SUM(G268:G271)</f>
        <v>4</v>
      </c>
      <c r="I268" s="468" t="str">
        <f>IF(H268=E267,"의무 대상","의무 대상 아님")</f>
        <v>의무 대상</v>
      </c>
      <c r="J268" s="472"/>
      <c r="K268" s="474"/>
    </row>
    <row r="269" spans="1:12" ht="25.15" customHeight="1">
      <c r="D269" s="464"/>
      <c r="E269" s="209" t="s">
        <v>668</v>
      </c>
      <c r="F269" s="210" t="str">
        <f>VLOOKUP(E269,'조건문 LIST'!$C:$G,5,FALSE)</f>
        <v>Y</v>
      </c>
      <c r="G269" s="210">
        <f t="shared" si="13"/>
        <v>1</v>
      </c>
      <c r="H269" s="466"/>
      <c r="I269" s="468"/>
      <c r="J269" s="472"/>
      <c r="K269" s="474"/>
    </row>
    <row r="270" spans="1:12" ht="25.15" customHeight="1">
      <c r="D270" s="464"/>
      <c r="E270" s="209" t="s">
        <v>609</v>
      </c>
      <c r="F270" s="210" t="str">
        <f>VLOOKUP(E270,'조건문 LIST'!$C:$G,5,FALSE)</f>
        <v>Y</v>
      </c>
      <c r="G270" s="210">
        <f t="shared" si="13"/>
        <v>1</v>
      </c>
      <c r="H270" s="466"/>
      <c r="I270" s="468"/>
      <c r="J270" s="472"/>
      <c r="K270" s="474"/>
    </row>
    <row r="271" spans="1:12" ht="17.45" customHeight="1">
      <c r="D271" s="464"/>
      <c r="E271" s="209" t="s">
        <v>543</v>
      </c>
      <c r="F271" s="210" t="str">
        <f>VLOOKUP(E271,'조건문 LIST'!$C:$G,5,FALSE)</f>
        <v>Y</v>
      </c>
      <c r="G271" s="210">
        <f t="shared" si="13"/>
        <v>1</v>
      </c>
      <c r="H271" s="467"/>
      <c r="I271" s="468"/>
      <c r="J271" s="472"/>
      <c r="K271" s="475"/>
    </row>
    <row r="272" spans="1:12" s="288" customFormat="1">
      <c r="A272"/>
      <c r="B272" s="208"/>
      <c r="C272" s="208"/>
      <c r="D272" s="205"/>
      <c r="E272" s="205"/>
      <c r="F272" s="207"/>
      <c r="G272" s="207"/>
      <c r="H272" s="207"/>
      <c r="I272" s="207"/>
      <c r="J272" s="207"/>
      <c r="K272" s="207"/>
      <c r="L272" s="207"/>
    </row>
    <row r="273" spans="1:11" ht="20.25">
      <c r="A273" s="285" t="s">
        <v>611</v>
      </c>
      <c r="B273" s="284" t="str">
        <f>K283</f>
        <v>의무 대상 아님</v>
      </c>
      <c r="C273" s="285"/>
      <c r="D273" s="286"/>
      <c r="E273" s="286"/>
      <c r="F273" s="287"/>
      <c r="G273" s="287"/>
      <c r="H273" s="287"/>
      <c r="I273" s="287"/>
      <c r="J273" s="287"/>
      <c r="K273" s="287"/>
    </row>
    <row r="274" spans="1:11" ht="20.25">
      <c r="C274" s="236"/>
    </row>
    <row r="275" spans="1:11">
      <c r="C275" s="218"/>
      <c r="D275" s="218" t="s">
        <v>513</v>
      </c>
    </row>
    <row r="276" spans="1:11" ht="17.25">
      <c r="D276" s="460" t="s">
        <v>475</v>
      </c>
      <c r="E276" s="461"/>
      <c r="F276" s="461"/>
      <c r="G276" s="462"/>
      <c r="H276" s="366"/>
    </row>
    <row r="277" spans="1:11" ht="17.25">
      <c r="D277" s="219"/>
      <c r="E277" s="220" t="s">
        <v>499</v>
      </c>
      <c r="F277" s="220" t="s">
        <v>500</v>
      </c>
      <c r="G277" s="220" t="s">
        <v>501</v>
      </c>
      <c r="H277" s="366"/>
    </row>
    <row r="278" spans="1:11" ht="17.25">
      <c r="D278" s="219"/>
      <c r="E278" s="220" t="s">
        <v>612</v>
      </c>
      <c r="F278" s="220"/>
      <c r="G278" s="220"/>
      <c r="H278" s="366"/>
    </row>
    <row r="279" spans="1:11" ht="363">
      <c r="D279" s="221" t="s">
        <v>507</v>
      </c>
      <c r="E279" s="212" t="s">
        <v>498</v>
      </c>
      <c r="F279" s="212"/>
      <c r="G279" s="212"/>
    </row>
    <row r="280" spans="1:11">
      <c r="D280" s="221" t="s">
        <v>508</v>
      </c>
      <c r="E280" s="212"/>
      <c r="F280" s="213"/>
      <c r="G280" s="213"/>
      <c r="H280" s="215"/>
    </row>
    <row r="281" spans="1:11" ht="25.15" customHeight="1"/>
    <row r="282" spans="1:11" ht="25.15" customHeight="1">
      <c r="D282" s="218" t="s">
        <v>687</v>
      </c>
    </row>
    <row r="283" spans="1:11" ht="25.15" customHeight="1">
      <c r="D283" s="463" t="s">
        <v>688</v>
      </c>
      <c r="E283" s="396">
        <f>COUNTA(E284:E287)</f>
        <v>2</v>
      </c>
      <c r="F283" s="362" t="s">
        <v>692</v>
      </c>
      <c r="G283" s="363" t="s">
        <v>735</v>
      </c>
      <c r="H283" s="363" t="s">
        <v>695</v>
      </c>
      <c r="I283" s="361" t="s">
        <v>686</v>
      </c>
      <c r="J283" s="471" t="s">
        <v>693</v>
      </c>
      <c r="K283" s="473" t="str">
        <f>IF(OR(H284=E283,H289=E288,H294=E293),"의무 대상","의무 대상 아님")</f>
        <v>의무 대상 아님</v>
      </c>
    </row>
    <row r="284" spans="1:11" ht="25.15" customHeight="1">
      <c r="D284" s="464"/>
      <c r="E284" s="210" t="s">
        <v>675</v>
      </c>
      <c r="F284" s="210" t="str">
        <f>VLOOKUP(E284,'조건문 LIST'!$C:$G,5,FALSE)</f>
        <v>N</v>
      </c>
      <c r="G284" s="210">
        <f t="shared" ref="G284:G287" si="14">IF(F284="Y",1,0)</f>
        <v>0</v>
      </c>
      <c r="H284" s="465">
        <f>SUM(G284:G287)</f>
        <v>0</v>
      </c>
      <c r="I284" s="468" t="str">
        <f>IF(H284=E283,"의무 대상","의무 대상 아님")</f>
        <v>의무 대상 아님</v>
      </c>
      <c r="J284" s="472"/>
      <c r="K284" s="474"/>
    </row>
    <row r="285" spans="1:11" ht="25.15" customHeight="1">
      <c r="D285" s="464"/>
      <c r="E285" s="209" t="s">
        <v>613</v>
      </c>
      <c r="F285" s="210" t="str">
        <f>VLOOKUP(E285,'조건문 LIST'!$C:$G,5,FALSE)</f>
        <v>N</v>
      </c>
      <c r="G285" s="210">
        <f t="shared" si="14"/>
        <v>0</v>
      </c>
      <c r="H285" s="466"/>
      <c r="I285" s="468"/>
      <c r="J285" s="472"/>
      <c r="K285" s="474"/>
    </row>
    <row r="286" spans="1:11" ht="25.15" customHeight="1">
      <c r="D286" s="464"/>
      <c r="E286" s="209"/>
      <c r="F286" s="210"/>
      <c r="G286" s="210">
        <f t="shared" si="14"/>
        <v>0</v>
      </c>
      <c r="H286" s="466"/>
      <c r="I286" s="468"/>
      <c r="J286" s="472"/>
      <c r="K286" s="474"/>
    </row>
    <row r="287" spans="1:11" ht="25.15" customHeight="1">
      <c r="D287" s="464"/>
      <c r="E287" s="209"/>
      <c r="F287" s="210"/>
      <c r="G287" s="210">
        <f t="shared" si="14"/>
        <v>0</v>
      </c>
      <c r="H287" s="467"/>
      <c r="I287" s="468"/>
      <c r="J287" s="472"/>
      <c r="K287" s="474"/>
    </row>
    <row r="288" spans="1:11" ht="25.15" customHeight="1">
      <c r="D288" s="463" t="s">
        <v>688</v>
      </c>
      <c r="E288" s="396">
        <f>COUNTA(E289:E292)</f>
        <v>2</v>
      </c>
      <c r="F288" s="362" t="s">
        <v>692</v>
      </c>
      <c r="G288" s="363" t="s">
        <v>735</v>
      </c>
      <c r="H288" s="363" t="s">
        <v>695</v>
      </c>
      <c r="I288" s="361" t="s">
        <v>686</v>
      </c>
      <c r="J288" s="472"/>
      <c r="K288" s="474"/>
    </row>
    <row r="289" spans="1:12" ht="25.15" customHeight="1">
      <c r="D289" s="464"/>
      <c r="E289" s="210" t="s">
        <v>674</v>
      </c>
      <c r="F289" s="210" t="str">
        <f>VLOOKUP(E289,'조건문 LIST'!$C:$G,5,FALSE)</f>
        <v>Y</v>
      </c>
      <c r="G289" s="210">
        <f t="shared" ref="G289:G292" si="15">IF(F289="Y",1,0)</f>
        <v>1</v>
      </c>
      <c r="H289" s="465">
        <f>SUM(G289:G292)</f>
        <v>1</v>
      </c>
      <c r="I289" s="468" t="str">
        <f>IF(H289=E288,"의무 대상","의무 대상 아님")</f>
        <v>의무 대상 아님</v>
      </c>
      <c r="J289" s="472"/>
      <c r="K289" s="474"/>
    </row>
    <row r="290" spans="1:12" ht="25.15" customHeight="1">
      <c r="D290" s="464"/>
      <c r="E290" s="209" t="s">
        <v>669</v>
      </c>
      <c r="F290" s="210" t="str">
        <f>VLOOKUP(E290,'조건문 LIST'!$C:$G,5,FALSE)</f>
        <v>N</v>
      </c>
      <c r="G290" s="210">
        <f t="shared" si="15"/>
        <v>0</v>
      </c>
      <c r="H290" s="466"/>
      <c r="I290" s="468"/>
      <c r="J290" s="472"/>
      <c r="K290" s="474"/>
    </row>
    <row r="291" spans="1:12" ht="25.15" customHeight="1">
      <c r="D291" s="464"/>
      <c r="E291" s="209"/>
      <c r="F291" s="210"/>
      <c r="G291" s="210">
        <f t="shared" si="15"/>
        <v>0</v>
      </c>
      <c r="H291" s="466"/>
      <c r="I291" s="468"/>
      <c r="J291" s="472"/>
      <c r="K291" s="474"/>
    </row>
    <row r="292" spans="1:12" ht="25.15" customHeight="1">
      <c r="D292" s="464"/>
      <c r="E292" s="209"/>
      <c r="F292" s="210"/>
      <c r="G292" s="210">
        <f t="shared" si="15"/>
        <v>0</v>
      </c>
      <c r="H292" s="467"/>
      <c r="I292" s="468"/>
      <c r="J292" s="472"/>
      <c r="K292" s="474"/>
    </row>
    <row r="293" spans="1:12" ht="25.15" customHeight="1">
      <c r="D293" s="463" t="s">
        <v>688</v>
      </c>
      <c r="E293" s="396">
        <f>COUNTA(E294:E297)</f>
        <v>2</v>
      </c>
      <c r="F293" s="362" t="s">
        <v>692</v>
      </c>
      <c r="G293" s="363" t="s">
        <v>735</v>
      </c>
      <c r="H293" s="363" t="s">
        <v>695</v>
      </c>
      <c r="I293" s="361" t="s">
        <v>686</v>
      </c>
      <c r="J293" s="472"/>
      <c r="K293" s="474"/>
    </row>
    <row r="294" spans="1:12" ht="25.15" customHeight="1">
      <c r="D294" s="464"/>
      <c r="E294" s="210" t="s">
        <v>676</v>
      </c>
      <c r="F294" s="210" t="str">
        <f>VLOOKUP(E294,'조건문 LIST'!$C:$G,5,FALSE)</f>
        <v>N</v>
      </c>
      <c r="G294" s="210">
        <f t="shared" ref="G294:G297" si="16">IF(F294="Y",1,0)</f>
        <v>0</v>
      </c>
      <c r="H294" s="465">
        <f>SUM(G294:G297)</f>
        <v>0</v>
      </c>
      <c r="I294" s="468" t="str">
        <f>IF(H294=E293,"의무 대상","의무 대상 아님")</f>
        <v>의무 대상 아님</v>
      </c>
      <c r="J294" s="472"/>
      <c r="K294" s="474"/>
    </row>
    <row r="295" spans="1:12" ht="25.15" customHeight="1">
      <c r="D295" s="464"/>
      <c r="E295" s="209" t="s">
        <v>616</v>
      </c>
      <c r="F295" s="210" t="str">
        <f>VLOOKUP(E295,'조건문 LIST'!$C:$G,5,FALSE)</f>
        <v>N</v>
      </c>
      <c r="G295" s="210">
        <f t="shared" si="16"/>
        <v>0</v>
      </c>
      <c r="H295" s="466"/>
      <c r="I295" s="468"/>
      <c r="J295" s="472"/>
      <c r="K295" s="474"/>
    </row>
    <row r="296" spans="1:12" ht="25.15" customHeight="1">
      <c r="D296" s="464"/>
      <c r="E296" s="209"/>
      <c r="F296" s="210"/>
      <c r="G296" s="210">
        <f t="shared" si="16"/>
        <v>0</v>
      </c>
      <c r="H296" s="466"/>
      <c r="I296" s="468"/>
      <c r="J296" s="472"/>
      <c r="K296" s="474"/>
    </row>
    <row r="297" spans="1:12">
      <c r="D297" s="464"/>
      <c r="E297" s="209"/>
      <c r="F297" s="210"/>
      <c r="G297" s="210">
        <f t="shared" si="16"/>
        <v>0</v>
      </c>
      <c r="H297" s="467"/>
      <c r="I297" s="468"/>
      <c r="J297" s="472"/>
      <c r="K297" s="475"/>
    </row>
    <row r="300" spans="1:12" s="293" customFormat="1">
      <c r="A300"/>
      <c r="B300" s="208"/>
      <c r="C300" s="208"/>
      <c r="D300" s="218"/>
      <c r="E300" s="205"/>
      <c r="F300" s="207"/>
      <c r="G300" s="207"/>
      <c r="H300" s="207"/>
      <c r="I300" s="207"/>
      <c r="J300" s="207"/>
      <c r="K300" s="207"/>
      <c r="L300" s="207"/>
    </row>
    <row r="301" spans="1:12" ht="20.25">
      <c r="A301" s="290" t="s">
        <v>474</v>
      </c>
      <c r="B301" s="289" t="str">
        <f>I312</f>
        <v>의무 대상</v>
      </c>
      <c r="C301" s="290"/>
      <c r="D301" s="291"/>
      <c r="E301" s="291"/>
      <c r="F301" s="292"/>
      <c r="G301" s="292"/>
      <c r="H301" s="292"/>
      <c r="I301" s="292"/>
      <c r="J301" s="292"/>
      <c r="K301" s="292"/>
    </row>
    <row r="302" spans="1:12" ht="20.25">
      <c r="C302" s="236"/>
    </row>
    <row r="303" spans="1:12">
      <c r="C303" s="218"/>
      <c r="D303" s="218" t="s">
        <v>513</v>
      </c>
    </row>
    <row r="304" spans="1:12" ht="17.25">
      <c r="D304" s="460" t="s">
        <v>475</v>
      </c>
      <c r="E304" s="461"/>
      <c r="F304" s="461"/>
      <c r="G304" s="462"/>
      <c r="H304" s="364"/>
    </row>
    <row r="305" spans="1:12" ht="17.25">
      <c r="D305" s="219"/>
      <c r="E305" s="220" t="s">
        <v>499</v>
      </c>
      <c r="F305" s="220" t="s">
        <v>500</v>
      </c>
      <c r="G305" s="220" t="s">
        <v>501</v>
      </c>
      <c r="H305" s="364"/>
    </row>
    <row r="306" spans="1:12" ht="17.25">
      <c r="D306" s="219"/>
      <c r="E306" s="220" t="s">
        <v>619</v>
      </c>
      <c r="F306" s="220"/>
      <c r="G306" s="220"/>
      <c r="H306" s="364"/>
    </row>
    <row r="307" spans="1:12" ht="70.900000000000006" customHeight="1">
      <c r="D307" s="221" t="s">
        <v>507</v>
      </c>
      <c r="E307" s="213" t="s">
        <v>490</v>
      </c>
      <c r="F307" s="211"/>
      <c r="G307" s="211"/>
      <c r="H307" s="365"/>
    </row>
    <row r="308" spans="1:12">
      <c r="D308" s="221" t="s">
        <v>508</v>
      </c>
      <c r="E308" s="212" t="s">
        <v>620</v>
      </c>
      <c r="F308" s="212"/>
      <c r="G308" s="213"/>
      <c r="H308" s="215"/>
    </row>
    <row r="309" spans="1:12" ht="25.15" customHeight="1"/>
    <row r="310" spans="1:12" ht="25.15" customHeight="1">
      <c r="D310" s="218" t="s">
        <v>687</v>
      </c>
    </row>
    <row r="311" spans="1:12" ht="25.15" customHeight="1">
      <c r="D311" s="463" t="s">
        <v>688</v>
      </c>
      <c r="E311" s="396">
        <f>COUNTA(E312:E314)</f>
        <v>2</v>
      </c>
      <c r="F311" s="362" t="s">
        <v>692</v>
      </c>
      <c r="G311" s="363" t="s">
        <v>735</v>
      </c>
      <c r="H311" s="363" t="s">
        <v>695</v>
      </c>
      <c r="I311" s="361" t="s">
        <v>686</v>
      </c>
    </row>
    <row r="312" spans="1:12" ht="25.15" customHeight="1">
      <c r="D312" s="464"/>
      <c r="E312" s="210" t="s">
        <v>514</v>
      </c>
      <c r="F312" s="210" t="str">
        <f>VLOOKUP(E312,'조건문 LIST'!$C:$G,5,FALSE)</f>
        <v>Y</v>
      </c>
      <c r="G312" s="210">
        <f t="shared" ref="G312:G313" si="17">IF(F312="Y",1,0)</f>
        <v>1</v>
      </c>
      <c r="H312" s="465">
        <f>SUM(G312:G314)</f>
        <v>2</v>
      </c>
      <c r="I312" s="468" t="str">
        <f>IF(H312=E311,"의무 대상","의무 대상 아님")</f>
        <v>의무 대상</v>
      </c>
    </row>
    <row r="313" spans="1:12" ht="25.15" customHeight="1">
      <c r="D313" s="464"/>
      <c r="E313" s="209" t="s">
        <v>621</v>
      </c>
      <c r="F313" s="210" t="str">
        <f>VLOOKUP(E313,'조건문 LIST'!$C:$G,5,FALSE)</f>
        <v>Y</v>
      </c>
      <c r="G313" s="210">
        <f t="shared" si="17"/>
        <v>1</v>
      </c>
      <c r="H313" s="466"/>
      <c r="I313" s="468"/>
    </row>
    <row r="314" spans="1:12">
      <c r="D314" s="464"/>
      <c r="E314" s="209"/>
      <c r="F314" s="210"/>
      <c r="G314" s="210"/>
      <c r="H314" s="467"/>
      <c r="I314" s="468"/>
    </row>
    <row r="315" spans="1:12">
      <c r="I315" s="206"/>
    </row>
    <row r="316" spans="1:12" s="298" customFormat="1">
      <c r="A316"/>
      <c r="B316" s="208"/>
      <c r="C316" s="208"/>
      <c r="D316" s="205"/>
      <c r="E316" s="205"/>
      <c r="F316" s="207"/>
      <c r="G316" s="207"/>
      <c r="H316" s="207"/>
      <c r="I316" s="207"/>
      <c r="J316" s="207"/>
      <c r="K316" s="207"/>
      <c r="L316" s="207"/>
    </row>
    <row r="317" spans="1:12" ht="20.25">
      <c r="A317" s="295" t="s">
        <v>521</v>
      </c>
      <c r="B317" s="294" t="str">
        <f>K327</f>
        <v>의무 대상</v>
      </c>
      <c r="C317" s="295"/>
      <c r="D317" s="296"/>
      <c r="E317" s="296"/>
      <c r="F317" s="297"/>
      <c r="G317" s="297"/>
      <c r="H317" s="297"/>
      <c r="I317" s="297"/>
      <c r="J317" s="297"/>
      <c r="K317" s="297"/>
    </row>
    <row r="318" spans="1:12" ht="20.25">
      <c r="C318" s="236"/>
    </row>
    <row r="319" spans="1:12">
      <c r="C319" s="218"/>
      <c r="D319" s="218" t="s">
        <v>513</v>
      </c>
    </row>
    <row r="320" spans="1:12" ht="17.25">
      <c r="D320" s="469" t="s">
        <v>475</v>
      </c>
      <c r="E320" s="470"/>
      <c r="F320" s="470"/>
      <c r="G320" s="470"/>
      <c r="H320" s="470"/>
      <c r="I320" s="470"/>
    </row>
    <row r="321" spans="4:11" ht="17.25">
      <c r="D321" s="219"/>
      <c r="E321" s="220" t="s">
        <v>499</v>
      </c>
      <c r="F321" s="220" t="s">
        <v>500</v>
      </c>
      <c r="G321" s="220" t="s">
        <v>501</v>
      </c>
      <c r="H321" s="220"/>
      <c r="I321" s="220" t="s">
        <v>601</v>
      </c>
    </row>
    <row r="322" spans="4:11" ht="17.25">
      <c r="D322" s="219"/>
      <c r="E322" s="220" t="s">
        <v>623</v>
      </c>
      <c r="F322" s="220" t="s">
        <v>626</v>
      </c>
      <c r="G322" s="220"/>
      <c r="H322" s="220"/>
      <c r="I322" s="220"/>
    </row>
    <row r="323" spans="4:11" ht="313.5">
      <c r="D323" s="221" t="s">
        <v>507</v>
      </c>
      <c r="E323" s="212" t="s">
        <v>622</v>
      </c>
      <c r="F323" s="212" t="s">
        <v>625</v>
      </c>
      <c r="G323" s="213"/>
      <c r="H323" s="213"/>
      <c r="I323" s="212"/>
    </row>
    <row r="324" spans="4:11">
      <c r="D324" s="221" t="s">
        <v>508</v>
      </c>
      <c r="E324" s="212"/>
      <c r="F324" s="213"/>
      <c r="G324" s="213"/>
      <c r="H324" s="213"/>
      <c r="I324" s="213"/>
    </row>
    <row r="325" spans="4:11" ht="25.15" customHeight="1"/>
    <row r="326" spans="4:11" ht="25.15" customHeight="1">
      <c r="D326" s="218" t="s">
        <v>687</v>
      </c>
    </row>
    <row r="327" spans="4:11" ht="25.15" customHeight="1">
      <c r="D327" s="463" t="s">
        <v>688</v>
      </c>
      <c r="E327" s="396">
        <f>COUNTA(E328:E331)</f>
        <v>1</v>
      </c>
      <c r="F327" s="362" t="s">
        <v>692</v>
      </c>
      <c r="G327" s="363" t="s">
        <v>735</v>
      </c>
      <c r="H327" s="363" t="s">
        <v>695</v>
      </c>
      <c r="I327" s="361" t="s">
        <v>686</v>
      </c>
      <c r="J327" s="471" t="s">
        <v>693</v>
      </c>
      <c r="K327" s="473" t="str">
        <f>IF(OR(H328=E327,H333=E332,H338=E337,H343=E342),"의무 대상","의무 대상 아님")</f>
        <v>의무 대상</v>
      </c>
    </row>
    <row r="328" spans="4:11" ht="25.15" customHeight="1">
      <c r="D328" s="464"/>
      <c r="E328" s="210" t="s">
        <v>569</v>
      </c>
      <c r="F328" s="210" t="str">
        <f>VLOOKUP(E328,'조건문 LIST'!$C:$G,5,FALSE)</f>
        <v>N</v>
      </c>
      <c r="G328" s="210">
        <f t="shared" ref="G328" si="18">IF(F328="Y",1,0)</f>
        <v>0</v>
      </c>
      <c r="H328" s="465">
        <f>SUM(G328:G331)</f>
        <v>0</v>
      </c>
      <c r="I328" s="468" t="str">
        <f>IF(H328=E327,"의무 대상","의무 대상 아님")</f>
        <v>의무 대상 아님</v>
      </c>
      <c r="J328" s="472"/>
      <c r="K328" s="474"/>
    </row>
    <row r="329" spans="4:11" ht="25.15" customHeight="1">
      <c r="D329" s="464"/>
      <c r="E329" s="209"/>
      <c r="F329" s="210"/>
      <c r="G329" s="210"/>
      <c r="H329" s="466"/>
      <c r="I329" s="468"/>
      <c r="J329" s="472"/>
      <c r="K329" s="474"/>
    </row>
    <row r="330" spans="4:11" ht="25.15" customHeight="1">
      <c r="D330" s="464"/>
      <c r="E330" s="209"/>
      <c r="F330" s="210"/>
      <c r="G330" s="210"/>
      <c r="H330" s="466"/>
      <c r="I330" s="468"/>
      <c r="J330" s="472"/>
      <c r="K330" s="474"/>
    </row>
    <row r="331" spans="4:11" ht="25.15" customHeight="1">
      <c r="D331" s="464"/>
      <c r="E331" s="209"/>
      <c r="F331" s="210"/>
      <c r="G331" s="210"/>
      <c r="H331" s="467"/>
      <c r="I331" s="468"/>
      <c r="J331" s="472"/>
      <c r="K331" s="474"/>
    </row>
    <row r="332" spans="4:11" ht="25.15" customHeight="1">
      <c r="D332" s="463" t="s">
        <v>688</v>
      </c>
      <c r="E332" s="396">
        <f>COUNTA(E333:E336)</f>
        <v>2</v>
      </c>
      <c r="F332" s="362" t="s">
        <v>692</v>
      </c>
      <c r="G332" s="363" t="s">
        <v>735</v>
      </c>
      <c r="H332" s="363" t="s">
        <v>695</v>
      </c>
      <c r="I332" s="361" t="s">
        <v>686</v>
      </c>
      <c r="J332" s="472"/>
      <c r="K332" s="474"/>
    </row>
    <row r="333" spans="4:11" ht="25.15" customHeight="1">
      <c r="D333" s="464"/>
      <c r="E333" s="210" t="s">
        <v>717</v>
      </c>
      <c r="F333" s="210" t="str">
        <f>VLOOKUP(E333,'조건문 LIST'!$C:$G,5,FALSE)</f>
        <v>Y</v>
      </c>
      <c r="G333" s="210">
        <f t="shared" ref="G333:G334" si="19">IF(F333="Y",1,0)</f>
        <v>1</v>
      </c>
      <c r="H333" s="465">
        <f>SUM(G333:G336)</f>
        <v>2</v>
      </c>
      <c r="I333" s="468" t="str">
        <f>IF(H333=E332,"의무 대상","의무 대상 아님")</f>
        <v>의무 대상</v>
      </c>
      <c r="J333" s="472"/>
      <c r="K333" s="474"/>
    </row>
    <row r="334" spans="4:11" ht="25.15" customHeight="1">
      <c r="D334" s="464"/>
      <c r="E334" s="209" t="s">
        <v>718</v>
      </c>
      <c r="F334" s="210" t="str">
        <f>VLOOKUP(E334,'조건문 LIST'!$C:$G,5,FALSE)</f>
        <v>Y</v>
      </c>
      <c r="G334" s="210">
        <f t="shared" si="19"/>
        <v>1</v>
      </c>
      <c r="H334" s="466"/>
      <c r="I334" s="468"/>
      <c r="J334" s="472"/>
      <c r="K334" s="474"/>
    </row>
    <row r="335" spans="4:11" ht="25.15" customHeight="1">
      <c r="D335" s="464"/>
      <c r="E335" s="209"/>
      <c r="F335" s="210"/>
      <c r="G335" s="210"/>
      <c r="H335" s="466"/>
      <c r="I335" s="468"/>
      <c r="J335" s="472"/>
      <c r="K335" s="474"/>
    </row>
    <row r="336" spans="4:11" ht="25.15" customHeight="1">
      <c r="D336" s="464"/>
      <c r="E336" s="209"/>
      <c r="F336" s="210"/>
      <c r="G336" s="210"/>
      <c r="H336" s="467"/>
      <c r="I336" s="468"/>
      <c r="J336" s="472"/>
      <c r="K336" s="474"/>
    </row>
    <row r="337" spans="4:11" ht="25.15" customHeight="1">
      <c r="D337" s="463" t="s">
        <v>688</v>
      </c>
      <c r="E337" s="396">
        <f>COUNTA(E338:E341)</f>
        <v>1</v>
      </c>
      <c r="F337" s="362" t="s">
        <v>692</v>
      </c>
      <c r="G337" s="363" t="s">
        <v>735</v>
      </c>
      <c r="H337" s="363" t="s">
        <v>695</v>
      </c>
      <c r="I337" s="361" t="s">
        <v>686</v>
      </c>
      <c r="J337" s="472"/>
      <c r="K337" s="474"/>
    </row>
    <row r="338" spans="4:11" ht="25.15" customHeight="1">
      <c r="D338" s="464"/>
      <c r="E338" s="210" t="s">
        <v>624</v>
      </c>
      <c r="F338" s="210" t="str">
        <f>VLOOKUP(E338,'조건문 LIST'!$C:$G,5,FALSE)</f>
        <v>N</v>
      </c>
      <c r="G338" s="210">
        <f t="shared" ref="G338" si="20">IF(F338="Y",1,0)</f>
        <v>0</v>
      </c>
      <c r="H338" s="465">
        <f>SUM(G338:G341)</f>
        <v>0</v>
      </c>
      <c r="I338" s="468" t="str">
        <f>IF(H338=E337,"의무 대상","의무 대상 아님")</f>
        <v>의무 대상 아님</v>
      </c>
      <c r="J338" s="472"/>
      <c r="K338" s="474"/>
    </row>
    <row r="339" spans="4:11" ht="25.15" customHeight="1">
      <c r="D339" s="464"/>
      <c r="E339" s="209"/>
      <c r="F339" s="210"/>
      <c r="G339" s="210"/>
      <c r="H339" s="466"/>
      <c r="I339" s="468"/>
      <c r="J339" s="472"/>
      <c r="K339" s="474"/>
    </row>
    <row r="340" spans="4:11" ht="25.15" customHeight="1">
      <c r="D340" s="464"/>
      <c r="E340" s="209"/>
      <c r="F340" s="210"/>
      <c r="G340" s="210"/>
      <c r="H340" s="466"/>
      <c r="I340" s="468"/>
      <c r="J340" s="472"/>
      <c r="K340" s="474"/>
    </row>
    <row r="341" spans="4:11" ht="25.15" customHeight="1">
      <c r="D341" s="464"/>
      <c r="E341" s="209"/>
      <c r="F341" s="210"/>
      <c r="G341" s="210"/>
      <c r="H341" s="467"/>
      <c r="I341" s="468"/>
      <c r="J341" s="472"/>
      <c r="K341" s="474"/>
    </row>
    <row r="342" spans="4:11" ht="25.15" customHeight="1">
      <c r="D342" s="463" t="s">
        <v>688</v>
      </c>
      <c r="E342" s="396">
        <f>COUNTA(E343:E346)</f>
        <v>1</v>
      </c>
      <c r="F342" s="362" t="s">
        <v>692</v>
      </c>
      <c r="G342" s="363" t="s">
        <v>735</v>
      </c>
      <c r="H342" s="363" t="s">
        <v>695</v>
      </c>
      <c r="I342" s="361" t="s">
        <v>686</v>
      </c>
      <c r="J342" s="472"/>
      <c r="K342" s="474"/>
    </row>
    <row r="343" spans="4:11" ht="25.15" customHeight="1">
      <c r="D343" s="464"/>
      <c r="E343" s="210" t="s">
        <v>627</v>
      </c>
      <c r="F343" s="210" t="str">
        <f>VLOOKUP(E343,'조건문 LIST'!$C:$G,5,FALSE)</f>
        <v>N</v>
      </c>
      <c r="G343" s="210">
        <f t="shared" ref="G343" si="21">IF(F343="Y",1,0)</f>
        <v>0</v>
      </c>
      <c r="H343" s="465">
        <f>SUM(G343:G346)</f>
        <v>0</v>
      </c>
      <c r="I343" s="468" t="str">
        <f>IF(H343=E342,"의무 대상","의무 대상 아님")</f>
        <v>의무 대상 아님</v>
      </c>
      <c r="J343" s="472"/>
      <c r="K343" s="474"/>
    </row>
    <row r="344" spans="4:11" ht="25.15" customHeight="1">
      <c r="D344" s="464"/>
      <c r="E344" s="209"/>
      <c r="F344" s="210"/>
      <c r="G344" s="210"/>
      <c r="H344" s="466"/>
      <c r="I344" s="468"/>
      <c r="J344" s="472"/>
      <c r="K344" s="474"/>
    </row>
    <row r="345" spans="4:11" ht="25.15" customHeight="1">
      <c r="D345" s="464"/>
      <c r="E345" s="209"/>
      <c r="F345" s="210"/>
      <c r="G345" s="210"/>
      <c r="H345" s="466"/>
      <c r="I345" s="468"/>
      <c r="J345" s="472"/>
      <c r="K345" s="474"/>
    </row>
    <row r="346" spans="4:11">
      <c r="D346" s="464"/>
      <c r="E346" s="209"/>
      <c r="F346" s="210"/>
      <c r="G346" s="210"/>
      <c r="H346" s="467"/>
      <c r="I346" s="468"/>
      <c r="J346" s="472"/>
      <c r="K346" s="475"/>
    </row>
    <row r="347" spans="4:11" ht="17.45" customHeight="1"/>
  </sheetData>
  <mergeCells count="127">
    <mergeCell ref="K283:K297"/>
    <mergeCell ref="H284:H287"/>
    <mergeCell ref="I284:I287"/>
    <mergeCell ref="D288:D292"/>
    <mergeCell ref="H289:H292"/>
    <mergeCell ref="I289:I292"/>
    <mergeCell ref="D293:D297"/>
    <mergeCell ref="H294:H297"/>
    <mergeCell ref="I294:I297"/>
    <mergeCell ref="D207:G207"/>
    <mergeCell ref="D214:D217"/>
    <mergeCell ref="H215:H217"/>
    <mergeCell ref="I215:I217"/>
    <mergeCell ref="K262:K271"/>
    <mergeCell ref="H263:H266"/>
    <mergeCell ref="I263:I266"/>
    <mergeCell ref="D267:D271"/>
    <mergeCell ref="H268:H271"/>
    <mergeCell ref="I268:I271"/>
    <mergeCell ref="I246:I249"/>
    <mergeCell ref="D240:D244"/>
    <mergeCell ref="H241:H244"/>
    <mergeCell ref="I241:I244"/>
    <mergeCell ref="D245:D249"/>
    <mergeCell ref="H246:H249"/>
    <mergeCell ref="D255:I255"/>
    <mergeCell ref="D262:D266"/>
    <mergeCell ref="J262:J271"/>
    <mergeCell ref="H178:H180"/>
    <mergeCell ref="I178:I180"/>
    <mergeCell ref="D186:G186"/>
    <mergeCell ref="D193:D196"/>
    <mergeCell ref="J193:J201"/>
    <mergeCell ref="K193:K201"/>
    <mergeCell ref="H194:H196"/>
    <mergeCell ref="I194:I196"/>
    <mergeCell ref="D197:D201"/>
    <mergeCell ref="H198:H201"/>
    <mergeCell ref="I198:I201"/>
    <mergeCell ref="D6:G6"/>
    <mergeCell ref="D13:D16"/>
    <mergeCell ref="D39:G39"/>
    <mergeCell ref="D46:D49"/>
    <mergeCell ref="J46:J53"/>
    <mergeCell ref="K46:K53"/>
    <mergeCell ref="H47:H49"/>
    <mergeCell ref="I47:I49"/>
    <mergeCell ref="D50:D53"/>
    <mergeCell ref="H51:H53"/>
    <mergeCell ref="I51:I53"/>
    <mergeCell ref="D23:G23"/>
    <mergeCell ref="I14:I16"/>
    <mergeCell ref="D30:D33"/>
    <mergeCell ref="I31:I33"/>
    <mergeCell ref="H14:H16"/>
    <mergeCell ref="H31:H33"/>
    <mergeCell ref="D58:G58"/>
    <mergeCell ref="D65:D68"/>
    <mergeCell ref="J65:J72"/>
    <mergeCell ref="K65:K72"/>
    <mergeCell ref="H66:H68"/>
    <mergeCell ref="I66:I68"/>
    <mergeCell ref="D69:D72"/>
    <mergeCell ref="H70:H72"/>
    <mergeCell ref="I70:I72"/>
    <mergeCell ref="D77:G77"/>
    <mergeCell ref="D84:D94"/>
    <mergeCell ref="J84:J94"/>
    <mergeCell ref="H85:H94"/>
    <mergeCell ref="I85:I94"/>
    <mergeCell ref="D100:G100"/>
    <mergeCell ref="D107:D110"/>
    <mergeCell ref="H108:H110"/>
    <mergeCell ref="I108:I110"/>
    <mergeCell ref="I128:I130"/>
    <mergeCell ref="D131:D134"/>
    <mergeCell ref="H132:H134"/>
    <mergeCell ref="I132:I134"/>
    <mergeCell ref="D139:G139"/>
    <mergeCell ref="D146:D149"/>
    <mergeCell ref="H147:H149"/>
    <mergeCell ref="I147:I149"/>
    <mergeCell ref="D155:G155"/>
    <mergeCell ref="D162:D165"/>
    <mergeCell ref="H163:H165"/>
    <mergeCell ref="I163:I165"/>
    <mergeCell ref="D170:G170"/>
    <mergeCell ref="D177:D180"/>
    <mergeCell ref="K327:K346"/>
    <mergeCell ref="H328:H331"/>
    <mergeCell ref="D116:G116"/>
    <mergeCell ref="D123:D126"/>
    <mergeCell ref="J123:J134"/>
    <mergeCell ref="H124:H126"/>
    <mergeCell ref="D223:I223"/>
    <mergeCell ref="D230:D234"/>
    <mergeCell ref="J230:J249"/>
    <mergeCell ref="K230:K249"/>
    <mergeCell ref="H231:H234"/>
    <mergeCell ref="K123:K134"/>
    <mergeCell ref="I124:I126"/>
    <mergeCell ref="D127:D130"/>
    <mergeCell ref="H128:H130"/>
    <mergeCell ref="I231:I234"/>
    <mergeCell ref="D235:D239"/>
    <mergeCell ref="H236:H239"/>
    <mergeCell ref="I236:I239"/>
    <mergeCell ref="D304:G304"/>
    <mergeCell ref="D311:D314"/>
    <mergeCell ref="H312:H314"/>
    <mergeCell ref="I312:I314"/>
    <mergeCell ref="D320:I320"/>
    <mergeCell ref="D327:D331"/>
    <mergeCell ref="J327:J346"/>
    <mergeCell ref="D276:G276"/>
    <mergeCell ref="D283:D287"/>
    <mergeCell ref="J283:J297"/>
    <mergeCell ref="I328:I331"/>
    <mergeCell ref="D332:D336"/>
    <mergeCell ref="H333:H336"/>
    <mergeCell ref="I333:I336"/>
    <mergeCell ref="D337:D341"/>
    <mergeCell ref="H338:H341"/>
    <mergeCell ref="I338:I341"/>
    <mergeCell ref="D342:D346"/>
    <mergeCell ref="H343:H346"/>
    <mergeCell ref="I343:I346"/>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A6D6E-B646-45D0-AE44-BE2CE952FAC1}">
  <dimension ref="B1:R105"/>
  <sheetViews>
    <sheetView zoomScale="85" zoomScaleNormal="85" workbookViewId="0">
      <selection activeCell="G7" sqref="G7:G8"/>
    </sheetView>
  </sheetViews>
  <sheetFormatPr defaultRowHeight="16.5"/>
  <cols>
    <col min="2" max="2" width="30.625" customWidth="1"/>
    <col min="3" max="3" width="49.875" bestFit="1" customWidth="1"/>
    <col min="4" max="4" width="23.25" style="205" bestFit="1" customWidth="1"/>
    <col min="5" max="5" width="32.75" style="205" customWidth="1"/>
    <col min="6" max="6" width="20.25" style="205" customWidth="1"/>
    <col min="7" max="7" width="28.25" style="208" customWidth="1"/>
    <col min="8" max="8" width="18.5" customWidth="1"/>
    <col min="9" max="9" width="21.125" customWidth="1"/>
    <col min="14" max="14" width="21.375" bestFit="1" customWidth="1"/>
  </cols>
  <sheetData>
    <row r="1" spans="2:18" ht="43.9" customHeight="1">
      <c r="B1" s="482" t="s">
        <v>679</v>
      </c>
      <c r="C1" s="484" t="s">
        <v>680</v>
      </c>
      <c r="D1" s="484" t="s">
        <v>678</v>
      </c>
      <c r="E1" s="484" t="s">
        <v>682</v>
      </c>
      <c r="F1" s="481"/>
      <c r="G1" s="481"/>
      <c r="H1" s="225"/>
      <c r="I1" s="225"/>
      <c r="J1" s="225"/>
      <c r="K1" s="225"/>
      <c r="L1" s="225"/>
      <c r="M1" s="225"/>
      <c r="N1" s="225"/>
      <c r="O1" s="225"/>
      <c r="P1" s="225"/>
      <c r="Q1" s="225"/>
      <c r="R1" s="225"/>
    </row>
    <row r="2" spans="2:18" ht="43.9" customHeight="1">
      <c r="B2" s="483"/>
      <c r="C2" s="485"/>
      <c r="D2" s="485"/>
      <c r="E2" s="485"/>
      <c r="F2" s="393" t="s">
        <v>736</v>
      </c>
      <c r="G2" s="393" t="s">
        <v>737</v>
      </c>
      <c r="H2" s="225"/>
      <c r="I2" s="225"/>
      <c r="J2" s="225"/>
      <c r="K2" s="225"/>
      <c r="L2" s="225"/>
      <c r="M2" s="225"/>
      <c r="N2" s="225"/>
      <c r="O2" s="225"/>
      <c r="P2" s="225"/>
      <c r="Q2" s="225"/>
      <c r="R2" s="225"/>
    </row>
    <row r="3" spans="2:18">
      <c r="B3" s="217" t="str">
        <f>'#1 - 메인 UI'!$C$13</f>
        <v>지역</v>
      </c>
      <c r="C3" s="217" t="s">
        <v>564</v>
      </c>
      <c r="D3" s="359" t="str">
        <f>'#1 - 메인 UI'!$F$13</f>
        <v>서울특별시</v>
      </c>
      <c r="E3" s="209" t="s">
        <v>565</v>
      </c>
      <c r="F3" s="397" t="str">
        <f>IF(D3=E3,"Y","N")</f>
        <v>Y</v>
      </c>
      <c r="G3" s="214" t="str">
        <f>F3</f>
        <v>Y</v>
      </c>
    </row>
    <row r="4" spans="2:18">
      <c r="B4" s="217"/>
      <c r="C4" s="217"/>
      <c r="D4" s="359"/>
      <c r="E4" s="209"/>
      <c r="F4" s="397"/>
      <c r="G4" s="214"/>
    </row>
    <row r="5" spans="2:18">
      <c r="B5" s="217" t="str">
        <f>'#1 - 메인 UI'!$C$15</f>
        <v>발주처 구분</v>
      </c>
      <c r="C5" s="217" t="s">
        <v>673</v>
      </c>
      <c r="D5" s="359" t="str">
        <f>'#1 - 메인 UI'!$F$15</f>
        <v>공공기관</v>
      </c>
      <c r="E5" s="209" t="s">
        <v>583</v>
      </c>
      <c r="F5" s="397" t="str">
        <f>IF(D5=E5,"Y","N")</f>
        <v>Y</v>
      </c>
      <c r="G5" s="214" t="str">
        <f>F5</f>
        <v>Y</v>
      </c>
    </row>
    <row r="6" spans="2:18">
      <c r="B6" s="217"/>
      <c r="C6" s="217"/>
      <c r="D6" s="359"/>
      <c r="E6" s="209"/>
      <c r="F6" s="397"/>
      <c r="G6" s="214"/>
    </row>
    <row r="7" spans="2:18">
      <c r="B7" s="217" t="str">
        <f>'#1 - 메인 UI'!$C$15</f>
        <v>발주처 구분</v>
      </c>
      <c r="C7" s="217" t="s">
        <v>674</v>
      </c>
      <c r="D7" s="359" t="str">
        <f>'#1 - 메인 UI'!$F$15</f>
        <v>공공기관</v>
      </c>
      <c r="E7" s="209" t="s">
        <v>614</v>
      </c>
      <c r="F7" s="397" t="str">
        <f>IF(D7=E7,"Y","N")</f>
        <v>N</v>
      </c>
      <c r="G7" s="486" t="str">
        <f>IF(OR(F7="Y",F8="Y"),"Y","N")</f>
        <v>Y</v>
      </c>
      <c r="H7" s="488" t="s">
        <v>738</v>
      </c>
    </row>
    <row r="8" spans="2:18">
      <c r="B8" s="217"/>
      <c r="C8" s="217"/>
      <c r="D8" s="359" t="str">
        <f>'#1 - 메인 UI'!$F$15</f>
        <v>공공기관</v>
      </c>
      <c r="E8" s="209" t="s">
        <v>583</v>
      </c>
      <c r="F8" s="397" t="str">
        <f>IF(D8=E8,"Y","N")</f>
        <v>Y</v>
      </c>
      <c r="G8" s="487"/>
      <c r="H8" s="488"/>
      <c r="N8" s="217"/>
    </row>
    <row r="9" spans="2:18">
      <c r="B9" s="217"/>
      <c r="C9" s="217"/>
      <c r="D9" s="359"/>
      <c r="E9" s="209"/>
      <c r="F9" s="397"/>
      <c r="G9" s="214"/>
    </row>
    <row r="10" spans="2:18">
      <c r="B10" s="217" t="str">
        <f>'#1 - 메인 UI'!$C$15</f>
        <v>발주처 구분</v>
      </c>
      <c r="C10" s="217" t="s">
        <v>675</v>
      </c>
      <c r="D10" s="359" t="str">
        <f>'#1 - 메인 UI'!$F$15</f>
        <v>공공기관</v>
      </c>
      <c r="E10" s="209" t="s">
        <v>614</v>
      </c>
      <c r="F10" s="397" t="str">
        <f>IF(D10=E10,"Y","N")</f>
        <v>N</v>
      </c>
      <c r="G10" s="214" t="str">
        <f>F10</f>
        <v>N</v>
      </c>
    </row>
    <row r="11" spans="2:18">
      <c r="B11" s="217"/>
      <c r="C11" s="217"/>
      <c r="D11" s="359"/>
      <c r="E11" s="209"/>
      <c r="F11" s="397"/>
      <c r="G11" s="214"/>
    </row>
    <row r="12" spans="2:18">
      <c r="B12" s="217" t="str">
        <f>'#1 - 메인 UI'!$C$15</f>
        <v>발주처 구분</v>
      </c>
      <c r="C12" s="217" t="s">
        <v>676</v>
      </c>
      <c r="D12" s="359" t="str">
        <f>'#1 - 메인 UI'!$F$15</f>
        <v>공공기관</v>
      </c>
      <c r="E12" s="209" t="s">
        <v>617</v>
      </c>
      <c r="F12" s="397" t="str">
        <f>IF(D12=E12,"Y","N")</f>
        <v>N</v>
      </c>
      <c r="G12" s="214" t="str">
        <f>F12</f>
        <v>N</v>
      </c>
    </row>
    <row r="13" spans="2:18">
      <c r="B13" s="217"/>
      <c r="C13" s="217"/>
      <c r="D13" s="359"/>
      <c r="E13" s="209"/>
      <c r="F13" s="397"/>
      <c r="G13" s="214"/>
    </row>
    <row r="14" spans="2:18">
      <c r="B14" s="217" t="str">
        <f>'#1 - 메인 UI'!$C$17</f>
        <v>건축물 용도</v>
      </c>
      <c r="C14" s="217" t="s">
        <v>600</v>
      </c>
      <c r="D14" s="359" t="str">
        <f>'#1 - 메인 UI'!$F$17</f>
        <v>공동주택</v>
      </c>
      <c r="E14" s="209" t="s">
        <v>503</v>
      </c>
      <c r="F14" s="397" t="str">
        <f>IF(D14=E14,"Y","N")</f>
        <v>Y</v>
      </c>
      <c r="G14" s="486" t="str">
        <f>IF(OR(F14="Y",F15="Y"),"N","Y")</f>
        <v>N</v>
      </c>
      <c r="H14" s="488" t="s">
        <v>739</v>
      </c>
    </row>
    <row r="15" spans="2:18">
      <c r="B15" s="217"/>
      <c r="C15" s="217"/>
      <c r="D15" s="359"/>
      <c r="E15" s="209" t="s">
        <v>599</v>
      </c>
      <c r="F15" s="397" t="str">
        <f>IF(D15=E15,"Y","N")</f>
        <v>N</v>
      </c>
      <c r="G15" s="487"/>
      <c r="H15" s="488"/>
    </row>
    <row r="16" spans="2:18">
      <c r="B16" s="217"/>
      <c r="C16" s="217"/>
      <c r="D16" s="359"/>
      <c r="E16" s="209"/>
      <c r="F16" s="398"/>
      <c r="G16" s="360"/>
    </row>
    <row r="17" spans="2:7">
      <c r="B17" s="217" t="str">
        <f>'#1 - 메인 UI'!$C$17</f>
        <v>건축물 용도</v>
      </c>
      <c r="C17" s="217" t="s">
        <v>609</v>
      </c>
      <c r="D17" s="359" t="str">
        <f>'#1 - 메인 UI'!$F$17</f>
        <v>공동주택</v>
      </c>
      <c r="E17" s="209" t="s">
        <v>503</v>
      </c>
      <c r="F17" s="397" t="str">
        <f>IF(D17=E17,"Y","N")</f>
        <v>Y</v>
      </c>
      <c r="G17" s="214" t="str">
        <f>F17</f>
        <v>Y</v>
      </c>
    </row>
    <row r="18" spans="2:7">
      <c r="B18" s="217"/>
      <c r="C18" s="217"/>
      <c r="D18" s="359"/>
      <c r="E18" s="209"/>
      <c r="F18" s="399"/>
      <c r="G18" s="367"/>
    </row>
    <row r="19" spans="2:7">
      <c r="B19" s="217"/>
      <c r="C19" s="217"/>
      <c r="D19" s="359"/>
      <c r="E19" s="209"/>
      <c r="F19" s="397"/>
      <c r="G19" s="214"/>
    </row>
    <row r="20" spans="2:7">
      <c r="B20" s="217" t="str">
        <f>'#1 - 메인 UI'!$C$17</f>
        <v>건축물 용도</v>
      </c>
      <c r="C20" s="217" t="s">
        <v>514</v>
      </c>
      <c r="D20" s="359" t="str">
        <f>'#1 - 메인 UI'!$F$17</f>
        <v>공동주택</v>
      </c>
      <c r="E20" s="209" t="s">
        <v>503</v>
      </c>
      <c r="F20" s="397" t="str">
        <f>IF(D20=E20,"Y","N")</f>
        <v>Y</v>
      </c>
      <c r="G20" s="214" t="str">
        <f>F20</f>
        <v>Y</v>
      </c>
    </row>
    <row r="21" spans="2:7">
      <c r="B21" s="217"/>
      <c r="C21" s="217"/>
      <c r="D21" s="359"/>
      <c r="E21" s="209"/>
      <c r="F21" s="397"/>
      <c r="G21" s="214"/>
    </row>
    <row r="22" spans="2:7">
      <c r="B22" s="217" t="str">
        <f>'#1 - 메인 UI'!$C$17</f>
        <v>건축물 용도</v>
      </c>
      <c r="C22" s="217" t="s">
        <v>694</v>
      </c>
      <c r="D22" s="359" t="str">
        <f>'#1 - 메인 UI'!$F$17</f>
        <v>공동주택</v>
      </c>
      <c r="E22" s="209" t="s">
        <v>550</v>
      </c>
      <c r="F22" s="397" t="str">
        <f>IF(D22=E22,"Y","N")</f>
        <v>N</v>
      </c>
      <c r="G22" s="214" t="str">
        <f>F22</f>
        <v>N</v>
      </c>
    </row>
    <row r="23" spans="2:7">
      <c r="B23" s="217"/>
      <c r="C23" s="217"/>
      <c r="D23" s="359"/>
      <c r="E23" s="209"/>
      <c r="F23" s="397"/>
      <c r="G23" s="214"/>
    </row>
    <row r="24" spans="2:7">
      <c r="B24" s="217" t="str">
        <f>'#1 - 메인 UI'!$C$17</f>
        <v>건축물 용도</v>
      </c>
      <c r="C24" s="217" t="s">
        <v>704</v>
      </c>
      <c r="D24" s="359" t="str">
        <f>'#1 - 메인 UI'!$F$17</f>
        <v>공동주택</v>
      </c>
      <c r="E24" s="205" t="s">
        <v>696</v>
      </c>
      <c r="F24" s="397" t="str">
        <f>IF(D24=E24,"Y","N")</f>
        <v>N</v>
      </c>
      <c r="G24" s="214" t="str">
        <f>F24</f>
        <v>N</v>
      </c>
    </row>
    <row r="25" spans="2:7">
      <c r="B25" s="217"/>
      <c r="C25" s="217"/>
      <c r="D25" s="359"/>
      <c r="F25" s="397"/>
      <c r="G25" s="214"/>
    </row>
    <row r="26" spans="2:7">
      <c r="B26" s="217" t="str">
        <f>'#1 - 메인 UI'!$C$17</f>
        <v>건축물 용도</v>
      </c>
      <c r="C26" s="217" t="s">
        <v>705</v>
      </c>
      <c r="D26" s="359" t="str">
        <f>'#1 - 메인 UI'!$F$17</f>
        <v>공동주택</v>
      </c>
      <c r="E26" s="209" t="s">
        <v>697</v>
      </c>
      <c r="F26" s="397" t="str">
        <f>IF(D26=E26,"Y","N")</f>
        <v>N</v>
      </c>
      <c r="G26" s="214" t="str">
        <f>F26</f>
        <v>N</v>
      </c>
    </row>
    <row r="27" spans="2:7">
      <c r="B27" s="217"/>
      <c r="C27" s="217"/>
      <c r="D27" s="359"/>
      <c r="E27" s="209"/>
      <c r="F27" s="397"/>
      <c r="G27" s="214"/>
    </row>
    <row r="28" spans="2:7">
      <c r="B28" s="217" t="str">
        <f>'#1 - 메인 UI'!$C$17</f>
        <v>건축물 용도</v>
      </c>
      <c r="C28" s="217" t="s">
        <v>706</v>
      </c>
      <c r="D28" s="359" t="str">
        <f>'#1 - 메인 UI'!$F$17</f>
        <v>공동주택</v>
      </c>
      <c r="E28" s="209" t="s">
        <v>698</v>
      </c>
      <c r="F28" s="397" t="str">
        <f>IF(D28=E28,"Y","N")</f>
        <v>N</v>
      </c>
      <c r="G28" s="214" t="str">
        <f>F28</f>
        <v>N</v>
      </c>
    </row>
    <row r="29" spans="2:7">
      <c r="B29" s="217"/>
      <c r="C29" s="217"/>
      <c r="D29" s="359"/>
      <c r="E29" s="209"/>
      <c r="F29" s="400"/>
      <c r="G29" s="214"/>
    </row>
    <row r="30" spans="2:7">
      <c r="B30" s="217" t="str">
        <f>'#1 - 메인 UI'!$C$17</f>
        <v>건축물 용도</v>
      </c>
      <c r="C30" s="217" t="s">
        <v>707</v>
      </c>
      <c r="D30" s="359" t="str">
        <f>'#1 - 메인 UI'!$F$17</f>
        <v>공동주택</v>
      </c>
      <c r="E30" s="209" t="s">
        <v>703</v>
      </c>
      <c r="F30" s="397" t="str">
        <f>IF(D30=E30,"Y","N")</f>
        <v>N</v>
      </c>
      <c r="G30" s="214" t="str">
        <f>F30</f>
        <v>N</v>
      </c>
    </row>
    <row r="31" spans="2:7">
      <c r="B31" s="217"/>
      <c r="C31" s="217"/>
      <c r="D31" s="359"/>
      <c r="E31" s="209"/>
      <c r="F31" s="400"/>
      <c r="G31" s="214"/>
    </row>
    <row r="32" spans="2:7">
      <c r="B32" s="217" t="str">
        <f>'#1 - 메인 UI'!$C$17</f>
        <v>건축물 용도</v>
      </c>
      <c r="C32" s="217" t="s">
        <v>708</v>
      </c>
      <c r="D32" s="359" t="str">
        <f>'#1 - 메인 UI'!$F$17</f>
        <v>공동주택</v>
      </c>
      <c r="E32" s="209" t="s">
        <v>699</v>
      </c>
      <c r="F32" s="397" t="str">
        <f>IF(D32=E32,"Y","N")</f>
        <v>N</v>
      </c>
      <c r="G32" s="214" t="str">
        <f>F32</f>
        <v>N</v>
      </c>
    </row>
    <row r="33" spans="2:8">
      <c r="B33" s="217"/>
      <c r="C33" s="217"/>
      <c r="D33" s="359"/>
      <c r="E33" s="209"/>
      <c r="F33" s="400"/>
      <c r="G33" s="214"/>
    </row>
    <row r="34" spans="2:8">
      <c r="B34" s="217" t="str">
        <f>'#1 - 메인 UI'!$C$17</f>
        <v>건축물 용도</v>
      </c>
      <c r="C34" s="217" t="s">
        <v>709</v>
      </c>
      <c r="D34" s="359" t="str">
        <f>'#1 - 메인 UI'!$F$17</f>
        <v>공동주택</v>
      </c>
      <c r="E34" s="209" t="s">
        <v>700</v>
      </c>
      <c r="F34" s="397" t="str">
        <f>IF(D34=E34,"Y","N")</f>
        <v>N</v>
      </c>
      <c r="G34" s="214" t="str">
        <f>F34</f>
        <v>N</v>
      </c>
    </row>
    <row r="35" spans="2:8">
      <c r="B35" s="217"/>
      <c r="C35" s="217"/>
      <c r="D35" s="359"/>
      <c r="E35" s="209"/>
      <c r="F35" s="400"/>
      <c r="G35" s="214"/>
    </row>
    <row r="36" spans="2:8">
      <c r="B36" s="217" t="str">
        <f>'#1 - 메인 UI'!$C$17</f>
        <v>건축물 용도</v>
      </c>
      <c r="C36" s="217" t="s">
        <v>710</v>
      </c>
      <c r="D36" s="359" t="str">
        <f>'#1 - 메인 UI'!$F$17</f>
        <v>공동주택</v>
      </c>
      <c r="E36" s="209" t="s">
        <v>701</v>
      </c>
      <c r="F36" s="397" t="str">
        <f>IF(D36=E36,"Y","N")</f>
        <v>N</v>
      </c>
      <c r="G36" s="214" t="str">
        <f>F36</f>
        <v>N</v>
      </c>
    </row>
    <row r="37" spans="2:8">
      <c r="B37" s="217"/>
      <c r="C37" s="217"/>
      <c r="D37" s="359"/>
      <c r="E37" s="209"/>
      <c r="F37" s="400"/>
      <c r="G37" s="214"/>
    </row>
    <row r="38" spans="2:8">
      <c r="B38" s="217" t="str">
        <f>'#1 - 메인 UI'!$C$17</f>
        <v>건축물 용도</v>
      </c>
      <c r="C38" s="217" t="s">
        <v>711</v>
      </c>
      <c r="D38" s="359" t="str">
        <f>'#1 - 메인 UI'!$F$17</f>
        <v>공동주택</v>
      </c>
      <c r="E38" s="209" t="s">
        <v>702</v>
      </c>
      <c r="F38" s="397" t="str">
        <f>IF(D38=E38,"Y","N")</f>
        <v>N</v>
      </c>
      <c r="G38" s="214" t="str">
        <f>F38</f>
        <v>N</v>
      </c>
    </row>
    <row r="39" spans="2:8">
      <c r="B39" s="217"/>
      <c r="C39" s="217"/>
      <c r="D39" s="359"/>
      <c r="E39" s="209"/>
      <c r="F39" s="400"/>
      <c r="G39" s="214"/>
    </row>
    <row r="40" spans="2:8">
      <c r="B40" s="217" t="str">
        <f>'#1 - 메인 UI'!$C$17</f>
        <v>건축물 용도</v>
      </c>
      <c r="C40" s="217" t="s">
        <v>613</v>
      </c>
      <c r="D40" s="359" t="str">
        <f>'#1 - 메인 UI'!$F$17</f>
        <v>공동주택</v>
      </c>
      <c r="E40" s="209" t="s">
        <v>615</v>
      </c>
      <c r="F40" s="397" t="str">
        <f>IF(D40=E40,"Y","N")</f>
        <v>N</v>
      </c>
      <c r="G40" s="214" t="str">
        <f>F40</f>
        <v>N</v>
      </c>
    </row>
    <row r="41" spans="2:8">
      <c r="B41" s="217"/>
      <c r="C41" s="217"/>
      <c r="D41" s="359"/>
      <c r="E41" s="209"/>
      <c r="F41" s="400"/>
      <c r="G41" s="214"/>
    </row>
    <row r="42" spans="2:8">
      <c r="B42" s="217" t="str">
        <f>'#1 - 메인 UI'!$C$17</f>
        <v>건축물 용도</v>
      </c>
      <c r="C42" s="217" t="s">
        <v>598</v>
      </c>
      <c r="D42" s="359" t="str">
        <f>'#1 - 메인 UI'!$F$17</f>
        <v>공동주택</v>
      </c>
      <c r="E42" s="209" t="s">
        <v>599</v>
      </c>
      <c r="F42" s="397" t="str">
        <f>IF(D42=E42,"Y","N")</f>
        <v>N</v>
      </c>
      <c r="G42" s="214" t="str">
        <f>F42</f>
        <v>N</v>
      </c>
    </row>
    <row r="43" spans="2:8">
      <c r="B43" s="217"/>
      <c r="C43" s="217"/>
      <c r="D43" s="359"/>
      <c r="E43" s="209"/>
      <c r="F43" s="400"/>
      <c r="G43" s="214"/>
    </row>
    <row r="44" spans="2:8">
      <c r="B44" s="217" t="str">
        <f>'#1 - 메인 UI'!$C$17</f>
        <v>건축물 용도</v>
      </c>
      <c r="C44" s="217" t="s">
        <v>669</v>
      </c>
      <c r="D44" s="359" t="str">
        <f>'#1 - 메인 UI'!$F$17</f>
        <v>공동주택</v>
      </c>
      <c r="E44" s="209" t="s">
        <v>734</v>
      </c>
      <c r="F44" s="397" t="str">
        <f>IF(D44=E44,"Y","N")</f>
        <v>N</v>
      </c>
      <c r="G44" s="214" t="str">
        <f>F44</f>
        <v>N</v>
      </c>
    </row>
    <row r="45" spans="2:8">
      <c r="B45" s="217"/>
      <c r="C45" s="217"/>
      <c r="D45" s="359"/>
      <c r="E45" s="209"/>
      <c r="F45" s="400"/>
      <c r="G45" s="214"/>
    </row>
    <row r="46" spans="2:8">
      <c r="B46" s="217" t="str">
        <f>'#1 - 메인 UI'!$C$17</f>
        <v>건축물 용도</v>
      </c>
      <c r="C46" s="217" t="s">
        <v>666</v>
      </c>
      <c r="D46" s="359" t="str">
        <f>'#1 - 메인 UI'!$F$17</f>
        <v>공동주택</v>
      </c>
      <c r="E46" s="209" t="s">
        <v>351</v>
      </c>
      <c r="F46" s="397" t="str">
        <f>IF(D46=E46,"Y","N")</f>
        <v>N</v>
      </c>
      <c r="G46" s="486" t="str">
        <f>IF(OR(F46="Y",F47="Y"),"Y","N")</f>
        <v>N</v>
      </c>
      <c r="H46" s="488" t="s">
        <v>738</v>
      </c>
    </row>
    <row r="47" spans="2:8">
      <c r="B47" s="217"/>
      <c r="C47" s="217"/>
      <c r="D47" s="359" t="str">
        <f>'#1 - 메인 UI'!$F$17</f>
        <v>공동주택</v>
      </c>
      <c r="E47" s="209" t="s">
        <v>685</v>
      </c>
      <c r="F47" s="397" t="str">
        <f>IF(D47=E47,"Y","N")</f>
        <v>N</v>
      </c>
      <c r="G47" s="487"/>
      <c r="H47" s="488"/>
    </row>
    <row r="48" spans="2:8">
      <c r="B48" s="217"/>
      <c r="C48" s="217"/>
      <c r="D48" s="359"/>
      <c r="E48" s="209"/>
      <c r="F48" s="397"/>
      <c r="G48" s="214"/>
    </row>
    <row r="49" spans="2:8">
      <c r="B49" s="217" t="str">
        <f>'#1 - 메인 UI'!$C$17</f>
        <v>건축물 용도</v>
      </c>
      <c r="C49" s="217" t="s">
        <v>588</v>
      </c>
      <c r="D49" s="359" t="str">
        <f>'#1 - 메인 UI'!$F$17</f>
        <v>공동주택</v>
      </c>
      <c r="E49" s="209" t="s">
        <v>351</v>
      </c>
      <c r="F49" s="397" t="str">
        <f>IF(D49=E49,"Y","N")</f>
        <v>N</v>
      </c>
      <c r="G49" s="214" t="str">
        <f>F49</f>
        <v>N</v>
      </c>
    </row>
    <row r="50" spans="2:8">
      <c r="B50" s="217"/>
      <c r="C50" s="217"/>
      <c r="D50" s="359"/>
      <c r="E50" s="209"/>
      <c r="F50" s="400"/>
      <c r="G50" s="214"/>
    </row>
    <row r="51" spans="2:8">
      <c r="B51" s="217" t="str">
        <f>'#1 - 메인 UI'!$C$17</f>
        <v>건축물 용도</v>
      </c>
      <c r="C51" s="217" t="s">
        <v>616</v>
      </c>
      <c r="D51" s="359" t="str">
        <f>'#1 - 메인 UI'!$F$17</f>
        <v>공동주택</v>
      </c>
      <c r="E51" s="209" t="s">
        <v>618</v>
      </c>
      <c r="F51" s="397" t="str">
        <f>IF(D51=E51,"Y","N")</f>
        <v>N</v>
      </c>
      <c r="G51" s="214" t="str">
        <f>F51</f>
        <v>N</v>
      </c>
    </row>
    <row r="52" spans="2:8">
      <c r="B52" s="217"/>
      <c r="C52" s="217"/>
      <c r="D52" s="359"/>
      <c r="E52" s="209"/>
      <c r="F52" s="400"/>
      <c r="G52" s="214"/>
    </row>
    <row r="53" spans="2:8">
      <c r="B53" s="217" t="str">
        <f>'#1 - 메인 UI'!$C$17</f>
        <v>건축물 용도</v>
      </c>
      <c r="C53" s="217" t="s">
        <v>569</v>
      </c>
      <c r="D53" s="359" t="str">
        <f>'#1 - 메인 UI'!$F$17</f>
        <v>공동주택</v>
      </c>
      <c r="E53" s="209" t="s">
        <v>570</v>
      </c>
      <c r="F53" s="397" t="str">
        <f>IF(D53=E53,"Y","N")</f>
        <v>N</v>
      </c>
      <c r="G53" s="214" t="str">
        <f>F53</f>
        <v>N</v>
      </c>
    </row>
    <row r="54" spans="2:8">
      <c r="B54" s="217"/>
      <c r="C54" s="217"/>
      <c r="D54" s="359"/>
      <c r="E54" s="209"/>
      <c r="F54" s="400"/>
      <c r="G54" s="214"/>
    </row>
    <row r="55" spans="2:8">
      <c r="B55" s="217" t="str">
        <f>'#1 - 메인 UI'!$C$17</f>
        <v>건축물 용도</v>
      </c>
      <c r="C55" s="217" t="s">
        <v>672</v>
      </c>
      <c r="D55" s="359" t="str">
        <f>'#1 - 메인 UI'!$F$17</f>
        <v>공동주택</v>
      </c>
      <c r="E55" s="209" t="s">
        <v>683</v>
      </c>
      <c r="F55" s="397" t="str">
        <f>IF(D55=E55,"Y","N")</f>
        <v>N</v>
      </c>
      <c r="G55" s="214" t="str">
        <f>F55</f>
        <v>N</v>
      </c>
    </row>
    <row r="56" spans="2:8">
      <c r="B56" s="217"/>
      <c r="C56" s="217"/>
      <c r="D56" s="359"/>
      <c r="E56" s="209"/>
      <c r="F56" s="400"/>
      <c r="G56" s="214"/>
    </row>
    <row r="57" spans="2:8">
      <c r="B57" s="217" t="str">
        <f>'#1 - 메인 UI'!$C$17</f>
        <v>건축물 용도</v>
      </c>
      <c r="C57" s="217" t="s">
        <v>671</v>
      </c>
      <c r="D57" s="359" t="str">
        <f>'#1 - 메인 UI'!$F$17</f>
        <v>공동주택</v>
      </c>
      <c r="E57" s="209" t="s">
        <v>503</v>
      </c>
      <c r="F57" s="397" t="str">
        <f>IF(D57=E57,"Y","N")</f>
        <v>Y</v>
      </c>
      <c r="G57" s="489" t="str">
        <f>IF(OR(F57="Y",F58="Y",F59="Y"),"N","Y")</f>
        <v>N</v>
      </c>
      <c r="H57" s="488" t="s">
        <v>739</v>
      </c>
    </row>
    <row r="58" spans="2:8">
      <c r="B58" s="217"/>
      <c r="C58" s="217"/>
      <c r="D58" s="359" t="str">
        <f>'#1 - 메인 UI'!$F$17</f>
        <v>공동주택</v>
      </c>
      <c r="E58" s="209" t="s">
        <v>506</v>
      </c>
      <c r="F58" s="397" t="str">
        <f>IF(D58=E58,"Y","N")</f>
        <v>N</v>
      </c>
      <c r="G58" s="490"/>
      <c r="H58" s="488"/>
    </row>
    <row r="59" spans="2:8">
      <c r="B59" s="217"/>
      <c r="C59" s="217"/>
      <c r="D59" s="359" t="str">
        <f>'#1 - 메인 UI'!$F$17</f>
        <v>공동주택</v>
      </c>
      <c r="E59" s="209" t="s">
        <v>696</v>
      </c>
      <c r="F59" s="397" t="str">
        <f>IF(D59=E59,"Y","N")</f>
        <v>N</v>
      </c>
      <c r="G59" s="491"/>
      <c r="H59" s="488"/>
    </row>
    <row r="60" spans="2:8">
      <c r="B60" s="217"/>
      <c r="C60" s="217"/>
      <c r="D60" s="359"/>
      <c r="E60" s="209"/>
      <c r="F60" s="400"/>
      <c r="G60" s="214"/>
    </row>
    <row r="61" spans="2:8">
      <c r="B61" s="217" t="str">
        <f>'#1 - 메인 UI'!$C$17</f>
        <v>건축물 용도</v>
      </c>
      <c r="C61" s="217" t="s">
        <v>670</v>
      </c>
      <c r="D61" s="359" t="str">
        <f>'#1 - 메인 UI'!$F$17</f>
        <v>공동주택</v>
      </c>
      <c r="E61" s="209" t="s">
        <v>506</v>
      </c>
      <c r="F61" s="397" t="str">
        <f>IF(D61=E61,"Y","N")</f>
        <v>N</v>
      </c>
      <c r="G61" s="214" t="str">
        <f>F61</f>
        <v>N</v>
      </c>
    </row>
    <row r="62" spans="2:8">
      <c r="B62" s="217"/>
      <c r="C62" s="217"/>
      <c r="D62" s="359"/>
      <c r="E62" s="209"/>
      <c r="F62" s="400"/>
      <c r="G62" s="214"/>
    </row>
    <row r="63" spans="2:8">
      <c r="B63" s="217" t="str">
        <f>'#1 - 메인 UI'!$C$19</f>
        <v>세대수(공동주택일 경우)</v>
      </c>
      <c r="C63" s="217" t="s">
        <v>574</v>
      </c>
      <c r="D63" s="359">
        <f>'#1 - 메인 UI'!$F$19</f>
        <v>1000</v>
      </c>
      <c r="E63" s="209">
        <v>20</v>
      </c>
      <c r="F63" s="397" t="str">
        <f>IF(D63&gt;=E63,"Y","N")</f>
        <v>Y</v>
      </c>
      <c r="G63" s="214" t="str">
        <f>F63</f>
        <v>Y</v>
      </c>
    </row>
    <row r="64" spans="2:8">
      <c r="B64" s="217"/>
      <c r="C64" s="217"/>
      <c r="D64" s="359"/>
      <c r="E64" s="209"/>
      <c r="F64" s="400"/>
      <c r="G64" s="214"/>
    </row>
    <row r="65" spans="2:8">
      <c r="B65" s="217" t="str">
        <f>'#1 - 메인 UI'!$C$19</f>
        <v>세대수(공동주택일 경우)</v>
      </c>
      <c r="C65" s="217" t="s">
        <v>515</v>
      </c>
      <c r="D65" s="359">
        <f>'#1 - 메인 UI'!$F$19</f>
        <v>1000</v>
      </c>
      <c r="E65" s="209">
        <v>30</v>
      </c>
      <c r="F65" s="397" t="str">
        <f>IF(D65&gt;=E65,"Y","N")</f>
        <v>Y</v>
      </c>
      <c r="G65" s="214" t="str">
        <f>F65</f>
        <v>Y</v>
      </c>
    </row>
    <row r="66" spans="2:8">
      <c r="B66" s="217"/>
      <c r="C66" s="217"/>
      <c r="D66" s="359"/>
      <c r="E66" s="209"/>
      <c r="F66" s="400"/>
      <c r="G66" s="214"/>
    </row>
    <row r="67" spans="2:8">
      <c r="B67" s="217" t="str">
        <f>'#1 - 메인 UI'!$C$19</f>
        <v>세대수(공동주택일 경우)</v>
      </c>
      <c r="C67" s="217" t="s">
        <v>555</v>
      </c>
      <c r="D67" s="359">
        <f>'#1 - 메인 UI'!$F$19</f>
        <v>1000</v>
      </c>
      <c r="E67" s="209">
        <v>500</v>
      </c>
      <c r="F67" s="397" t="str">
        <f>IF(D67&gt;=E67,"Y","N")</f>
        <v>Y</v>
      </c>
      <c r="G67" s="214" t="str">
        <f>F67</f>
        <v>Y</v>
      </c>
    </row>
    <row r="68" spans="2:8">
      <c r="B68" s="217"/>
      <c r="C68" s="217"/>
      <c r="D68" s="359"/>
      <c r="E68" s="209"/>
      <c r="F68" s="400"/>
      <c r="G68" s="214"/>
    </row>
    <row r="69" spans="2:8">
      <c r="B69" s="217" t="str">
        <f>'#1 - 메인 UI'!$C$19</f>
        <v>세대수(공동주택일 경우)</v>
      </c>
      <c r="C69" s="217" t="s">
        <v>621</v>
      </c>
      <c r="D69" s="359">
        <f>'#1 - 메인 UI'!$F$19</f>
        <v>1000</v>
      </c>
      <c r="E69" s="209">
        <v>1000</v>
      </c>
      <c r="F69" s="397" t="str">
        <f>IF(D69&gt;=E69,"Y","N")</f>
        <v>Y</v>
      </c>
      <c r="G69" s="214" t="str">
        <f>F69</f>
        <v>Y</v>
      </c>
    </row>
    <row r="70" spans="2:8">
      <c r="B70" s="217"/>
      <c r="C70" s="217"/>
      <c r="D70" s="359"/>
      <c r="E70" s="209"/>
      <c r="F70" s="400"/>
      <c r="G70" s="214"/>
    </row>
    <row r="71" spans="2:8">
      <c r="B71" s="217" t="str">
        <f>'#1 - 메인 UI'!$C$21</f>
        <v>사업계획승인/인허가</v>
      </c>
      <c r="C71" s="217" t="s">
        <v>664</v>
      </c>
      <c r="D71" s="359" t="str">
        <f>'#1 - 메인 UI'!$F$21</f>
        <v>건축허가</v>
      </c>
      <c r="E71" s="209" t="s">
        <v>504</v>
      </c>
      <c r="F71" s="397" t="str">
        <f>IF(D71=E71,"Y","N")</f>
        <v>N</v>
      </c>
      <c r="G71" s="214" t="str">
        <f>F71</f>
        <v>N</v>
      </c>
    </row>
    <row r="72" spans="2:8">
      <c r="B72" s="217"/>
      <c r="C72" s="217"/>
      <c r="D72" s="359"/>
      <c r="E72" s="209"/>
      <c r="F72" s="400"/>
      <c r="G72" s="214"/>
    </row>
    <row r="73" spans="2:8">
      <c r="B73" s="217" t="str">
        <f>'#1 - 메인 UI'!$C$21</f>
        <v>사업계획승인/인허가</v>
      </c>
      <c r="C73" s="217" t="s">
        <v>677</v>
      </c>
      <c r="D73" s="359" t="str">
        <f>'#1 - 메인 UI'!$F$21</f>
        <v>건축허가</v>
      </c>
      <c r="E73" s="209" t="s">
        <v>537</v>
      </c>
      <c r="F73" s="397" t="str">
        <f>IF(D73=E73,"Y","N")</f>
        <v>Y</v>
      </c>
      <c r="G73" s="214" t="str">
        <f>F73</f>
        <v>Y</v>
      </c>
    </row>
    <row r="74" spans="2:8">
      <c r="B74" s="217"/>
      <c r="C74" s="217"/>
      <c r="D74" s="359"/>
      <c r="E74" s="209"/>
      <c r="F74" s="400"/>
      <c r="G74" s="214"/>
    </row>
    <row r="75" spans="2:8" ht="33">
      <c r="B75" s="217" t="str">
        <f>'#1 - 메인 UI'!$C$21</f>
        <v>사업계획승인/인허가</v>
      </c>
      <c r="C75" s="212" t="s">
        <v>665</v>
      </c>
      <c r="D75" s="359" t="str">
        <f>'#1 - 메인 UI'!$F$21</f>
        <v>건축허가</v>
      </c>
      <c r="E75" s="210" t="s">
        <v>537</v>
      </c>
      <c r="F75" s="397" t="str">
        <f>IF(D75=E75,"Y","N")</f>
        <v>Y</v>
      </c>
      <c r="G75" s="489" t="str">
        <f>IF(OR(F75="Y",F76="Y",F77="Y"),"Y","N")</f>
        <v>Y</v>
      </c>
      <c r="H75" s="488" t="s">
        <v>738</v>
      </c>
    </row>
    <row r="76" spans="2:8">
      <c r="B76" s="217"/>
      <c r="C76" s="212"/>
      <c r="D76" s="359" t="str">
        <f>'#1 - 메인 UI'!$F$21</f>
        <v>건축허가</v>
      </c>
      <c r="E76" s="210" t="s">
        <v>628</v>
      </c>
      <c r="F76" s="397" t="str">
        <f>IF(D76=E76,"Y","N")</f>
        <v>N</v>
      </c>
      <c r="G76" s="490"/>
      <c r="H76" s="488"/>
    </row>
    <row r="77" spans="2:8">
      <c r="B77" s="217"/>
      <c r="C77" s="212"/>
      <c r="D77" s="359" t="str">
        <f>'#1 - 메인 UI'!$F$21</f>
        <v>건축허가</v>
      </c>
      <c r="E77" s="210" t="s">
        <v>629</v>
      </c>
      <c r="F77" s="397" t="str">
        <f>IF(D77=E77,"Y","N")</f>
        <v>N</v>
      </c>
      <c r="G77" s="491"/>
      <c r="H77" s="488"/>
    </row>
    <row r="78" spans="2:8">
      <c r="B78" s="217"/>
      <c r="C78" s="217"/>
      <c r="D78" s="359"/>
      <c r="E78" s="209"/>
      <c r="F78" s="400"/>
      <c r="G78" s="214"/>
    </row>
    <row r="79" spans="2:8">
      <c r="B79" s="217" t="str">
        <f>'#1 - 메인 UI'!$C$23</f>
        <v>대지면적(㎡)</v>
      </c>
      <c r="C79" s="217" t="s">
        <v>566</v>
      </c>
      <c r="D79" s="359">
        <f>'#1 - 메인 UI'!$F$23</f>
        <v>50000</v>
      </c>
      <c r="E79" s="209">
        <v>1000</v>
      </c>
      <c r="F79" s="397" t="str">
        <f>IF(D79&gt;=E79,"Y","N")</f>
        <v>Y</v>
      </c>
      <c r="G79" s="214" t="str">
        <f>F79</f>
        <v>Y</v>
      </c>
    </row>
    <row r="80" spans="2:8">
      <c r="B80" s="217"/>
      <c r="C80" s="217"/>
      <c r="D80" s="359"/>
      <c r="E80" s="209"/>
      <c r="F80" s="400"/>
      <c r="G80" s="214"/>
    </row>
    <row r="81" spans="2:8">
      <c r="B81" s="217" t="str">
        <f>'#1 - 메인 UI'!$C$25</f>
        <v>연면적(㎡)</v>
      </c>
      <c r="C81" s="217" t="s">
        <v>543</v>
      </c>
      <c r="D81" s="359">
        <f>'#1 - 메인 UI'!$F$25</f>
        <v>90000</v>
      </c>
      <c r="E81" s="209">
        <v>500</v>
      </c>
      <c r="F81" s="397" t="str">
        <f>IF(D81&gt;=E81,"Y","N")</f>
        <v>Y</v>
      </c>
      <c r="G81" s="214" t="str">
        <f>F81</f>
        <v>Y</v>
      </c>
    </row>
    <row r="82" spans="2:8">
      <c r="B82" s="217"/>
      <c r="C82" s="217"/>
      <c r="D82" s="359"/>
      <c r="E82" s="209"/>
      <c r="F82" s="400"/>
      <c r="G82" s="214"/>
    </row>
    <row r="83" spans="2:8">
      <c r="B83" s="217" t="str">
        <f>'#1 - 메인 UI'!$C$25</f>
        <v>연면적(㎡)</v>
      </c>
      <c r="C83" s="217" t="s">
        <v>567</v>
      </c>
      <c r="D83" s="359">
        <f>'#1 - 메인 UI'!$F$25</f>
        <v>90000</v>
      </c>
      <c r="E83" s="209">
        <v>1000</v>
      </c>
      <c r="F83" s="397" t="str">
        <f>IF(D83&gt;=E83,"Y","N")</f>
        <v>Y</v>
      </c>
      <c r="G83" s="214" t="str">
        <f>F83</f>
        <v>Y</v>
      </c>
    </row>
    <row r="84" spans="2:8">
      <c r="B84" s="217"/>
      <c r="C84" s="217"/>
      <c r="D84" s="359"/>
      <c r="E84" s="209"/>
      <c r="F84" s="400"/>
      <c r="G84" s="214"/>
    </row>
    <row r="85" spans="2:8">
      <c r="B85" s="217" t="str">
        <f>'#1 - 메인 UI'!$C$25</f>
        <v>연면적(㎡)</v>
      </c>
      <c r="C85" s="217" t="s">
        <v>568</v>
      </c>
      <c r="D85" s="359">
        <f>'#1 - 메인 UI'!$F$25</f>
        <v>90000</v>
      </c>
      <c r="E85" s="209">
        <v>1500</v>
      </c>
      <c r="F85" s="397" t="str">
        <f>IF(D85&gt;=E85,"Y","N")</f>
        <v>Y</v>
      </c>
      <c r="G85" s="214" t="str">
        <f>F85</f>
        <v>Y</v>
      </c>
    </row>
    <row r="86" spans="2:8">
      <c r="B86" s="217"/>
      <c r="C86" s="217"/>
      <c r="D86" s="359"/>
      <c r="E86" s="209"/>
      <c r="F86" s="400"/>
      <c r="G86" s="214"/>
    </row>
    <row r="87" spans="2:8">
      <c r="B87" s="217" t="str">
        <f>'#1 - 메인 UI'!$C$25</f>
        <v>연면적(㎡)</v>
      </c>
      <c r="C87" s="217" t="s">
        <v>544</v>
      </c>
      <c r="D87" s="359">
        <f>'#1 - 메인 UI'!$F$25</f>
        <v>90000</v>
      </c>
      <c r="E87" s="209">
        <v>3000</v>
      </c>
      <c r="F87" s="397" t="str">
        <f>IF(D87&gt;=E87,"Y","N")</f>
        <v>Y</v>
      </c>
      <c r="G87" s="214" t="str">
        <f>F87</f>
        <v>Y</v>
      </c>
    </row>
    <row r="88" spans="2:8">
      <c r="B88" s="217"/>
      <c r="C88" s="217"/>
      <c r="D88" s="359"/>
      <c r="E88" s="209"/>
      <c r="F88" s="400"/>
      <c r="G88" s="214"/>
    </row>
    <row r="89" spans="2:8">
      <c r="B89" s="217" t="str">
        <f>'#1 - 메인 UI'!$C$25</f>
        <v>연면적(㎡)</v>
      </c>
      <c r="C89" s="217" t="s">
        <v>627</v>
      </c>
      <c r="D89" s="359">
        <f>'#1 - 메인 UI'!$F$25</f>
        <v>90000</v>
      </c>
      <c r="E89" s="209">
        <v>100000</v>
      </c>
      <c r="F89" s="397" t="str">
        <f>IF(D89&gt;=E89,"Y","N")</f>
        <v>N</v>
      </c>
      <c r="G89" s="214" t="str">
        <f>F89</f>
        <v>N</v>
      </c>
    </row>
    <row r="90" spans="2:8">
      <c r="B90" s="217"/>
      <c r="C90" s="217"/>
      <c r="D90" s="359"/>
      <c r="E90" s="209"/>
      <c r="F90" s="400"/>
      <c r="G90" s="214"/>
    </row>
    <row r="91" spans="2:8">
      <c r="B91" s="217" t="str">
        <f>'#1 - 메인 UI'!$I$17</f>
        <v>교육환경보호구역 해당</v>
      </c>
      <c r="C91" s="217" t="s">
        <v>684</v>
      </c>
      <c r="D91" s="359" t="str">
        <f>'#1 - 메인 UI'!$L$17</f>
        <v>200m 이내 교육시설 존재</v>
      </c>
      <c r="E91" s="209" t="s">
        <v>637</v>
      </c>
      <c r="F91" s="397" t="str">
        <f>IF(D91=E91,"Y","N")</f>
        <v>Y</v>
      </c>
      <c r="G91" s="214" t="str">
        <f>F91</f>
        <v>Y</v>
      </c>
    </row>
    <row r="92" spans="2:8">
      <c r="B92" s="217"/>
      <c r="C92" s="217"/>
      <c r="D92" s="359"/>
      <c r="E92" s="209"/>
      <c r="F92" s="400"/>
      <c r="G92" s="214"/>
    </row>
    <row r="93" spans="2:8">
      <c r="B93" s="217" t="str">
        <f>'#1 - 메인 UI'!$I$13</f>
        <v>신축/재축/증축 구분</v>
      </c>
      <c r="C93" s="217" t="s">
        <v>668</v>
      </c>
      <c r="D93" s="359" t="str">
        <f>'#1 - 메인 UI'!$L$13</f>
        <v>신축</v>
      </c>
      <c r="E93" s="209" t="s">
        <v>584</v>
      </c>
      <c r="F93" s="397" t="str">
        <f>IF(D93=E93,"Y","N")</f>
        <v>Y</v>
      </c>
      <c r="G93" s="489" t="str">
        <f>IF(OR(F93="Y",F94="Y",F95="Y"),"Y","N")</f>
        <v>Y</v>
      </c>
      <c r="H93" s="488" t="s">
        <v>738</v>
      </c>
    </row>
    <row r="94" spans="2:8">
      <c r="B94" s="217"/>
      <c r="C94" s="217"/>
      <c r="D94" s="359" t="str">
        <f>'#1 - 메인 UI'!$L$13</f>
        <v>신축</v>
      </c>
      <c r="E94" s="209" t="s">
        <v>630</v>
      </c>
      <c r="F94" s="397" t="str">
        <f>IF(D94=E94,"Y","N")</f>
        <v>N</v>
      </c>
      <c r="G94" s="490"/>
      <c r="H94" s="488"/>
    </row>
    <row r="95" spans="2:8">
      <c r="B95" s="217"/>
      <c r="C95" s="217"/>
      <c r="D95" s="359" t="str">
        <f>'#1 - 메인 UI'!$L$13</f>
        <v>신축</v>
      </c>
      <c r="E95" s="209" t="s">
        <v>631</v>
      </c>
      <c r="F95" s="397" t="str">
        <f>IF(D95=E95,"Y","N")</f>
        <v>N</v>
      </c>
      <c r="G95" s="491"/>
      <c r="H95" s="488"/>
    </row>
    <row r="96" spans="2:8">
      <c r="B96" s="217"/>
      <c r="C96" s="217"/>
      <c r="D96" s="359"/>
      <c r="E96" s="209"/>
      <c r="F96" s="400"/>
      <c r="G96" s="214"/>
    </row>
    <row r="97" spans="2:8">
      <c r="B97" s="217"/>
      <c r="C97" s="217"/>
      <c r="D97" s="359"/>
      <c r="E97" s="209"/>
      <c r="F97" s="400"/>
      <c r="G97" s="214"/>
    </row>
    <row r="98" spans="2:8">
      <c r="B98" s="217" t="str">
        <f>'#1 - 메인 UI'!$I$19</f>
        <v>도시정비사업 해당</v>
      </c>
      <c r="C98" s="217" t="s">
        <v>718</v>
      </c>
      <c r="D98" s="359" t="str">
        <f>'#1 - 메인 UI'!$L$19</f>
        <v>도시정비사업 해당</v>
      </c>
      <c r="E98" s="205" t="s">
        <v>658</v>
      </c>
      <c r="F98" s="397" t="str">
        <f>IF(D98=E98,"Y","N")</f>
        <v>Y</v>
      </c>
      <c r="G98" s="214" t="str">
        <f>F98</f>
        <v>Y</v>
      </c>
    </row>
    <row r="99" spans="2:8">
      <c r="B99" s="217"/>
      <c r="C99" s="217"/>
      <c r="D99" s="359"/>
      <c r="E99" s="209"/>
      <c r="F99" s="400"/>
      <c r="G99" s="214"/>
    </row>
    <row r="100" spans="2:8">
      <c r="B100" s="217" t="str">
        <f>'#1 - 메인 UI'!$C$29</f>
        <v>층수</v>
      </c>
      <c r="C100" s="217" t="s">
        <v>624</v>
      </c>
      <c r="D100" s="359">
        <f>'#1 - 메인 UI'!$F$29</f>
        <v>20</v>
      </c>
      <c r="E100" s="209">
        <v>21</v>
      </c>
      <c r="F100" s="397" t="str">
        <f>IF(D100&gt;=E100,"Y","N")</f>
        <v>N</v>
      </c>
      <c r="G100" s="214" t="str">
        <f>F100</f>
        <v>N</v>
      </c>
    </row>
    <row r="101" spans="2:8">
      <c r="B101" s="217"/>
      <c r="C101" s="217"/>
      <c r="D101" s="359"/>
      <c r="E101" s="209"/>
      <c r="F101" s="400"/>
      <c r="G101" s="214"/>
    </row>
    <row r="102" spans="2:8">
      <c r="B102" s="217" t="str">
        <f>'#1 - 메인 UI'!$I$21</f>
        <v>4대강 수계 해당</v>
      </c>
      <c r="C102" s="217" t="s">
        <v>681</v>
      </c>
      <c r="D102" s="359" t="str">
        <f>'#1 - 메인 UI'!$L$21</f>
        <v>한강 수계 지역</v>
      </c>
      <c r="E102" s="217" t="s">
        <v>633</v>
      </c>
      <c r="F102" s="397" t="str">
        <f>IF(D102=E102,"Y","N")</f>
        <v>Y</v>
      </c>
      <c r="G102" s="489" t="str">
        <f>IF(OR(F102="Y",F103="Y",F104="Y",F105="Y"),"Y","N")</f>
        <v>Y</v>
      </c>
      <c r="H102" s="488" t="s">
        <v>738</v>
      </c>
    </row>
    <row r="103" spans="2:8">
      <c r="B103" s="217"/>
      <c r="C103" s="217"/>
      <c r="D103" s="359" t="str">
        <f>'#1 - 메인 UI'!$L$21</f>
        <v>한강 수계 지역</v>
      </c>
      <c r="E103" s="217" t="s">
        <v>634</v>
      </c>
      <c r="F103" s="397" t="str">
        <f>IF(D103=E103,"Y","N")</f>
        <v>N</v>
      </c>
      <c r="G103" s="490"/>
      <c r="H103" s="488"/>
    </row>
    <row r="104" spans="2:8">
      <c r="B104" s="217"/>
      <c r="C104" s="217"/>
      <c r="D104" s="359" t="str">
        <f>'#1 - 메인 UI'!$L$21</f>
        <v>한강 수계 지역</v>
      </c>
      <c r="E104" s="217" t="s">
        <v>635</v>
      </c>
      <c r="F104" s="397" t="str">
        <f>IF(D104=E104,"Y","N")</f>
        <v>N</v>
      </c>
      <c r="G104" s="490"/>
      <c r="H104" s="488"/>
    </row>
    <row r="105" spans="2:8">
      <c r="B105" s="217"/>
      <c r="C105" s="217"/>
      <c r="D105" s="359" t="str">
        <f>'#1 - 메인 UI'!$L$21</f>
        <v>한강 수계 지역</v>
      </c>
      <c r="E105" s="217" t="s">
        <v>636</v>
      </c>
      <c r="F105" s="397" t="str">
        <f>IF(D105=E105,"Y","N")</f>
        <v>N</v>
      </c>
      <c r="G105" s="491"/>
      <c r="H105" s="488"/>
    </row>
  </sheetData>
  <sortState xmlns:xlrd2="http://schemas.microsoft.com/office/spreadsheetml/2017/richdata2" ref="C3:C100">
    <sortCondition ref="C3:C100"/>
  </sortState>
  <mergeCells count="19">
    <mergeCell ref="G102:G105"/>
    <mergeCell ref="H102:H105"/>
    <mergeCell ref="G57:G59"/>
    <mergeCell ref="H57:H59"/>
    <mergeCell ref="G75:G77"/>
    <mergeCell ref="H75:H77"/>
    <mergeCell ref="G93:G95"/>
    <mergeCell ref="H93:H95"/>
    <mergeCell ref="G7:G8"/>
    <mergeCell ref="H7:H8"/>
    <mergeCell ref="G14:G15"/>
    <mergeCell ref="H14:H15"/>
    <mergeCell ref="G46:G47"/>
    <mergeCell ref="H46:H47"/>
    <mergeCell ref="F1:G1"/>
    <mergeCell ref="B1:B2"/>
    <mergeCell ref="C1:C2"/>
    <mergeCell ref="D1:D2"/>
    <mergeCell ref="E1:E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6162B-58A0-45A3-9051-7135C71BE745}">
  <dimension ref="B1:C63"/>
  <sheetViews>
    <sheetView tabSelected="1" zoomScale="70" zoomScaleNormal="70" workbookViewId="0">
      <selection activeCell="F28" sqref="F28"/>
    </sheetView>
  </sheetViews>
  <sheetFormatPr defaultRowHeight="16.5"/>
  <cols>
    <col min="2" max="2" width="28.75" style="135" customWidth="1"/>
    <col min="3" max="3" width="28.75" customWidth="1"/>
    <col min="4" max="4" width="5.125" customWidth="1"/>
  </cols>
  <sheetData>
    <row r="1" spans="2:3" ht="36" customHeight="1">
      <c r="B1" s="492" t="s">
        <v>638</v>
      </c>
      <c r="C1" s="492"/>
    </row>
    <row r="2" spans="2:3">
      <c r="B2" s="135" t="str">
        <f>'#1 - 메인 UI'!C17</f>
        <v>건축물 용도</v>
      </c>
      <c r="C2" t="s">
        <v>503</v>
      </c>
    </row>
    <row r="3" spans="2:3">
      <c r="B3"/>
      <c r="C3" t="s">
        <v>506</v>
      </c>
    </row>
    <row r="4" spans="2:3">
      <c r="B4"/>
      <c r="C4" t="s">
        <v>351</v>
      </c>
    </row>
    <row r="5" spans="2:3">
      <c r="B5"/>
      <c r="C5" t="s">
        <v>550</v>
      </c>
    </row>
    <row r="6" spans="2:3">
      <c r="B6"/>
      <c r="C6" t="s">
        <v>696</v>
      </c>
    </row>
    <row r="7" spans="2:3">
      <c r="B7"/>
      <c r="C7" t="s">
        <v>697</v>
      </c>
    </row>
    <row r="8" spans="2:3">
      <c r="B8"/>
      <c r="C8" t="s">
        <v>698</v>
      </c>
    </row>
    <row r="9" spans="2:3">
      <c r="B9"/>
      <c r="C9" t="s">
        <v>703</v>
      </c>
    </row>
    <row r="10" spans="2:3">
      <c r="B10"/>
      <c r="C10" t="s">
        <v>699</v>
      </c>
    </row>
    <row r="11" spans="2:3">
      <c r="B11"/>
      <c r="C11" t="s">
        <v>700</v>
      </c>
    </row>
    <row r="12" spans="2:3">
      <c r="B12"/>
      <c r="C12" t="s">
        <v>701</v>
      </c>
    </row>
    <row r="13" spans="2:3">
      <c r="B13"/>
      <c r="C13" t="s">
        <v>702</v>
      </c>
    </row>
    <row r="14" spans="2:3">
      <c r="B14"/>
      <c r="C14" t="s">
        <v>599</v>
      </c>
    </row>
    <row r="15" spans="2:3">
      <c r="B15"/>
      <c r="C15" t="s">
        <v>570</v>
      </c>
    </row>
    <row r="16" spans="2:3">
      <c r="B16"/>
      <c r="C16" t="s">
        <v>551</v>
      </c>
    </row>
    <row r="17" spans="2:3">
      <c r="B17"/>
      <c r="C17" t="s">
        <v>734</v>
      </c>
    </row>
    <row r="18" spans="2:3">
      <c r="B18"/>
      <c r="C18" t="s">
        <v>618</v>
      </c>
    </row>
    <row r="19" spans="2:3">
      <c r="B19"/>
      <c r="C19" t="s">
        <v>615</v>
      </c>
    </row>
    <row r="20" spans="2:3">
      <c r="B20"/>
      <c r="C20" t="s">
        <v>632</v>
      </c>
    </row>
    <row r="21" spans="2:3">
      <c r="B21"/>
    </row>
    <row r="22" spans="2:3">
      <c r="B22" s="135" t="str">
        <f>'#1 - 메인 UI'!C21</f>
        <v>사업계획승인/인허가</v>
      </c>
      <c r="C22" t="s">
        <v>504</v>
      </c>
    </row>
    <row r="23" spans="2:3">
      <c r="C23" t="s">
        <v>537</v>
      </c>
    </row>
    <row r="24" spans="2:3">
      <c r="C24" t="s">
        <v>628</v>
      </c>
    </row>
    <row r="25" spans="2:3">
      <c r="C25" t="s">
        <v>629</v>
      </c>
    </row>
    <row r="27" spans="2:3">
      <c r="B27" s="135" t="str">
        <f>'#1 - 메인 UI'!I13</f>
        <v>신축/재축/증축 구분</v>
      </c>
      <c r="C27" t="s">
        <v>584</v>
      </c>
    </row>
    <row r="28" spans="2:3">
      <c r="C28" t="s">
        <v>630</v>
      </c>
    </row>
    <row r="29" spans="2:3">
      <c r="C29" t="s">
        <v>631</v>
      </c>
    </row>
    <row r="30" spans="2:3">
      <c r="C30" t="s">
        <v>632</v>
      </c>
    </row>
    <row r="32" spans="2:3">
      <c r="B32" s="135" t="str">
        <f>'#1 - 메인 UI'!C15</f>
        <v>발주처 구분</v>
      </c>
      <c r="C32" t="s">
        <v>614</v>
      </c>
    </row>
    <row r="33" spans="2:3">
      <c r="C33" t="s">
        <v>583</v>
      </c>
    </row>
    <row r="34" spans="2:3">
      <c r="C34" t="s">
        <v>617</v>
      </c>
    </row>
    <row r="36" spans="2:3">
      <c r="B36" s="135" t="str">
        <f>'#1 - 메인 UI'!I17</f>
        <v>교육환경보호구역 해당</v>
      </c>
      <c r="C36" t="s">
        <v>637</v>
      </c>
    </row>
    <row r="37" spans="2:3">
      <c r="C37" t="s">
        <v>661</v>
      </c>
    </row>
    <row r="39" spans="2:3" ht="49.9" customHeight="1">
      <c r="B39" s="135" t="str">
        <f>'#1 - 메인 UI'!C19</f>
        <v>세대수(공동주택일 경우)</v>
      </c>
    </row>
    <row r="41" spans="2:3" ht="49.9" customHeight="1">
      <c r="B41" s="135" t="str">
        <f>'#1 - 메인 UI'!C23</f>
        <v>대지면적(㎡)</v>
      </c>
    </row>
    <row r="43" spans="2:3" ht="49.9" customHeight="1">
      <c r="B43" s="135" t="str">
        <f>'#1 - 메인 UI'!C25</f>
        <v>연면적(㎡)</v>
      </c>
    </row>
    <row r="45" spans="2:3" ht="49.9" customHeight="1">
      <c r="B45" s="135" t="str">
        <f>'#1 - 메인 UI'!C27</f>
        <v>지하주차장 연면적(㎡)</v>
      </c>
    </row>
    <row r="47" spans="2:3">
      <c r="B47" s="135" t="str">
        <f>'#1 - 메인 UI'!I19</f>
        <v>도시정비사업 해당</v>
      </c>
      <c r="C47" t="s">
        <v>658</v>
      </c>
    </row>
    <row r="48" spans="2:3">
      <c r="C48" t="s">
        <v>659</v>
      </c>
    </row>
    <row r="50" spans="2:3">
      <c r="B50" s="135" t="str">
        <f>'#1 - 메인 UI'!C13</f>
        <v>지역</v>
      </c>
      <c r="C50" t="s">
        <v>565</v>
      </c>
    </row>
    <row r="51" spans="2:3">
      <c r="C51" t="s">
        <v>632</v>
      </c>
    </row>
    <row r="53" spans="2:3" ht="49.9" customHeight="1">
      <c r="B53" s="135" t="str">
        <f>'#1 - 메인 UI'!C29</f>
        <v>층수</v>
      </c>
    </row>
    <row r="55" spans="2:3">
      <c r="B55" s="135" t="str">
        <f>'#1 - 메인 UI'!I21</f>
        <v>4대강 수계 해당</v>
      </c>
      <c r="C55" t="s">
        <v>633</v>
      </c>
    </row>
    <row r="56" spans="2:3">
      <c r="C56" t="s">
        <v>634</v>
      </c>
    </row>
    <row r="57" spans="2:3">
      <c r="C57" t="s">
        <v>635</v>
      </c>
    </row>
    <row r="58" spans="2:3">
      <c r="C58" t="s">
        <v>636</v>
      </c>
    </row>
    <row r="59" spans="2:3">
      <c r="C59" t="s">
        <v>660</v>
      </c>
    </row>
    <row r="61" spans="2:3">
      <c r="B61" s="135" t="str">
        <f>'#1 - 메인 UI'!I15</f>
        <v>난방 적용 여부</v>
      </c>
      <c r="C61" t="s">
        <v>653</v>
      </c>
    </row>
    <row r="62" spans="2:3">
      <c r="C62" t="s">
        <v>654</v>
      </c>
    </row>
    <row r="63" spans="2:3">
      <c r="C63" t="s">
        <v>655</v>
      </c>
    </row>
  </sheetData>
  <mergeCells count="1">
    <mergeCell ref="B1:C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EE95F-DA38-4808-BB9C-801E2687090E}">
  <sheetPr>
    <tabColor theme="9"/>
    <pageSetUpPr fitToPage="1"/>
  </sheetPr>
  <dimension ref="B1:AH355"/>
  <sheetViews>
    <sheetView showGridLines="0" view="pageBreakPreview" zoomScale="85" zoomScaleNormal="85" zoomScaleSheetLayoutView="85" workbookViewId="0">
      <selection activeCell="U118" sqref="U118:U122"/>
    </sheetView>
  </sheetViews>
  <sheetFormatPr defaultColWidth="8.75" defaultRowHeight="13.5"/>
  <cols>
    <col min="1" max="1" width="3.25" style="2" customWidth="1"/>
    <col min="2" max="2" width="4.75" style="46" customWidth="1"/>
    <col min="3" max="3" width="12.75" style="2" customWidth="1"/>
    <col min="4" max="4" width="4.75" style="18" customWidth="1"/>
    <col min="5" max="9" width="5.75" style="18" hidden="1" customWidth="1"/>
    <col min="10" max="10" width="30.75" style="18" customWidth="1"/>
    <col min="11" max="11" width="3.125" style="2" customWidth="1"/>
    <col min="12" max="12" width="4.125" style="14" bestFit="1" customWidth="1"/>
    <col min="13" max="13" width="30.75" style="14" customWidth="1"/>
    <col min="14" max="14" width="4.375" style="5" customWidth="1"/>
    <col min="15" max="15" width="2.625" style="18" customWidth="1"/>
    <col min="16" max="16" width="45.75" style="38" customWidth="1"/>
    <col min="17" max="17" width="8.75" style="5" customWidth="1"/>
    <col min="18" max="19" width="7.75" style="5" hidden="1" customWidth="1"/>
    <col min="20" max="21" width="7.75" style="2" customWidth="1"/>
    <col min="22" max="23" width="1.75" style="2" customWidth="1"/>
    <col min="24" max="24" width="10.75" style="50" customWidth="1"/>
    <col min="25" max="25" width="30.75" style="3" customWidth="1"/>
    <col min="26" max="26" width="4.75" style="3" customWidth="1"/>
    <col min="27" max="27" width="6.125" style="3" hidden="1" customWidth="1"/>
    <col min="28" max="31" width="4.75" style="3" customWidth="1"/>
    <col min="32" max="32" width="1.75" style="3" customWidth="1"/>
    <col min="33" max="33" width="30.125" style="2" customWidth="1"/>
    <col min="34" max="16384" width="8.75" style="2"/>
  </cols>
  <sheetData>
    <row r="1" spans="2:34" ht="15.6" customHeight="1">
      <c r="B1" s="524"/>
      <c r="C1" s="524"/>
      <c r="D1" s="524"/>
      <c r="E1" s="87"/>
      <c r="F1" s="87"/>
      <c r="G1" s="87"/>
      <c r="H1" s="87"/>
      <c r="I1" s="87"/>
      <c r="J1" s="4" t="s">
        <v>426</v>
      </c>
      <c r="K1" s="18"/>
      <c r="L1" s="18"/>
      <c r="M1" s="18"/>
      <c r="N1" s="18"/>
      <c r="P1" s="190"/>
      <c r="Q1" s="18"/>
      <c r="R1" s="18"/>
      <c r="S1" s="18"/>
      <c r="T1" s="18"/>
      <c r="U1" s="18"/>
      <c r="V1" s="18"/>
      <c r="W1" s="18"/>
      <c r="X1" s="504"/>
      <c r="Y1" s="504"/>
      <c r="Z1" s="504"/>
      <c r="AA1" s="132"/>
      <c r="AB1" s="536"/>
      <c r="AC1" s="536"/>
      <c r="AD1" s="536"/>
      <c r="AE1" s="536"/>
      <c r="AG1" s="424"/>
    </row>
    <row r="2" spans="2:34" ht="25.15" customHeight="1">
      <c r="B2" s="87"/>
      <c r="C2" s="87"/>
      <c r="D2" s="87"/>
      <c r="E2" s="87"/>
      <c r="F2" s="87"/>
      <c r="G2" s="87"/>
      <c r="H2" s="87"/>
      <c r="I2" s="87"/>
      <c r="K2" s="18"/>
      <c r="L2" s="18"/>
      <c r="M2" s="18"/>
      <c r="N2" s="18"/>
      <c r="P2" s="190"/>
      <c r="Q2" s="18"/>
      <c r="R2" s="18"/>
      <c r="S2" s="18"/>
      <c r="T2" s="18"/>
      <c r="U2" s="18"/>
      <c r="V2" s="18"/>
      <c r="W2" s="18"/>
      <c r="X2" s="119"/>
      <c r="Y2" s="119"/>
      <c r="Z2" s="119"/>
      <c r="AA2" s="133"/>
      <c r="AB2" s="119"/>
      <c r="AC2" s="119"/>
      <c r="AD2" s="119"/>
      <c r="AE2" s="119"/>
      <c r="AG2" s="424"/>
    </row>
    <row r="3" spans="2:34" ht="25.15" customHeight="1">
      <c r="B3" s="137"/>
      <c r="C3" s="137"/>
      <c r="D3" s="137"/>
      <c r="E3" s="137"/>
      <c r="F3" s="137"/>
      <c r="G3" s="137"/>
      <c r="H3" s="137"/>
      <c r="I3" s="137"/>
      <c r="J3" s="138"/>
      <c r="K3" s="18"/>
      <c r="L3" s="18"/>
      <c r="M3" s="18"/>
      <c r="N3" s="18"/>
      <c r="P3" s="190"/>
      <c r="Q3" s="18"/>
      <c r="R3" s="18"/>
      <c r="S3" s="18"/>
      <c r="T3" s="18"/>
      <c r="U3" s="18"/>
      <c r="V3" s="18"/>
      <c r="W3" s="18"/>
      <c r="X3" s="136"/>
      <c r="Y3" s="136"/>
      <c r="Z3" s="136"/>
      <c r="AA3" s="132"/>
      <c r="AB3" s="495"/>
      <c r="AC3" s="495"/>
      <c r="AD3" s="495"/>
      <c r="AE3" s="495"/>
      <c r="AG3" s="424"/>
      <c r="AH3" s="14"/>
    </row>
    <row r="4" spans="2:34" ht="4.9000000000000004" customHeight="1" thickBot="1">
      <c r="B4" s="137"/>
      <c r="C4" s="137"/>
      <c r="D4" s="137"/>
      <c r="E4" s="137"/>
      <c r="F4" s="137"/>
      <c r="G4" s="137"/>
      <c r="H4" s="137"/>
      <c r="I4" s="137"/>
      <c r="J4" s="138"/>
      <c r="K4" s="18"/>
      <c r="L4" s="18"/>
      <c r="M4" s="18"/>
      <c r="N4" s="18"/>
      <c r="P4" s="190"/>
      <c r="Q4" s="18"/>
      <c r="R4" s="18"/>
      <c r="S4" s="18"/>
      <c r="T4" s="18"/>
      <c r="U4" s="18"/>
      <c r="V4" s="18"/>
      <c r="W4" s="18"/>
      <c r="X4" s="136"/>
      <c r="Y4" s="136"/>
      <c r="Z4" s="136"/>
      <c r="AA4" s="132"/>
      <c r="AB4" s="169"/>
      <c r="AC4" s="169"/>
      <c r="AD4" s="169"/>
      <c r="AE4" s="169"/>
      <c r="AG4" s="424"/>
      <c r="AH4" s="14"/>
    </row>
    <row r="5" spans="2:34" ht="25.15" customHeight="1">
      <c r="B5" s="537" t="s">
        <v>456</v>
      </c>
      <c r="C5" s="537"/>
      <c r="D5" s="537"/>
      <c r="E5" s="537"/>
      <c r="F5" s="537"/>
      <c r="G5" s="537"/>
      <c r="H5" s="537"/>
      <c r="I5" s="537"/>
      <c r="J5" s="537"/>
      <c r="K5" s="539" t="s">
        <v>465</v>
      </c>
      <c r="L5" s="539"/>
      <c r="M5" s="539"/>
      <c r="N5" s="539"/>
      <c r="O5" s="539"/>
      <c r="P5" s="539"/>
      <c r="Q5" s="496" t="e">
        <f>'복합건축물 배점표'!C8</f>
        <v>#REF!</v>
      </c>
      <c r="R5" s="497"/>
      <c r="S5" s="497"/>
      <c r="T5" s="497"/>
      <c r="U5" s="497"/>
      <c r="V5" s="179"/>
      <c r="W5" s="180"/>
      <c r="X5" s="498" t="s">
        <v>455</v>
      </c>
      <c r="Y5" s="498"/>
      <c r="Z5" s="498"/>
      <c r="AA5" s="177"/>
      <c r="AB5" s="500" t="e">
        <f>'#1 - 메인 UI'!#REF!</f>
        <v>#REF!</v>
      </c>
      <c r="AC5" s="500"/>
      <c r="AD5" s="500"/>
      <c r="AE5" s="500"/>
      <c r="AG5" s="424"/>
      <c r="AH5" s="14"/>
    </row>
    <row r="6" spans="2:34" ht="24.6" customHeight="1" thickBot="1">
      <c r="B6" s="538"/>
      <c r="C6" s="538"/>
      <c r="D6" s="538"/>
      <c r="E6" s="538"/>
      <c r="F6" s="538"/>
      <c r="G6" s="538"/>
      <c r="H6" s="538"/>
      <c r="I6" s="538"/>
      <c r="J6" s="538"/>
      <c r="K6" s="540"/>
      <c r="L6" s="540"/>
      <c r="M6" s="540"/>
      <c r="N6" s="540"/>
      <c r="O6" s="540"/>
      <c r="P6" s="540"/>
      <c r="Q6" s="502" t="e">
        <f>'복합건축물 배점표'!E8</f>
        <v>#REF!</v>
      </c>
      <c r="R6" s="503"/>
      <c r="S6" s="503"/>
      <c r="T6" s="503"/>
      <c r="U6" s="503"/>
      <c r="V6" s="179"/>
      <c r="W6" s="180"/>
      <c r="X6" s="499"/>
      <c r="Y6" s="499"/>
      <c r="Z6" s="499"/>
      <c r="AA6" s="178"/>
      <c r="AB6" s="501"/>
      <c r="AC6" s="501"/>
      <c r="AD6" s="501"/>
      <c r="AE6" s="501"/>
      <c r="AG6" s="424"/>
      <c r="AH6" s="14"/>
    </row>
    <row r="7" spans="2:34" ht="39" hidden="1" customHeight="1">
      <c r="B7" s="176"/>
      <c r="C7" s="176"/>
      <c r="D7" s="176"/>
      <c r="E7" s="176"/>
      <c r="F7" s="176"/>
      <c r="G7" s="176"/>
      <c r="H7" s="176"/>
      <c r="I7" s="176"/>
      <c r="J7" s="176"/>
      <c r="K7" s="176"/>
      <c r="L7" s="176"/>
      <c r="M7" s="176"/>
      <c r="N7" s="176"/>
      <c r="O7" s="176"/>
      <c r="P7" s="191"/>
      <c r="Q7" s="176"/>
      <c r="R7" s="176"/>
      <c r="S7" s="176"/>
      <c r="T7" s="176"/>
      <c r="U7" s="176"/>
      <c r="V7" s="179"/>
      <c r="W7" s="180"/>
      <c r="X7" s="172"/>
      <c r="Y7" s="172"/>
      <c r="Z7" s="172"/>
      <c r="AA7" s="172"/>
      <c r="AB7" s="173"/>
      <c r="AC7" s="173"/>
      <c r="AD7" s="173"/>
      <c r="AE7" s="173"/>
      <c r="AG7" s="424"/>
      <c r="AH7" s="14"/>
    </row>
    <row r="8" spans="2:34" ht="19.899999999999999" customHeight="1" thickBot="1">
      <c r="B8" s="541" t="s">
        <v>372</v>
      </c>
      <c r="C8" s="542"/>
      <c r="D8" s="542"/>
      <c r="E8" s="185"/>
      <c r="F8" s="185"/>
      <c r="G8" s="185"/>
      <c r="H8" s="185"/>
      <c r="I8" s="185"/>
      <c r="J8" s="186" t="str">
        <f>J1</f>
        <v>신축 비주거-일반건축물</v>
      </c>
      <c r="K8" s="543" t="s">
        <v>468</v>
      </c>
      <c r="L8" s="543"/>
      <c r="M8" s="543"/>
      <c r="N8" s="543"/>
      <c r="O8" s="543"/>
      <c r="P8" s="543"/>
      <c r="Q8" s="543"/>
      <c r="R8" s="543"/>
      <c r="S8" s="543"/>
      <c r="T8" s="543"/>
      <c r="U8" s="544"/>
      <c r="V8" s="127"/>
      <c r="W8" s="128"/>
      <c r="X8" s="504"/>
      <c r="Y8" s="505"/>
      <c r="Z8" s="505"/>
      <c r="AA8" s="505"/>
      <c r="AB8" s="505"/>
      <c r="AC8" s="505"/>
      <c r="AD8" s="505"/>
      <c r="AE8" s="505"/>
      <c r="AG8" s="424"/>
      <c r="AH8" s="14"/>
    </row>
    <row r="9" spans="2:34" ht="19.899999999999999" customHeight="1">
      <c r="U9" s="171"/>
      <c r="V9" s="121"/>
      <c r="W9" s="122"/>
      <c r="X9" s="119"/>
      <c r="Y9" s="119"/>
      <c r="Z9" s="119"/>
      <c r="AA9" s="133"/>
      <c r="AB9" s="119"/>
      <c r="AC9" s="119"/>
      <c r="AD9" s="119"/>
      <c r="AE9" s="119"/>
      <c r="AG9" s="424"/>
      <c r="AH9" s="14"/>
    </row>
    <row r="10" spans="2:34" ht="30" customHeight="1">
      <c r="B10" s="174" t="s">
        <v>0</v>
      </c>
      <c r="C10" s="39" t="s">
        <v>34</v>
      </c>
      <c r="D10" s="4"/>
      <c r="E10" s="4"/>
      <c r="F10" s="4"/>
      <c r="G10" s="4"/>
      <c r="H10" s="4"/>
      <c r="I10" s="4"/>
      <c r="J10" s="4"/>
      <c r="K10" s="3"/>
      <c r="O10" s="525"/>
      <c r="P10" s="526"/>
      <c r="Q10" s="116">
        <f>U50</f>
        <v>0</v>
      </c>
      <c r="R10" s="112"/>
      <c r="S10" s="112"/>
      <c r="T10" s="113" t="s">
        <v>23</v>
      </c>
      <c r="U10" s="114">
        <f>J50</f>
        <v>10</v>
      </c>
      <c r="V10" s="121"/>
      <c r="W10" s="122"/>
      <c r="X10" s="119"/>
      <c r="Y10" s="119"/>
      <c r="Z10" s="119"/>
      <c r="AA10" s="133"/>
      <c r="AB10" s="119"/>
      <c r="AC10" s="119"/>
      <c r="AD10" s="119"/>
      <c r="AE10" s="119"/>
      <c r="AG10" s="424"/>
    </row>
    <row r="11" spans="2:34" ht="4.9000000000000004" customHeight="1">
      <c r="B11" s="47"/>
      <c r="C11" s="8"/>
      <c r="D11" s="4"/>
      <c r="E11" s="4"/>
      <c r="F11" s="4"/>
      <c r="G11" s="4"/>
      <c r="H11" s="4"/>
      <c r="I11" s="4"/>
      <c r="J11" s="4"/>
      <c r="K11" s="9"/>
      <c r="L11" s="8"/>
      <c r="O11" s="527"/>
      <c r="P11" s="527"/>
      <c r="Q11" s="2"/>
      <c r="R11" s="2"/>
      <c r="S11" s="2"/>
      <c r="V11" s="121"/>
      <c r="W11" s="122"/>
      <c r="X11" s="527"/>
      <c r="Y11" s="527"/>
      <c r="Z11" s="40"/>
      <c r="AA11" s="40"/>
      <c r="AB11" s="40"/>
      <c r="AC11" s="40"/>
      <c r="AD11" s="40"/>
      <c r="AE11" s="40"/>
      <c r="AG11" s="424"/>
    </row>
    <row r="12" spans="2:34" ht="25.15" customHeight="1">
      <c r="B12" s="528" t="s">
        <v>12</v>
      </c>
      <c r="C12" s="529"/>
      <c r="D12" s="67" t="s">
        <v>3</v>
      </c>
      <c r="E12" s="67" t="s">
        <v>427</v>
      </c>
      <c r="F12" s="67" t="s">
        <v>428</v>
      </c>
      <c r="G12" s="67" t="s">
        <v>429</v>
      </c>
      <c r="H12" s="67" t="s">
        <v>430</v>
      </c>
      <c r="I12" s="67" t="s">
        <v>431</v>
      </c>
      <c r="J12" s="67" t="e">
        <f>'#1 - 메인 UI'!#REF!</f>
        <v>#REF!</v>
      </c>
      <c r="K12" s="530" t="s">
        <v>36</v>
      </c>
      <c r="L12" s="531"/>
      <c r="M12" s="531"/>
      <c r="N12" s="528"/>
      <c r="O12" s="532" t="s">
        <v>132</v>
      </c>
      <c r="P12" s="533"/>
      <c r="Q12" s="66" t="s">
        <v>136</v>
      </c>
      <c r="R12" s="66" t="s">
        <v>3</v>
      </c>
      <c r="S12" s="66" t="s">
        <v>213</v>
      </c>
      <c r="T12" s="66" t="s">
        <v>13</v>
      </c>
      <c r="U12" s="66" t="s">
        <v>20</v>
      </c>
      <c r="V12" s="121"/>
      <c r="W12" s="122"/>
      <c r="X12" s="534" t="s">
        <v>45</v>
      </c>
      <c r="Y12" s="535"/>
      <c r="Z12" s="535"/>
      <c r="AA12" s="130"/>
      <c r="AB12" s="535" t="s">
        <v>133</v>
      </c>
      <c r="AC12" s="535"/>
      <c r="AD12" s="535"/>
      <c r="AE12" s="535"/>
    </row>
    <row r="13" spans="2:34" ht="4.9000000000000004" customHeight="1" thickBot="1">
      <c r="B13" s="47"/>
      <c r="C13" s="9"/>
      <c r="D13" s="4"/>
      <c r="E13" s="4"/>
      <c r="F13" s="4"/>
      <c r="G13" s="4"/>
      <c r="H13" s="4"/>
      <c r="I13" s="4"/>
      <c r="J13" s="4"/>
      <c r="K13" s="9"/>
      <c r="L13" s="8"/>
      <c r="O13" s="40"/>
      <c r="P13" s="192"/>
      <c r="Q13" s="2"/>
      <c r="R13" s="2"/>
      <c r="S13" s="2"/>
      <c r="V13" s="121"/>
      <c r="W13" s="122"/>
      <c r="X13" s="51"/>
      <c r="Y13" s="40"/>
      <c r="Z13" s="40"/>
      <c r="AA13" s="40"/>
      <c r="AB13" s="40"/>
      <c r="AC13" s="40"/>
      <c r="AD13" s="40"/>
      <c r="AE13" s="40"/>
    </row>
    <row r="14" spans="2:34" ht="19.5" customHeight="1" thickBot="1">
      <c r="B14" s="546">
        <v>1.1000000000000001</v>
      </c>
      <c r="C14" s="549" t="s">
        <v>2</v>
      </c>
      <c r="D14" s="512">
        <f>HLOOKUP($J$1,$E$12:$I18,3,FALSE)</f>
        <v>2</v>
      </c>
      <c r="E14" s="512">
        <v>2</v>
      </c>
      <c r="F14" s="512">
        <v>2</v>
      </c>
      <c r="G14" s="512">
        <v>2</v>
      </c>
      <c r="H14" s="512">
        <v>2</v>
      </c>
      <c r="I14" s="512">
        <v>2</v>
      </c>
      <c r="J14" s="552" t="s">
        <v>38</v>
      </c>
      <c r="K14" s="90" t="s">
        <v>24</v>
      </c>
      <c r="L14" s="88" t="s">
        <v>4</v>
      </c>
      <c r="M14" s="88" t="s">
        <v>8</v>
      </c>
      <c r="N14" s="89">
        <v>1</v>
      </c>
      <c r="O14" s="555"/>
      <c r="P14" s="558" t="e">
        <f>'#1 - 메인 UI'!#REF!</f>
        <v>#REF!</v>
      </c>
      <c r="Q14" s="515" t="e">
        <f>'#1 - 메인 UI'!#REF!</f>
        <v>#REF!</v>
      </c>
      <c r="R14" s="518">
        <f>D14</f>
        <v>2</v>
      </c>
      <c r="S14" s="521">
        <f>IFERROR(VLOOKUP(Q14,L14:N18,3,FALSE),0)</f>
        <v>0</v>
      </c>
      <c r="T14" s="506">
        <f>IFERROR(+R14*S14,0)</f>
        <v>0</v>
      </c>
      <c r="U14" s="509">
        <f>ROUND((T14/$D$50)*$J$50,4)</f>
        <v>0</v>
      </c>
      <c r="V14" s="123"/>
      <c r="W14" s="124"/>
      <c r="X14" s="71" t="s">
        <v>386</v>
      </c>
      <c r="Y14" s="69" t="e">
        <f>'#1 - 메인 UI'!#REF!</f>
        <v>#REF!</v>
      </c>
      <c r="Z14" s="70" t="e">
        <f>'#1 - 메인 UI'!#REF!</f>
        <v>#REF!</v>
      </c>
      <c r="AA14" s="134" t="e">
        <f>VLOOKUP(Z14,데이터유효성!$B$2:$C$5,2,FALSE)</f>
        <v>#REF!</v>
      </c>
      <c r="AB14" s="49">
        <v>0.25</v>
      </c>
      <c r="AC14" s="49">
        <v>0.5</v>
      </c>
      <c r="AD14" s="49">
        <v>0.75</v>
      </c>
      <c r="AE14" s="49">
        <v>1</v>
      </c>
      <c r="AF14" s="48"/>
      <c r="AG14" s="545"/>
    </row>
    <row r="15" spans="2:34" ht="19.899999999999999" customHeight="1">
      <c r="B15" s="547"/>
      <c r="C15" s="550"/>
      <c r="D15" s="513"/>
      <c r="E15" s="513"/>
      <c r="F15" s="513"/>
      <c r="G15" s="513"/>
      <c r="H15" s="513"/>
      <c r="I15" s="513"/>
      <c r="J15" s="553"/>
      <c r="K15" s="91" t="s">
        <v>214</v>
      </c>
      <c r="L15" s="14" t="s">
        <v>5</v>
      </c>
      <c r="M15" s="14" t="s">
        <v>9</v>
      </c>
      <c r="N15" s="5">
        <v>0.8</v>
      </c>
      <c r="O15" s="556"/>
      <c r="P15" s="559"/>
      <c r="Q15" s="516"/>
      <c r="R15" s="519"/>
      <c r="S15" s="522"/>
      <c r="T15" s="507"/>
      <c r="U15" s="510"/>
      <c r="V15" s="123"/>
      <c r="W15" s="124"/>
      <c r="X15" s="52"/>
      <c r="Y15" s="44"/>
      <c r="Z15" s="44"/>
      <c r="AA15" s="2"/>
      <c r="AB15" s="44"/>
      <c r="AC15" s="44"/>
      <c r="AD15" s="44"/>
      <c r="AE15" s="53"/>
      <c r="AF15" s="48"/>
      <c r="AG15" s="545"/>
    </row>
    <row r="16" spans="2:34" ht="19.899999999999999" customHeight="1">
      <c r="B16" s="547"/>
      <c r="C16" s="550"/>
      <c r="D16" s="513"/>
      <c r="E16" s="513"/>
      <c r="F16" s="513"/>
      <c r="G16" s="513"/>
      <c r="H16" s="513"/>
      <c r="I16" s="513"/>
      <c r="J16" s="553"/>
      <c r="K16" s="91" t="s">
        <v>214</v>
      </c>
      <c r="L16" s="14" t="s">
        <v>6</v>
      </c>
      <c r="M16" s="14" t="s">
        <v>10</v>
      </c>
      <c r="N16" s="5">
        <v>0.6</v>
      </c>
      <c r="O16" s="556"/>
      <c r="P16" s="559"/>
      <c r="Q16" s="516"/>
      <c r="R16" s="519"/>
      <c r="S16" s="522"/>
      <c r="T16" s="507"/>
      <c r="U16" s="510"/>
      <c r="V16" s="125"/>
      <c r="W16" s="126"/>
      <c r="X16" s="52"/>
      <c r="Y16" s="44"/>
      <c r="Z16" s="44"/>
      <c r="AA16" s="2"/>
      <c r="AB16" s="44"/>
      <c r="AC16" s="44"/>
      <c r="AD16" s="44"/>
      <c r="AE16" s="44"/>
      <c r="AF16" s="45"/>
      <c r="AG16" s="545"/>
    </row>
    <row r="17" spans="2:33" ht="19.899999999999999" customHeight="1">
      <c r="B17" s="547"/>
      <c r="C17" s="550"/>
      <c r="D17" s="513"/>
      <c r="E17" s="513"/>
      <c r="F17" s="513"/>
      <c r="G17" s="513"/>
      <c r="H17" s="513"/>
      <c r="I17" s="513"/>
      <c r="J17" s="553"/>
      <c r="K17" s="91" t="s">
        <v>214</v>
      </c>
      <c r="L17" s="14" t="s">
        <v>7</v>
      </c>
      <c r="M17" s="14" t="s">
        <v>11</v>
      </c>
      <c r="N17" s="5">
        <v>0.4</v>
      </c>
      <c r="O17" s="556"/>
      <c r="P17" s="559"/>
      <c r="Q17" s="516"/>
      <c r="R17" s="519"/>
      <c r="S17" s="522"/>
      <c r="T17" s="507"/>
      <c r="U17" s="510"/>
      <c r="V17" s="125"/>
      <c r="W17" s="126"/>
      <c r="X17" s="52"/>
      <c r="Y17" s="44"/>
      <c r="Z17" s="44"/>
      <c r="AA17" s="2"/>
      <c r="AB17" s="44"/>
      <c r="AC17" s="44"/>
      <c r="AD17" s="44"/>
      <c r="AE17" s="44"/>
      <c r="AF17" s="45"/>
      <c r="AG17" s="545"/>
    </row>
    <row r="18" spans="2:33" ht="51" customHeight="1">
      <c r="B18" s="548"/>
      <c r="C18" s="551"/>
      <c r="D18" s="514"/>
      <c r="E18" s="514"/>
      <c r="F18" s="514"/>
      <c r="G18" s="514"/>
      <c r="H18" s="514"/>
      <c r="I18" s="514"/>
      <c r="J18" s="554"/>
      <c r="K18" s="91"/>
      <c r="O18" s="557"/>
      <c r="P18" s="560"/>
      <c r="Q18" s="517"/>
      <c r="R18" s="520"/>
      <c r="S18" s="523"/>
      <c r="T18" s="508"/>
      <c r="U18" s="511"/>
      <c r="V18" s="125"/>
      <c r="W18" s="126"/>
      <c r="X18" s="52"/>
      <c r="Y18" s="44"/>
      <c r="Z18" s="44"/>
      <c r="AA18" s="2"/>
      <c r="AB18" s="44"/>
      <c r="AC18" s="44"/>
      <c r="AD18" s="44"/>
      <c r="AE18" s="44"/>
      <c r="AF18" s="45"/>
      <c r="AG18" s="545"/>
    </row>
    <row r="19" spans="2:33" ht="19.899999999999999" customHeight="1">
      <c r="B19" s="546">
        <v>1.2</v>
      </c>
      <c r="C19" s="549" t="s">
        <v>27</v>
      </c>
      <c r="D19" s="512">
        <f>HLOOKUP($J$1,$E$12:$I23,8,FALSE)</f>
        <v>3</v>
      </c>
      <c r="E19" s="512">
        <v>3</v>
      </c>
      <c r="F19" s="512">
        <v>3</v>
      </c>
      <c r="G19" s="512">
        <v>3</v>
      </c>
      <c r="H19" s="512">
        <v>3</v>
      </c>
      <c r="I19" s="512">
        <v>3</v>
      </c>
      <c r="J19" s="552" t="s">
        <v>137</v>
      </c>
      <c r="K19" s="90" t="s">
        <v>24</v>
      </c>
      <c r="L19" s="88" t="s">
        <v>4</v>
      </c>
      <c r="M19" s="88" t="s">
        <v>138</v>
      </c>
      <c r="N19" s="89">
        <v>1</v>
      </c>
      <c r="O19" s="555"/>
      <c r="P19" s="558" t="e">
        <f>'#1 - 메인 UI'!#REF!</f>
        <v>#REF!</v>
      </c>
      <c r="Q19" s="515" t="e">
        <f>'#1 - 메인 UI'!#REF!</f>
        <v>#REF!</v>
      </c>
      <c r="R19" s="518">
        <f>D19</f>
        <v>3</v>
      </c>
      <c r="S19" s="521">
        <f>IFERROR(VLOOKUP(Q19,L19:N23,3,FALSE),0)</f>
        <v>0</v>
      </c>
      <c r="T19" s="506">
        <f>IFERROR(+R19*S19,0)</f>
        <v>0</v>
      </c>
      <c r="U19" s="509">
        <f>ROUND((T19/$D$50)*$J$50,4)</f>
        <v>0</v>
      </c>
      <c r="V19" s="123"/>
      <c r="W19" s="124"/>
      <c r="X19" s="52"/>
      <c r="Y19" s="44"/>
      <c r="Z19" s="44"/>
      <c r="AA19" s="2"/>
      <c r="AB19" s="56"/>
      <c r="AC19" s="56"/>
      <c r="AD19" s="56"/>
      <c r="AE19" s="56"/>
      <c r="AF19" s="48"/>
    </row>
    <row r="20" spans="2:33" ht="19.899999999999999" customHeight="1">
      <c r="B20" s="547"/>
      <c r="C20" s="550"/>
      <c r="D20" s="513"/>
      <c r="E20" s="513"/>
      <c r="F20" s="513"/>
      <c r="G20" s="513"/>
      <c r="H20" s="513"/>
      <c r="I20" s="513"/>
      <c r="J20" s="553"/>
      <c r="K20" s="91" t="s">
        <v>214</v>
      </c>
      <c r="L20" s="14" t="s">
        <v>5</v>
      </c>
      <c r="M20" s="14" t="s">
        <v>139</v>
      </c>
      <c r="N20" s="5">
        <v>0.8</v>
      </c>
      <c r="O20" s="556"/>
      <c r="P20" s="559"/>
      <c r="Q20" s="516"/>
      <c r="R20" s="519"/>
      <c r="S20" s="522"/>
      <c r="T20" s="507"/>
      <c r="U20" s="510"/>
      <c r="V20" s="123"/>
      <c r="W20" s="124"/>
      <c r="X20" s="52"/>
      <c r="Y20" s="44"/>
      <c r="Z20" s="44"/>
      <c r="AA20" s="2"/>
      <c r="AB20" s="56"/>
      <c r="AC20" s="56"/>
      <c r="AD20" s="56"/>
      <c r="AE20" s="56"/>
      <c r="AF20" s="48"/>
    </row>
    <row r="21" spans="2:33" ht="19.899999999999999" customHeight="1">
      <c r="B21" s="547"/>
      <c r="C21" s="550"/>
      <c r="D21" s="513"/>
      <c r="E21" s="513"/>
      <c r="F21" s="513"/>
      <c r="G21" s="513"/>
      <c r="H21" s="513"/>
      <c r="I21" s="513"/>
      <c r="J21" s="553"/>
      <c r="K21" s="91" t="s">
        <v>214</v>
      </c>
      <c r="L21" s="14" t="s">
        <v>6</v>
      </c>
      <c r="M21" s="14" t="s">
        <v>140</v>
      </c>
      <c r="N21" s="5">
        <v>0.6</v>
      </c>
      <c r="O21" s="556"/>
      <c r="P21" s="559"/>
      <c r="Q21" s="516"/>
      <c r="R21" s="519"/>
      <c r="S21" s="522"/>
      <c r="T21" s="507"/>
      <c r="U21" s="510"/>
      <c r="V21" s="125"/>
      <c r="W21" s="126"/>
      <c r="X21" s="52"/>
      <c r="Y21" s="44"/>
      <c r="Z21" s="44"/>
      <c r="AA21" s="2"/>
      <c r="AB21" s="56"/>
      <c r="AC21" s="56"/>
      <c r="AD21" s="56"/>
      <c r="AE21" s="56"/>
      <c r="AF21" s="45"/>
    </row>
    <row r="22" spans="2:33" ht="19.899999999999999" customHeight="1">
      <c r="B22" s="547"/>
      <c r="C22" s="550"/>
      <c r="D22" s="513"/>
      <c r="E22" s="513"/>
      <c r="F22" s="513"/>
      <c r="G22" s="513"/>
      <c r="H22" s="513"/>
      <c r="I22" s="513"/>
      <c r="J22" s="553"/>
      <c r="K22" s="91" t="s">
        <v>214</v>
      </c>
      <c r="L22" s="14" t="s">
        <v>7</v>
      </c>
      <c r="M22" s="14" t="s">
        <v>141</v>
      </c>
      <c r="N22" s="5">
        <v>0.4</v>
      </c>
      <c r="O22" s="556"/>
      <c r="P22" s="559"/>
      <c r="Q22" s="516"/>
      <c r="R22" s="519"/>
      <c r="S22" s="522"/>
      <c r="T22" s="507"/>
      <c r="U22" s="510"/>
      <c r="V22" s="125"/>
      <c r="W22" s="126"/>
      <c r="X22" s="52"/>
      <c r="Y22" s="44"/>
      <c r="Z22" s="44"/>
      <c r="AA22" s="2"/>
      <c r="AB22" s="56"/>
      <c r="AC22" s="56"/>
      <c r="AD22" s="56"/>
      <c r="AE22" s="56"/>
      <c r="AF22" s="45"/>
    </row>
    <row r="23" spans="2:33" ht="51" customHeight="1" thickBot="1">
      <c r="B23" s="548"/>
      <c r="C23" s="551"/>
      <c r="D23" s="514"/>
      <c r="E23" s="514"/>
      <c r="F23" s="514"/>
      <c r="G23" s="514"/>
      <c r="H23" s="514"/>
      <c r="I23" s="514"/>
      <c r="J23" s="554"/>
      <c r="K23" s="91"/>
      <c r="O23" s="557"/>
      <c r="P23" s="560"/>
      <c r="Q23" s="517"/>
      <c r="R23" s="520"/>
      <c r="S23" s="523"/>
      <c r="T23" s="508"/>
      <c r="U23" s="511"/>
      <c r="V23" s="125"/>
      <c r="W23" s="126"/>
      <c r="X23" s="52"/>
      <c r="Y23" s="44"/>
      <c r="Z23" s="44"/>
      <c r="AA23" s="2"/>
      <c r="AB23" s="56"/>
      <c r="AC23" s="56"/>
      <c r="AD23" s="56"/>
      <c r="AE23" s="56"/>
      <c r="AF23" s="45"/>
    </row>
    <row r="24" spans="2:33" ht="19.899999999999999" customHeight="1" thickBot="1">
      <c r="B24" s="546">
        <v>1.3</v>
      </c>
      <c r="C24" s="549" t="s">
        <v>35</v>
      </c>
      <c r="D24" s="512">
        <f>HLOOKUP($J$1,$E$12:$I28,13,FALSE)</f>
        <v>2</v>
      </c>
      <c r="E24" s="512">
        <v>2</v>
      </c>
      <c r="F24" s="512">
        <v>2</v>
      </c>
      <c r="G24" s="512">
        <v>2</v>
      </c>
      <c r="H24" s="512">
        <v>2</v>
      </c>
      <c r="I24" s="512">
        <v>2</v>
      </c>
      <c r="J24" s="552" t="s">
        <v>142</v>
      </c>
      <c r="K24" s="90" t="s">
        <v>24</v>
      </c>
      <c r="L24" s="88" t="s">
        <v>4</v>
      </c>
      <c r="M24" s="88" t="s">
        <v>44</v>
      </c>
      <c r="N24" s="89">
        <v>1</v>
      </c>
      <c r="O24" s="555"/>
      <c r="P24" s="558" t="e">
        <f>'#1 - 메인 UI'!#REF!</f>
        <v>#REF!</v>
      </c>
      <c r="Q24" s="515" t="e">
        <f>'#1 - 메인 UI'!#REF!</f>
        <v>#REF!</v>
      </c>
      <c r="R24" s="518">
        <f t="shared" ref="R24" si="0">D24</f>
        <v>2</v>
      </c>
      <c r="S24" s="521">
        <f>IFERROR(VLOOKUP(Q24,L24:N28,3,FALSE),0)</f>
        <v>0</v>
      </c>
      <c r="T24" s="506">
        <f>IFERROR(+R24*S24,0)</f>
        <v>0</v>
      </c>
      <c r="U24" s="509">
        <f>ROUND((T24/$D$50)*$J$50,4)</f>
        <v>0</v>
      </c>
      <c r="V24" s="123"/>
      <c r="W24" s="124"/>
      <c r="X24" s="71" t="s">
        <v>387</v>
      </c>
      <c r="Y24" s="69" t="e">
        <f>'#1 - 메인 UI'!#REF!</f>
        <v>#REF!</v>
      </c>
      <c r="Z24" s="70" t="e">
        <f>'#1 - 메인 UI'!#REF!</f>
        <v>#REF!</v>
      </c>
      <c r="AA24" s="134" t="e">
        <f>VLOOKUP(Z24,데이터유효성!$B$2:$C$5,2,FALSE)</f>
        <v>#REF!</v>
      </c>
      <c r="AB24" s="49">
        <v>0.25</v>
      </c>
      <c r="AC24" s="49">
        <v>0.5</v>
      </c>
      <c r="AD24" s="49">
        <v>0.75</v>
      </c>
      <c r="AE24" s="49">
        <v>1</v>
      </c>
      <c r="AF24" s="48"/>
    </row>
    <row r="25" spans="2:33" ht="19.899999999999999" customHeight="1">
      <c r="B25" s="547"/>
      <c r="C25" s="550"/>
      <c r="D25" s="513"/>
      <c r="E25" s="513"/>
      <c r="F25" s="513"/>
      <c r="G25" s="513"/>
      <c r="H25" s="513"/>
      <c r="I25" s="513"/>
      <c r="J25" s="553"/>
      <c r="K25" s="91" t="s">
        <v>214</v>
      </c>
      <c r="L25" s="14" t="s">
        <v>5</v>
      </c>
      <c r="M25" s="14" t="s">
        <v>39</v>
      </c>
      <c r="N25" s="5">
        <v>0.8</v>
      </c>
      <c r="O25" s="556"/>
      <c r="P25" s="559"/>
      <c r="Q25" s="516"/>
      <c r="R25" s="519"/>
      <c r="S25" s="522"/>
      <c r="T25" s="507"/>
      <c r="U25" s="510"/>
      <c r="V25" s="123"/>
      <c r="W25" s="124"/>
      <c r="X25" s="52"/>
      <c r="Y25" s="44"/>
      <c r="Z25" s="44"/>
      <c r="AA25" s="2"/>
      <c r="AB25" s="56"/>
      <c r="AC25" s="56"/>
      <c r="AD25" s="56"/>
      <c r="AE25" s="56"/>
      <c r="AF25" s="48"/>
    </row>
    <row r="26" spans="2:33" ht="19.899999999999999" customHeight="1">
      <c r="B26" s="547"/>
      <c r="C26" s="550"/>
      <c r="D26" s="513"/>
      <c r="E26" s="513"/>
      <c r="F26" s="513"/>
      <c r="G26" s="513"/>
      <c r="H26" s="513"/>
      <c r="I26" s="513"/>
      <c r="J26" s="553"/>
      <c r="K26" s="91" t="s">
        <v>214</v>
      </c>
      <c r="L26" s="14" t="s">
        <v>6</v>
      </c>
      <c r="M26" s="14" t="s">
        <v>40</v>
      </c>
      <c r="N26" s="5">
        <v>0.6</v>
      </c>
      <c r="O26" s="556"/>
      <c r="P26" s="559"/>
      <c r="Q26" s="516"/>
      <c r="R26" s="519"/>
      <c r="S26" s="522"/>
      <c r="T26" s="507"/>
      <c r="U26" s="510"/>
      <c r="V26" s="125"/>
      <c r="W26" s="126"/>
      <c r="X26" s="52"/>
      <c r="Y26" s="44"/>
      <c r="Z26" s="44"/>
      <c r="AA26" s="2"/>
      <c r="AB26" s="56"/>
      <c r="AC26" s="56"/>
      <c r="AD26" s="56"/>
      <c r="AE26" s="56"/>
      <c r="AF26" s="45"/>
    </row>
    <row r="27" spans="2:33" ht="19.899999999999999" customHeight="1">
      <c r="B27" s="547"/>
      <c r="C27" s="550"/>
      <c r="D27" s="513"/>
      <c r="E27" s="513"/>
      <c r="F27" s="513"/>
      <c r="G27" s="513"/>
      <c r="H27" s="513"/>
      <c r="I27" s="513"/>
      <c r="J27" s="553"/>
      <c r="K27" s="91" t="s">
        <v>214</v>
      </c>
      <c r="L27" s="14" t="s">
        <v>7</v>
      </c>
      <c r="M27" s="14" t="s">
        <v>41</v>
      </c>
      <c r="N27" s="5">
        <v>0.4</v>
      </c>
      <c r="O27" s="556"/>
      <c r="P27" s="559"/>
      <c r="Q27" s="516"/>
      <c r="R27" s="519"/>
      <c r="S27" s="522"/>
      <c r="T27" s="507"/>
      <c r="U27" s="510"/>
      <c r="V27" s="125"/>
      <c r="W27" s="126"/>
      <c r="X27" s="52"/>
      <c r="Y27" s="44"/>
      <c r="Z27" s="44"/>
      <c r="AA27" s="2"/>
      <c r="AB27" s="56"/>
      <c r="AC27" s="56"/>
      <c r="AD27" s="56"/>
      <c r="AE27" s="56"/>
      <c r="AF27" s="45"/>
    </row>
    <row r="28" spans="2:33" ht="51" customHeight="1">
      <c r="B28" s="548"/>
      <c r="C28" s="551"/>
      <c r="D28" s="514"/>
      <c r="E28" s="514"/>
      <c r="F28" s="514"/>
      <c r="G28" s="514"/>
      <c r="H28" s="514"/>
      <c r="I28" s="514"/>
      <c r="J28" s="554"/>
      <c r="K28" s="91"/>
      <c r="O28" s="557"/>
      <c r="P28" s="560"/>
      <c r="Q28" s="517"/>
      <c r="R28" s="520"/>
      <c r="S28" s="523"/>
      <c r="T28" s="508"/>
      <c r="U28" s="511"/>
      <c r="V28" s="125"/>
      <c r="W28" s="126"/>
      <c r="X28" s="52"/>
      <c r="Y28" s="44"/>
      <c r="Z28" s="44"/>
      <c r="AA28" s="2"/>
      <c r="AB28" s="56"/>
      <c r="AC28" s="56"/>
      <c r="AD28" s="56"/>
      <c r="AE28" s="56"/>
      <c r="AF28" s="45"/>
    </row>
    <row r="29" spans="2:33" ht="19.899999999999999" customHeight="1">
      <c r="B29" s="546">
        <v>1.4</v>
      </c>
      <c r="C29" s="549" t="s">
        <v>42</v>
      </c>
      <c r="D29" s="512">
        <f>HLOOKUP($J$1,$E$12:$I33,18,FALSE)</f>
        <v>2</v>
      </c>
      <c r="E29" s="512">
        <v>2</v>
      </c>
      <c r="F29" s="512">
        <v>2</v>
      </c>
      <c r="G29" s="512">
        <v>2</v>
      </c>
      <c r="H29" s="512">
        <v>2</v>
      </c>
      <c r="I29" s="512">
        <v>2</v>
      </c>
      <c r="J29" s="552" t="s">
        <v>43</v>
      </c>
      <c r="K29" s="90" t="s">
        <v>24</v>
      </c>
      <c r="L29" s="88" t="s">
        <v>4</v>
      </c>
      <c r="M29" s="88" t="s">
        <v>143</v>
      </c>
      <c r="N29" s="89">
        <v>1</v>
      </c>
      <c r="O29" s="555"/>
      <c r="P29" s="558" t="e">
        <f>'#1 - 메인 UI'!#REF!</f>
        <v>#REF!</v>
      </c>
      <c r="Q29" s="515" t="e">
        <f>'#1 - 메인 UI'!#REF!</f>
        <v>#REF!</v>
      </c>
      <c r="R29" s="518">
        <f t="shared" ref="R29" si="1">D29</f>
        <v>2</v>
      </c>
      <c r="S29" s="521">
        <f>IFERROR(VLOOKUP(Q29,L29:N33,3,FALSE),0)</f>
        <v>0</v>
      </c>
      <c r="T29" s="506">
        <f>IFERROR(+R29*S29,0)</f>
        <v>0</v>
      </c>
      <c r="U29" s="509">
        <f>ROUND((T29/$D$50)*$J$50,4)</f>
        <v>0</v>
      </c>
      <c r="V29" s="123"/>
      <c r="W29" s="124"/>
      <c r="X29" s="52"/>
      <c r="Y29" s="44"/>
      <c r="Z29" s="44"/>
      <c r="AA29" s="2"/>
      <c r="AB29" s="56"/>
      <c r="AC29" s="56"/>
      <c r="AD29" s="56"/>
      <c r="AE29" s="56"/>
      <c r="AF29" s="48"/>
    </row>
    <row r="30" spans="2:33" ht="19.899999999999999" customHeight="1">
      <c r="B30" s="547"/>
      <c r="C30" s="550"/>
      <c r="D30" s="513"/>
      <c r="E30" s="513"/>
      <c r="F30" s="513"/>
      <c r="G30" s="513"/>
      <c r="H30" s="513"/>
      <c r="I30" s="513"/>
      <c r="J30" s="553"/>
      <c r="K30" s="91" t="s">
        <v>214</v>
      </c>
      <c r="L30" s="14" t="s">
        <v>5</v>
      </c>
      <c r="M30" s="14" t="s">
        <v>144</v>
      </c>
      <c r="N30" s="5">
        <v>0.8</v>
      </c>
      <c r="O30" s="556"/>
      <c r="P30" s="559"/>
      <c r="Q30" s="516"/>
      <c r="R30" s="519"/>
      <c r="S30" s="522"/>
      <c r="T30" s="507"/>
      <c r="U30" s="510"/>
      <c r="V30" s="123"/>
      <c r="W30" s="124"/>
      <c r="X30" s="52"/>
      <c r="Y30" s="44"/>
      <c r="Z30" s="44"/>
      <c r="AA30" s="2"/>
      <c r="AB30" s="56"/>
      <c r="AC30" s="56"/>
      <c r="AD30" s="56"/>
      <c r="AE30" s="56"/>
      <c r="AF30" s="48"/>
    </row>
    <row r="31" spans="2:33" ht="19.899999999999999" customHeight="1">
      <c r="B31" s="547"/>
      <c r="C31" s="550"/>
      <c r="D31" s="513"/>
      <c r="E31" s="513"/>
      <c r="F31" s="513"/>
      <c r="G31" s="513"/>
      <c r="H31" s="513"/>
      <c r="I31" s="513"/>
      <c r="J31" s="553"/>
      <c r="K31" s="91" t="s">
        <v>214</v>
      </c>
      <c r="L31" s="14" t="s">
        <v>6</v>
      </c>
      <c r="M31" s="14" t="s">
        <v>145</v>
      </c>
      <c r="N31" s="5">
        <v>0.6</v>
      </c>
      <c r="O31" s="556"/>
      <c r="P31" s="559"/>
      <c r="Q31" s="516"/>
      <c r="R31" s="519"/>
      <c r="S31" s="522"/>
      <c r="T31" s="507"/>
      <c r="U31" s="510"/>
      <c r="V31" s="125"/>
      <c r="W31" s="126"/>
      <c r="X31" s="52"/>
      <c r="Y31" s="44"/>
      <c r="Z31" s="44"/>
      <c r="AA31" s="2"/>
      <c r="AB31" s="56"/>
      <c r="AC31" s="56"/>
      <c r="AD31" s="56"/>
      <c r="AE31" s="56"/>
      <c r="AF31" s="45"/>
    </row>
    <row r="32" spans="2:33" ht="19.899999999999999" customHeight="1">
      <c r="B32" s="547"/>
      <c r="C32" s="550"/>
      <c r="D32" s="513"/>
      <c r="E32" s="513"/>
      <c r="F32" s="513"/>
      <c r="G32" s="513"/>
      <c r="H32" s="513"/>
      <c r="I32" s="513"/>
      <c r="J32" s="553"/>
      <c r="K32" s="91" t="s">
        <v>214</v>
      </c>
      <c r="L32" s="14" t="s">
        <v>7</v>
      </c>
      <c r="M32" s="14" t="s">
        <v>146</v>
      </c>
      <c r="N32" s="5">
        <v>0.4</v>
      </c>
      <c r="O32" s="556"/>
      <c r="P32" s="559"/>
      <c r="Q32" s="516"/>
      <c r="R32" s="519"/>
      <c r="S32" s="522"/>
      <c r="T32" s="507"/>
      <c r="U32" s="510"/>
      <c r="V32" s="125"/>
      <c r="W32" s="126"/>
      <c r="X32" s="52"/>
      <c r="Y32" s="44"/>
      <c r="Z32" s="44"/>
      <c r="AA32" s="2"/>
      <c r="AB32" s="56"/>
      <c r="AC32" s="56"/>
      <c r="AD32" s="56"/>
      <c r="AE32" s="56"/>
      <c r="AF32" s="45"/>
    </row>
    <row r="33" spans="2:32" ht="51" customHeight="1" thickBot="1">
      <c r="B33" s="548"/>
      <c r="C33" s="551"/>
      <c r="D33" s="514"/>
      <c r="E33" s="514"/>
      <c r="F33" s="514"/>
      <c r="G33" s="514"/>
      <c r="H33" s="514"/>
      <c r="I33" s="514"/>
      <c r="J33" s="554"/>
      <c r="K33" s="91"/>
      <c r="O33" s="557"/>
      <c r="P33" s="560"/>
      <c r="Q33" s="517"/>
      <c r="R33" s="520"/>
      <c r="S33" s="523"/>
      <c r="T33" s="508"/>
      <c r="U33" s="511"/>
      <c r="V33" s="125"/>
      <c r="W33" s="126"/>
      <c r="X33" s="52"/>
      <c r="Y33" s="44"/>
      <c r="Z33" s="44"/>
      <c r="AA33" s="2"/>
      <c r="AB33" s="56"/>
      <c r="AC33" s="56"/>
      <c r="AD33" s="56"/>
      <c r="AE33" s="56"/>
      <c r="AF33" s="45"/>
    </row>
    <row r="34" spans="2:32" ht="19.899999999999999" hidden="1" customHeight="1">
      <c r="B34" s="546" t="s">
        <v>188</v>
      </c>
      <c r="C34" s="549" t="s">
        <v>189</v>
      </c>
      <c r="D34" s="512" t="str">
        <f>HLOOKUP($J$1,$E$12:$I38,23,FALSE)</f>
        <v>제외</v>
      </c>
      <c r="E34" s="512" t="s">
        <v>212</v>
      </c>
      <c r="F34" s="512" t="s">
        <v>212</v>
      </c>
      <c r="G34" s="512">
        <v>1</v>
      </c>
      <c r="H34" s="512" t="s">
        <v>212</v>
      </c>
      <c r="I34" s="512" t="s">
        <v>212</v>
      </c>
      <c r="J34" s="552" t="s">
        <v>43</v>
      </c>
      <c r="K34" s="90" t="s">
        <v>24</v>
      </c>
      <c r="L34" s="88" t="s">
        <v>4</v>
      </c>
      <c r="M34" s="88" t="s">
        <v>143</v>
      </c>
      <c r="N34" s="89">
        <v>1</v>
      </c>
      <c r="O34" s="555"/>
      <c r="P34" s="193"/>
      <c r="Q34" s="515" t="s">
        <v>338</v>
      </c>
      <c r="R34" s="518" t="str">
        <f t="shared" ref="R34" si="2">D34</f>
        <v>제외</v>
      </c>
      <c r="S34" s="521">
        <f>IFERROR(VLOOKUP(Q34,L34:N38,3,FALSE),0)</f>
        <v>0</v>
      </c>
      <c r="T34" s="506">
        <f>IFERROR(+R34*S34,0)</f>
        <v>0</v>
      </c>
      <c r="U34" s="509">
        <f>IFERROR(+S34*T34,0)</f>
        <v>0</v>
      </c>
      <c r="V34" s="123"/>
      <c r="W34" s="124"/>
      <c r="X34" s="52"/>
      <c r="Y34" s="44"/>
      <c r="Z34" s="44"/>
      <c r="AA34" s="2"/>
      <c r="AB34" s="56"/>
      <c r="AC34" s="56"/>
      <c r="AD34" s="56"/>
      <c r="AE34" s="56"/>
      <c r="AF34" s="48"/>
    </row>
    <row r="35" spans="2:32" ht="19.899999999999999" hidden="1" customHeight="1">
      <c r="B35" s="547"/>
      <c r="C35" s="550"/>
      <c r="D35" s="513"/>
      <c r="E35" s="513"/>
      <c r="F35" s="513"/>
      <c r="G35" s="513"/>
      <c r="H35" s="513"/>
      <c r="I35" s="513"/>
      <c r="J35" s="553"/>
      <c r="K35" s="91" t="s">
        <v>214</v>
      </c>
      <c r="L35" s="14" t="s">
        <v>5</v>
      </c>
      <c r="M35" s="14" t="s">
        <v>144</v>
      </c>
      <c r="N35" s="5">
        <v>0.6</v>
      </c>
      <c r="O35" s="556"/>
      <c r="P35" s="194"/>
      <c r="Q35" s="516"/>
      <c r="R35" s="519"/>
      <c r="S35" s="522"/>
      <c r="T35" s="507"/>
      <c r="U35" s="510"/>
      <c r="V35" s="123"/>
      <c r="W35" s="124"/>
      <c r="X35" s="52"/>
      <c r="Y35" s="44"/>
      <c r="Z35" s="44"/>
      <c r="AA35" s="2"/>
      <c r="AB35" s="56"/>
      <c r="AC35" s="56"/>
      <c r="AD35" s="56"/>
      <c r="AE35" s="56"/>
      <c r="AF35" s="48"/>
    </row>
    <row r="36" spans="2:32" ht="19.899999999999999" hidden="1" customHeight="1">
      <c r="B36" s="547"/>
      <c r="C36" s="550"/>
      <c r="D36" s="513"/>
      <c r="E36" s="513"/>
      <c r="F36" s="513"/>
      <c r="G36" s="513"/>
      <c r="H36" s="513"/>
      <c r="I36" s="513"/>
      <c r="J36" s="553"/>
      <c r="K36" s="91" t="s">
        <v>214</v>
      </c>
      <c r="L36" s="14" t="s">
        <v>6</v>
      </c>
      <c r="M36" s="14" t="s">
        <v>145</v>
      </c>
      <c r="N36" s="5">
        <v>0.4</v>
      </c>
      <c r="O36" s="556"/>
      <c r="P36" s="194"/>
      <c r="Q36" s="516"/>
      <c r="R36" s="519"/>
      <c r="S36" s="522"/>
      <c r="T36" s="507"/>
      <c r="U36" s="510"/>
      <c r="V36" s="125"/>
      <c r="W36" s="126"/>
      <c r="X36" s="52"/>
      <c r="Y36" s="44"/>
      <c r="Z36" s="44"/>
      <c r="AA36" s="2"/>
      <c r="AB36" s="44"/>
      <c r="AC36" s="44"/>
      <c r="AD36" s="44"/>
      <c r="AE36" s="44"/>
      <c r="AF36" s="45"/>
    </row>
    <row r="37" spans="2:32" ht="19.899999999999999" hidden="1" customHeight="1">
      <c r="B37" s="547"/>
      <c r="C37" s="550"/>
      <c r="D37" s="513"/>
      <c r="E37" s="513"/>
      <c r="F37" s="513"/>
      <c r="G37" s="513"/>
      <c r="H37" s="513"/>
      <c r="I37" s="513"/>
      <c r="J37" s="553"/>
      <c r="K37" s="91" t="s">
        <v>214</v>
      </c>
      <c r="O37" s="556"/>
      <c r="P37" s="194"/>
      <c r="Q37" s="516"/>
      <c r="R37" s="519"/>
      <c r="S37" s="522"/>
      <c r="T37" s="507"/>
      <c r="U37" s="510"/>
      <c r="V37" s="125"/>
      <c r="W37" s="126"/>
      <c r="X37" s="52"/>
      <c r="Y37" s="44"/>
      <c r="Z37" s="44"/>
      <c r="AA37" s="2"/>
      <c r="AB37" s="44"/>
      <c r="AC37" s="44"/>
      <c r="AD37" s="44"/>
      <c r="AE37" s="44"/>
      <c r="AF37" s="45"/>
    </row>
    <row r="38" spans="2:32" ht="19.899999999999999" hidden="1" customHeight="1" thickBot="1">
      <c r="B38" s="548"/>
      <c r="C38" s="551"/>
      <c r="D38" s="514"/>
      <c r="E38" s="514"/>
      <c r="F38" s="514"/>
      <c r="G38" s="514"/>
      <c r="H38" s="514"/>
      <c r="I38" s="514"/>
      <c r="J38" s="554"/>
      <c r="K38" s="91"/>
      <c r="O38" s="557"/>
      <c r="P38" s="195"/>
      <c r="Q38" s="517"/>
      <c r="R38" s="520"/>
      <c r="S38" s="523"/>
      <c r="T38" s="508"/>
      <c r="U38" s="511"/>
      <c r="V38" s="125"/>
      <c r="W38" s="126"/>
      <c r="X38" s="52"/>
      <c r="Y38" s="44"/>
      <c r="Z38" s="44"/>
      <c r="AA38" s="2"/>
      <c r="AB38" s="44"/>
      <c r="AC38" s="44"/>
      <c r="AD38" s="44"/>
      <c r="AE38" s="44"/>
      <c r="AF38" s="45"/>
    </row>
    <row r="39" spans="2:32" ht="19.899999999999999" customHeight="1" thickBot="1">
      <c r="B39" s="546">
        <v>1.6</v>
      </c>
      <c r="C39" s="549" t="s">
        <v>46</v>
      </c>
      <c r="D39" s="512">
        <f>HLOOKUP($J$1,$E$12:$I43,28,FALSE)</f>
        <v>2</v>
      </c>
      <c r="E39" s="512">
        <v>2</v>
      </c>
      <c r="F39" s="512">
        <v>2</v>
      </c>
      <c r="G39" s="512">
        <v>2</v>
      </c>
      <c r="H39" s="512">
        <v>2</v>
      </c>
      <c r="I39" s="512">
        <v>2</v>
      </c>
      <c r="J39" s="552" t="s">
        <v>47</v>
      </c>
      <c r="K39" s="90" t="s">
        <v>24</v>
      </c>
      <c r="L39" s="88" t="s">
        <v>4</v>
      </c>
      <c r="M39" s="88" t="s">
        <v>48</v>
      </c>
      <c r="N39" s="89">
        <v>1</v>
      </c>
      <c r="O39" s="555"/>
      <c r="P39" s="558" t="e">
        <f>'#1 - 메인 UI'!#REF!</f>
        <v>#REF!</v>
      </c>
      <c r="Q39" s="515" t="e">
        <f>'#1 - 메인 UI'!#REF!</f>
        <v>#REF!</v>
      </c>
      <c r="R39" s="518">
        <f t="shared" ref="R39" si="3">D39</f>
        <v>2</v>
      </c>
      <c r="S39" s="521">
        <f>IFERROR(VLOOKUP(Q39,L39:N43,3,FALSE),0)</f>
        <v>0</v>
      </c>
      <c r="T39" s="506">
        <f>IFERROR(+R39*S39,0)</f>
        <v>0</v>
      </c>
      <c r="U39" s="509">
        <f>ROUND((T39/$D$50)*$J$50,4)</f>
        <v>0</v>
      </c>
      <c r="V39" s="123"/>
      <c r="W39" s="124"/>
      <c r="X39" s="71" t="s">
        <v>388</v>
      </c>
      <c r="Y39" s="69" t="e">
        <f>'#1 - 메인 UI'!#REF!</f>
        <v>#REF!</v>
      </c>
      <c r="Z39" s="70" t="e">
        <f>'#1 - 메인 UI'!#REF!</f>
        <v>#REF!</v>
      </c>
      <c r="AA39" s="134" t="e">
        <f>VLOOKUP(Z39,데이터유효성!$B$2:$C$5,2,FALSE)</f>
        <v>#REF!</v>
      </c>
      <c r="AB39" s="49">
        <v>0.25</v>
      </c>
      <c r="AC39" s="49">
        <v>0.5</v>
      </c>
      <c r="AD39" s="49">
        <v>0.75</v>
      </c>
      <c r="AE39" s="49">
        <v>1</v>
      </c>
      <c r="AF39" s="48"/>
    </row>
    <row r="40" spans="2:32" ht="19.899999999999999" customHeight="1">
      <c r="B40" s="547"/>
      <c r="C40" s="550"/>
      <c r="D40" s="513"/>
      <c r="E40" s="513"/>
      <c r="F40" s="513"/>
      <c r="G40" s="513"/>
      <c r="H40" s="513"/>
      <c r="I40" s="513"/>
      <c r="J40" s="553"/>
      <c r="K40" s="91" t="s">
        <v>214</v>
      </c>
      <c r="L40" s="14" t="s">
        <v>5</v>
      </c>
      <c r="M40" s="14" t="s">
        <v>49</v>
      </c>
      <c r="N40" s="5">
        <v>0.8</v>
      </c>
      <c r="O40" s="556"/>
      <c r="P40" s="559"/>
      <c r="Q40" s="516"/>
      <c r="R40" s="519"/>
      <c r="S40" s="522"/>
      <c r="T40" s="507"/>
      <c r="U40" s="510"/>
      <c r="V40" s="123"/>
      <c r="W40" s="124"/>
      <c r="X40" s="52"/>
      <c r="Y40" s="44"/>
      <c r="Z40" s="44"/>
      <c r="AA40" s="2"/>
      <c r="AB40" s="56"/>
      <c r="AC40" s="56"/>
      <c r="AD40" s="56"/>
      <c r="AE40" s="56"/>
      <c r="AF40" s="48"/>
    </row>
    <row r="41" spans="2:32" ht="19.899999999999999" customHeight="1">
      <c r="B41" s="547"/>
      <c r="C41" s="550"/>
      <c r="D41" s="513"/>
      <c r="E41" s="513"/>
      <c r="F41" s="513"/>
      <c r="G41" s="513"/>
      <c r="H41" s="513"/>
      <c r="I41" s="513"/>
      <c r="J41" s="553"/>
      <c r="K41" s="91" t="s">
        <v>214</v>
      </c>
      <c r="L41" s="14" t="s">
        <v>6</v>
      </c>
      <c r="M41" s="14" t="s">
        <v>50</v>
      </c>
      <c r="N41" s="5">
        <v>0.6</v>
      </c>
      <c r="O41" s="556"/>
      <c r="P41" s="559"/>
      <c r="Q41" s="516"/>
      <c r="R41" s="519"/>
      <c r="S41" s="522"/>
      <c r="T41" s="507"/>
      <c r="U41" s="510"/>
      <c r="V41" s="125"/>
      <c r="W41" s="126"/>
      <c r="X41" s="52"/>
      <c r="Y41" s="44"/>
      <c r="Z41" s="44"/>
      <c r="AA41" s="2"/>
      <c r="AB41" s="44"/>
      <c r="AC41" s="44"/>
      <c r="AD41" s="44"/>
      <c r="AE41" s="44"/>
      <c r="AF41" s="45"/>
    </row>
    <row r="42" spans="2:32" ht="19.899999999999999" customHeight="1">
      <c r="B42" s="547"/>
      <c r="C42" s="550"/>
      <c r="D42" s="513"/>
      <c r="E42" s="513"/>
      <c r="F42" s="513"/>
      <c r="G42" s="513"/>
      <c r="H42" s="513"/>
      <c r="I42" s="513"/>
      <c r="J42" s="553"/>
      <c r="K42" s="91" t="s">
        <v>214</v>
      </c>
      <c r="L42" s="14" t="s">
        <v>7</v>
      </c>
      <c r="M42" s="14" t="s">
        <v>51</v>
      </c>
      <c r="N42" s="5">
        <v>0.4</v>
      </c>
      <c r="O42" s="556"/>
      <c r="P42" s="559"/>
      <c r="Q42" s="516"/>
      <c r="R42" s="519"/>
      <c r="S42" s="522"/>
      <c r="T42" s="507"/>
      <c r="U42" s="510"/>
      <c r="V42" s="125"/>
      <c r="W42" s="126"/>
      <c r="X42" s="52"/>
      <c r="Y42" s="44"/>
      <c r="Z42" s="44"/>
      <c r="AA42" s="2"/>
      <c r="AB42" s="44"/>
      <c r="AC42" s="44"/>
      <c r="AD42" s="44"/>
      <c r="AE42" s="44"/>
      <c r="AF42" s="45"/>
    </row>
    <row r="43" spans="2:32" ht="51" customHeight="1" thickBot="1">
      <c r="B43" s="548"/>
      <c r="C43" s="551"/>
      <c r="D43" s="514"/>
      <c r="E43" s="514"/>
      <c r="F43" s="514"/>
      <c r="G43" s="514"/>
      <c r="H43" s="514"/>
      <c r="I43" s="514"/>
      <c r="J43" s="554"/>
      <c r="K43" s="91"/>
      <c r="O43" s="557"/>
      <c r="P43" s="560"/>
      <c r="Q43" s="517"/>
      <c r="R43" s="520"/>
      <c r="S43" s="523"/>
      <c r="T43" s="508"/>
      <c r="U43" s="511"/>
      <c r="V43" s="125"/>
      <c r="W43" s="126"/>
      <c r="X43" s="52"/>
      <c r="Y43" s="44"/>
      <c r="Z43" s="44"/>
      <c r="AA43" s="2"/>
      <c r="AB43" s="44"/>
      <c r="AC43" s="44"/>
      <c r="AD43" s="44"/>
      <c r="AE43" s="44"/>
      <c r="AF43" s="45"/>
    </row>
    <row r="44" spans="2:32" ht="19.899999999999999" customHeight="1" thickBot="1">
      <c r="B44" s="546">
        <v>1.7</v>
      </c>
      <c r="C44" s="549" t="s">
        <v>182</v>
      </c>
      <c r="D44" s="512">
        <f>HLOOKUP($J$1,$E$12:$I48,33,FALSE)</f>
        <v>2</v>
      </c>
      <c r="E44" s="512">
        <v>2</v>
      </c>
      <c r="F44" s="512">
        <v>2</v>
      </c>
      <c r="G44" s="512">
        <v>2</v>
      </c>
      <c r="H44" s="512">
        <v>2</v>
      </c>
      <c r="I44" s="512">
        <v>2</v>
      </c>
      <c r="J44" s="552" t="s">
        <v>215</v>
      </c>
      <c r="K44" s="90" t="s">
        <v>24</v>
      </c>
      <c r="L44" s="88" t="s">
        <v>4</v>
      </c>
      <c r="M44" s="88" t="s">
        <v>360</v>
      </c>
      <c r="N44" s="89">
        <v>1</v>
      </c>
      <c r="O44" s="555"/>
      <c r="P44" s="558" t="e">
        <f>'#1 - 메인 UI'!#REF!</f>
        <v>#REF!</v>
      </c>
      <c r="Q44" s="515" t="e">
        <f>'#1 - 메인 UI'!#REF!</f>
        <v>#REF!</v>
      </c>
      <c r="R44" s="518">
        <f t="shared" ref="R44" si="4">D44</f>
        <v>2</v>
      </c>
      <c r="S44" s="521">
        <f>IFERROR(VLOOKUP(Q44,L44:N48,3,FALSE),0)</f>
        <v>0</v>
      </c>
      <c r="T44" s="506">
        <f>IFERROR(+R44*S44,0)</f>
        <v>0</v>
      </c>
      <c r="U44" s="509">
        <f>ROUND((T44/$D$50)*$J$50,4)</f>
        <v>0</v>
      </c>
      <c r="V44" s="123"/>
      <c r="W44" s="124"/>
      <c r="X44" s="71" t="s">
        <v>389</v>
      </c>
      <c r="Y44" s="69" t="e">
        <f>'#1 - 메인 UI'!#REF!</f>
        <v>#REF!</v>
      </c>
      <c r="Z44" s="70" t="e">
        <f>'#1 - 메인 UI'!#REF!</f>
        <v>#REF!</v>
      </c>
      <c r="AA44" s="134" t="e">
        <f>VLOOKUP(Z44,데이터유효성!$B$2:$C$5,2,FALSE)</f>
        <v>#REF!</v>
      </c>
      <c r="AB44" s="49">
        <v>0.25</v>
      </c>
      <c r="AC44" s="49">
        <v>0.5</v>
      </c>
      <c r="AD44" s="49">
        <v>0.75</v>
      </c>
      <c r="AE44" s="49">
        <v>1</v>
      </c>
      <c r="AF44" s="48"/>
    </row>
    <row r="45" spans="2:32" ht="19.899999999999999" customHeight="1" thickBot="1">
      <c r="B45" s="547"/>
      <c r="C45" s="550"/>
      <c r="D45" s="513"/>
      <c r="E45" s="513"/>
      <c r="F45" s="513"/>
      <c r="G45" s="513"/>
      <c r="H45" s="513"/>
      <c r="I45" s="513"/>
      <c r="J45" s="553"/>
      <c r="K45" s="91" t="s">
        <v>214</v>
      </c>
      <c r="L45" s="14" t="s">
        <v>5</v>
      </c>
      <c r="M45" s="14" t="s">
        <v>361</v>
      </c>
      <c r="N45" s="5">
        <v>0.8</v>
      </c>
      <c r="O45" s="556"/>
      <c r="P45" s="559"/>
      <c r="Q45" s="516"/>
      <c r="R45" s="519"/>
      <c r="S45" s="522"/>
      <c r="T45" s="507"/>
      <c r="U45" s="510"/>
      <c r="V45" s="123"/>
      <c r="W45" s="124"/>
      <c r="X45" s="71" t="s">
        <v>457</v>
      </c>
      <c r="Y45" s="69" t="e">
        <f>'#1 - 메인 UI'!#REF!</f>
        <v>#REF!</v>
      </c>
      <c r="Z45" s="70" t="e">
        <f>'#1 - 메인 UI'!#REF!</f>
        <v>#REF!</v>
      </c>
      <c r="AA45" s="134" t="e">
        <f>VLOOKUP(Z45,데이터유효성!$B$2:$C$5,2,FALSE)</f>
        <v>#REF!</v>
      </c>
      <c r="AB45" s="49">
        <v>0.25</v>
      </c>
      <c r="AC45" s="49">
        <v>0.5</v>
      </c>
      <c r="AD45" s="49">
        <v>0.75</v>
      </c>
      <c r="AE45" s="49">
        <v>1</v>
      </c>
      <c r="AF45" s="48"/>
    </row>
    <row r="46" spans="2:32" ht="19.899999999999999" customHeight="1">
      <c r="B46" s="547"/>
      <c r="C46" s="550"/>
      <c r="D46" s="513"/>
      <c r="E46" s="513"/>
      <c r="F46" s="513"/>
      <c r="G46" s="513"/>
      <c r="H46" s="513"/>
      <c r="I46" s="513"/>
      <c r="J46" s="553"/>
      <c r="K46" s="91" t="s">
        <v>214</v>
      </c>
      <c r="L46" s="14" t="s">
        <v>6</v>
      </c>
      <c r="M46" s="14" t="s">
        <v>362</v>
      </c>
      <c r="N46" s="5">
        <v>0.6</v>
      </c>
      <c r="O46" s="556"/>
      <c r="P46" s="559"/>
      <c r="Q46" s="516"/>
      <c r="R46" s="519"/>
      <c r="S46" s="522"/>
      <c r="T46" s="507"/>
      <c r="U46" s="510"/>
      <c r="V46" s="125"/>
      <c r="W46" s="126"/>
      <c r="X46" s="52"/>
      <c r="Y46" s="44"/>
      <c r="Z46" s="44"/>
      <c r="AA46" s="2"/>
      <c r="AB46" s="56"/>
      <c r="AC46" s="56"/>
      <c r="AD46" s="56"/>
      <c r="AE46" s="56"/>
      <c r="AF46" s="45"/>
    </row>
    <row r="47" spans="2:32" ht="19.899999999999999" customHeight="1">
      <c r="B47" s="547"/>
      <c r="C47" s="550"/>
      <c r="D47" s="513"/>
      <c r="E47" s="513"/>
      <c r="F47" s="513"/>
      <c r="G47" s="513"/>
      <c r="H47" s="513"/>
      <c r="I47" s="513"/>
      <c r="J47" s="553"/>
      <c r="K47" s="91" t="s">
        <v>214</v>
      </c>
      <c r="L47" s="14" t="s">
        <v>7</v>
      </c>
      <c r="M47" s="14" t="s">
        <v>363</v>
      </c>
      <c r="N47" s="5">
        <v>0.4</v>
      </c>
      <c r="O47" s="556"/>
      <c r="P47" s="559"/>
      <c r="Q47" s="516"/>
      <c r="R47" s="519"/>
      <c r="S47" s="522"/>
      <c r="T47" s="507"/>
      <c r="U47" s="510"/>
      <c r="V47" s="125"/>
      <c r="W47" s="126"/>
      <c r="X47" s="52"/>
      <c r="Y47" s="44"/>
      <c r="Z47" s="44"/>
      <c r="AA47" s="2"/>
      <c r="AB47" s="56"/>
      <c r="AC47" s="56"/>
      <c r="AD47" s="56"/>
      <c r="AE47" s="56"/>
      <c r="AF47" s="45"/>
    </row>
    <row r="48" spans="2:32" ht="51" customHeight="1">
      <c r="B48" s="548"/>
      <c r="C48" s="551"/>
      <c r="D48" s="514"/>
      <c r="E48" s="514"/>
      <c r="F48" s="514"/>
      <c r="G48" s="514"/>
      <c r="H48" s="514"/>
      <c r="I48" s="514"/>
      <c r="J48" s="554"/>
      <c r="K48" s="92"/>
      <c r="L48" s="42"/>
      <c r="M48" s="42"/>
      <c r="N48" s="41"/>
      <c r="O48" s="557"/>
      <c r="P48" s="560"/>
      <c r="Q48" s="517"/>
      <c r="R48" s="520"/>
      <c r="S48" s="523"/>
      <c r="T48" s="508"/>
      <c r="U48" s="511"/>
      <c r="V48" s="125"/>
      <c r="W48" s="126"/>
      <c r="X48" s="52"/>
      <c r="Y48" s="44"/>
      <c r="Z48" s="44"/>
      <c r="AA48" s="2"/>
      <c r="AB48" s="56"/>
      <c r="AC48" s="56"/>
      <c r="AD48" s="56"/>
      <c r="AE48" s="56"/>
      <c r="AF48" s="45"/>
    </row>
    <row r="49" spans="2:32" ht="4.9000000000000004" customHeight="1">
      <c r="B49" s="81"/>
      <c r="C49" s="82"/>
      <c r="D49" s="83"/>
      <c r="E49" s="83"/>
      <c r="F49" s="83"/>
      <c r="G49" s="83"/>
      <c r="H49" s="83"/>
      <c r="I49" s="83"/>
      <c r="J49" s="84"/>
      <c r="K49" s="3"/>
      <c r="O49" s="68"/>
      <c r="P49" s="196"/>
      <c r="Q49" s="85"/>
      <c r="R49" s="85"/>
      <c r="S49" s="85"/>
      <c r="T49" s="86"/>
      <c r="U49" s="86"/>
      <c r="V49" s="125"/>
      <c r="W49" s="126"/>
      <c r="X49" s="52"/>
      <c r="Y49" s="44"/>
      <c r="Z49" s="44"/>
      <c r="AA49" s="2"/>
      <c r="AB49" s="43"/>
      <c r="AC49" s="43"/>
      <c r="AD49" s="43"/>
      <c r="AE49" s="43"/>
      <c r="AF49" s="45"/>
    </row>
    <row r="50" spans="2:32" ht="25.35" customHeight="1">
      <c r="B50" s="561" t="s">
        <v>52</v>
      </c>
      <c r="C50" s="561"/>
      <c r="D50" s="73">
        <f t="shared" ref="D50:I50" si="5">SUM(D14:D48)</f>
        <v>13</v>
      </c>
      <c r="E50" s="73">
        <f t="shared" si="5"/>
        <v>13</v>
      </c>
      <c r="F50" s="73">
        <f t="shared" si="5"/>
        <v>13</v>
      </c>
      <c r="G50" s="73">
        <f t="shared" si="5"/>
        <v>14</v>
      </c>
      <c r="H50" s="73">
        <f t="shared" si="5"/>
        <v>13</v>
      </c>
      <c r="I50" s="73">
        <f t="shared" si="5"/>
        <v>13</v>
      </c>
      <c r="J50" s="110">
        <v>10</v>
      </c>
      <c r="K50" s="72"/>
      <c r="L50" s="75"/>
      <c r="M50" s="76"/>
      <c r="N50" s="77"/>
      <c r="O50" s="74"/>
      <c r="P50" s="197"/>
      <c r="Q50" s="80"/>
      <c r="R50" s="80"/>
      <c r="S50" s="80"/>
      <c r="T50" s="117">
        <f>ROUND(SUM(T14:T48),2)</f>
        <v>0</v>
      </c>
      <c r="U50" s="115">
        <f>ROUND(SUM(U14:U48),2)</f>
        <v>0</v>
      </c>
      <c r="V50" s="121"/>
      <c r="W50" s="122"/>
      <c r="X50" s="95"/>
      <c r="Y50" s="97"/>
      <c r="Z50" s="78"/>
      <c r="AA50" s="111"/>
      <c r="AB50" s="78"/>
      <c r="AC50" s="78"/>
      <c r="AD50" s="78"/>
      <c r="AE50" s="78"/>
    </row>
    <row r="51" spans="2:32" ht="19.899999999999999" customHeight="1">
      <c r="V51" s="121"/>
      <c r="W51" s="122"/>
    </row>
    <row r="52" spans="2:32" ht="31.5">
      <c r="B52" s="175" t="s">
        <v>53</v>
      </c>
      <c r="C52" s="39" t="s">
        <v>54</v>
      </c>
      <c r="D52" s="4"/>
      <c r="E52" s="4"/>
      <c r="F52" s="4"/>
      <c r="G52" s="4"/>
      <c r="H52" s="4"/>
      <c r="I52" s="4"/>
      <c r="J52" s="4"/>
      <c r="K52" s="3"/>
      <c r="O52" s="525"/>
      <c r="P52" s="526"/>
      <c r="Q52" s="116">
        <f>U97</f>
        <v>0</v>
      </c>
      <c r="R52" s="112"/>
      <c r="S52" s="112"/>
      <c r="T52" s="113" t="s">
        <v>23</v>
      </c>
      <c r="U52" s="114">
        <f>J97</f>
        <v>30</v>
      </c>
      <c r="V52" s="121"/>
      <c r="W52" s="122"/>
      <c r="X52" s="562"/>
      <c r="Y52" s="562"/>
      <c r="Z52" s="37"/>
      <c r="AA52" s="37"/>
      <c r="AB52" s="37"/>
      <c r="AC52" s="37"/>
      <c r="AD52" s="37"/>
      <c r="AE52" s="37"/>
    </row>
    <row r="53" spans="2:32" ht="4.9000000000000004" customHeight="1">
      <c r="B53" s="47"/>
      <c r="C53" s="8"/>
      <c r="D53" s="4"/>
      <c r="E53" s="4"/>
      <c r="F53" s="4"/>
      <c r="G53" s="4"/>
      <c r="H53" s="4"/>
      <c r="I53" s="4"/>
      <c r="J53" s="4"/>
      <c r="K53" s="9"/>
      <c r="L53" s="8"/>
      <c r="O53" s="527"/>
      <c r="P53" s="527"/>
      <c r="Q53" s="2"/>
      <c r="R53" s="2"/>
      <c r="S53" s="2"/>
      <c r="V53" s="121"/>
      <c r="W53" s="122"/>
      <c r="X53" s="527"/>
      <c r="Y53" s="527"/>
      <c r="Z53" s="40"/>
      <c r="AA53" s="40"/>
      <c r="AB53" s="40"/>
      <c r="AC53" s="40"/>
      <c r="AD53" s="40"/>
      <c r="AE53" s="40"/>
    </row>
    <row r="54" spans="2:32" ht="25.15" customHeight="1">
      <c r="B54" s="528" t="s">
        <v>12</v>
      </c>
      <c r="C54" s="529"/>
      <c r="D54" s="67" t="s">
        <v>3</v>
      </c>
      <c r="E54" s="67" t="str">
        <f>E$12</f>
        <v>신축 비주거-일반건축물</v>
      </c>
      <c r="F54" s="67" t="str">
        <f t="shared" ref="F54:I54" si="6">F$12</f>
        <v>신축 비주거-업무용건축물</v>
      </c>
      <c r="G54" s="67" t="str">
        <f t="shared" si="6"/>
        <v>신축 비주거-학교</v>
      </c>
      <c r="H54" s="67" t="str">
        <f t="shared" si="6"/>
        <v>신축 비주거-판매시설</v>
      </c>
      <c r="I54" s="67" t="str">
        <f t="shared" si="6"/>
        <v>신축 비주거-숙박시설</v>
      </c>
      <c r="J54" s="67" t="s">
        <v>37</v>
      </c>
      <c r="K54" s="530" t="s">
        <v>36</v>
      </c>
      <c r="L54" s="531"/>
      <c r="M54" s="531"/>
      <c r="N54" s="528"/>
      <c r="O54" s="532" t="s">
        <v>132</v>
      </c>
      <c r="P54" s="533"/>
      <c r="Q54" s="66" t="str">
        <f>Q$12</f>
        <v>등급</v>
      </c>
      <c r="R54" s="66" t="str">
        <f>R$12</f>
        <v>배점</v>
      </c>
      <c r="S54" s="66" t="str">
        <f>S$12</f>
        <v>가중치</v>
      </c>
      <c r="T54" s="66" t="str">
        <f>T$12</f>
        <v>평점</v>
      </c>
      <c r="U54" s="66" t="str">
        <f>U$12</f>
        <v>환산점</v>
      </c>
      <c r="V54" s="121"/>
      <c r="W54" s="122"/>
      <c r="X54" s="534" t="s">
        <v>45</v>
      </c>
      <c r="Y54" s="535"/>
      <c r="Z54" s="535"/>
      <c r="AA54" s="130"/>
      <c r="AB54" s="535" t="s">
        <v>133</v>
      </c>
      <c r="AC54" s="535"/>
      <c r="AD54" s="535"/>
      <c r="AE54" s="535"/>
    </row>
    <row r="55" spans="2:32" ht="4.9000000000000004" customHeight="1" thickBot="1">
      <c r="B55" s="47"/>
      <c r="C55" s="9"/>
      <c r="D55" s="4"/>
      <c r="E55" s="4"/>
      <c r="F55" s="4"/>
      <c r="G55" s="4"/>
      <c r="H55" s="4"/>
      <c r="I55" s="4"/>
      <c r="J55" s="4"/>
      <c r="K55" s="9"/>
      <c r="L55" s="8"/>
      <c r="O55" s="40"/>
      <c r="P55" s="192"/>
      <c r="Q55" s="2"/>
      <c r="R55" s="2"/>
      <c r="S55" s="2"/>
      <c r="V55" s="121"/>
      <c r="W55" s="122"/>
      <c r="X55" s="51"/>
      <c r="Y55" s="40"/>
      <c r="Z55" s="40"/>
      <c r="AA55" s="40"/>
      <c r="AB55" s="40"/>
      <c r="AC55" s="40"/>
      <c r="AD55" s="40"/>
      <c r="AE55" s="40"/>
    </row>
    <row r="56" spans="2:32" ht="19.899999999999999" customHeight="1" thickBot="1">
      <c r="B56" s="546">
        <v>2.1</v>
      </c>
      <c r="C56" s="549" t="s">
        <v>55</v>
      </c>
      <c r="D56" s="512">
        <f>HLOOKUP($J$1,$E$12:$I60,45,FALSE)</f>
        <v>12</v>
      </c>
      <c r="E56" s="512">
        <v>12</v>
      </c>
      <c r="F56" s="512">
        <v>12</v>
      </c>
      <c r="G56" s="512">
        <v>12</v>
      </c>
      <c r="H56" s="512">
        <v>12</v>
      </c>
      <c r="I56" s="512">
        <v>12</v>
      </c>
      <c r="J56" s="552" t="s">
        <v>216</v>
      </c>
      <c r="K56" s="90" t="s">
        <v>24</v>
      </c>
      <c r="L56" s="88" t="s">
        <v>4</v>
      </c>
      <c r="M56" s="88" t="s">
        <v>217</v>
      </c>
      <c r="N56" s="89">
        <v>1</v>
      </c>
      <c r="O56" s="555"/>
      <c r="P56" s="558" t="e">
        <f>'#1 - 메인 UI'!#REF!</f>
        <v>#REF!</v>
      </c>
      <c r="Q56" s="515" t="e">
        <f>'#1 - 메인 UI'!#REF!</f>
        <v>#REF!</v>
      </c>
      <c r="R56" s="518">
        <f t="shared" ref="R56:R86" si="7">D56</f>
        <v>12</v>
      </c>
      <c r="S56" s="563">
        <f>IFERROR(VLOOKUP(Q56,L56:N60,3,FALSE),0)</f>
        <v>0</v>
      </c>
      <c r="T56" s="506">
        <f>IFERROR(+R56*S56,0)</f>
        <v>0</v>
      </c>
      <c r="U56" s="564">
        <f>ROUND((T56/$D$97)*$J$97,4)</f>
        <v>0</v>
      </c>
      <c r="V56" s="123"/>
      <c r="W56" s="124"/>
      <c r="X56" s="71" t="s">
        <v>390</v>
      </c>
      <c r="Y56" s="69" t="e">
        <f>'#1 - 메인 UI'!#REF!</f>
        <v>#REF!</v>
      </c>
      <c r="Z56" s="70" t="e">
        <f>'#1 - 메인 UI'!#REF!</f>
        <v>#REF!</v>
      </c>
      <c r="AA56" s="134" t="e">
        <f>VLOOKUP(Z56,데이터유효성!$B$2:$C$5,2,FALSE)</f>
        <v>#REF!</v>
      </c>
      <c r="AB56" s="49">
        <v>0.25</v>
      </c>
      <c r="AC56" s="49">
        <v>0.5</v>
      </c>
      <c r="AD56" s="49">
        <v>0.75</v>
      </c>
      <c r="AE56" s="49">
        <v>1</v>
      </c>
      <c r="AF56" s="48"/>
    </row>
    <row r="57" spans="2:32" ht="19.899999999999999" customHeight="1">
      <c r="B57" s="547"/>
      <c r="C57" s="550"/>
      <c r="D57" s="513"/>
      <c r="E57" s="513"/>
      <c r="F57" s="513"/>
      <c r="G57" s="513"/>
      <c r="H57" s="513"/>
      <c r="I57" s="513"/>
      <c r="J57" s="553"/>
      <c r="K57" s="91" t="s">
        <v>214</v>
      </c>
      <c r="L57" s="14" t="s">
        <v>5</v>
      </c>
      <c r="M57" s="14" t="s">
        <v>218</v>
      </c>
      <c r="N57" s="5">
        <v>0.8</v>
      </c>
      <c r="O57" s="556"/>
      <c r="P57" s="559"/>
      <c r="Q57" s="516"/>
      <c r="R57" s="519"/>
      <c r="S57" s="563"/>
      <c r="T57" s="507"/>
      <c r="U57" s="565"/>
      <c r="V57" s="123"/>
      <c r="W57" s="124"/>
      <c r="X57" s="52"/>
      <c r="Y57" s="44"/>
      <c r="Z57" s="44"/>
      <c r="AA57" s="2"/>
      <c r="AB57" s="44"/>
      <c r="AC57" s="44"/>
      <c r="AD57" s="44"/>
      <c r="AE57" s="44"/>
      <c r="AF57" s="48"/>
    </row>
    <row r="58" spans="2:32" ht="19.899999999999999" customHeight="1">
      <c r="B58" s="547"/>
      <c r="C58" s="550"/>
      <c r="D58" s="513"/>
      <c r="E58" s="513"/>
      <c r="F58" s="513"/>
      <c r="G58" s="513"/>
      <c r="H58" s="513"/>
      <c r="I58" s="513"/>
      <c r="J58" s="553"/>
      <c r="K58" s="91" t="s">
        <v>214</v>
      </c>
      <c r="L58" s="14" t="s">
        <v>6</v>
      </c>
      <c r="M58" s="14" t="s">
        <v>219</v>
      </c>
      <c r="N58" s="5">
        <v>0.6</v>
      </c>
      <c r="O58" s="556"/>
      <c r="P58" s="559"/>
      <c r="Q58" s="516"/>
      <c r="R58" s="519"/>
      <c r="S58" s="563"/>
      <c r="T58" s="507"/>
      <c r="U58" s="565"/>
      <c r="V58" s="125"/>
      <c r="W58" s="126"/>
      <c r="X58" s="52"/>
      <c r="Y58" s="44"/>
      <c r="Z58" s="44"/>
      <c r="AA58" s="2"/>
      <c r="AB58" s="44"/>
      <c r="AC58" s="44"/>
      <c r="AD58" s="44"/>
      <c r="AE58" s="44"/>
      <c r="AF58" s="45"/>
    </row>
    <row r="59" spans="2:32" ht="19.899999999999999" customHeight="1">
      <c r="B59" s="547"/>
      <c r="C59" s="550"/>
      <c r="D59" s="513"/>
      <c r="E59" s="513"/>
      <c r="F59" s="513"/>
      <c r="G59" s="513"/>
      <c r="H59" s="513"/>
      <c r="I59" s="513"/>
      <c r="J59" s="553"/>
      <c r="K59" s="91" t="s">
        <v>214</v>
      </c>
      <c r="L59" s="14" t="s">
        <v>7</v>
      </c>
      <c r="M59" s="14" t="s">
        <v>220</v>
      </c>
      <c r="N59" s="5">
        <v>0.4</v>
      </c>
      <c r="O59" s="556"/>
      <c r="P59" s="559"/>
      <c r="Q59" s="516"/>
      <c r="R59" s="519"/>
      <c r="S59" s="563"/>
      <c r="T59" s="507"/>
      <c r="U59" s="565"/>
      <c r="V59" s="125"/>
      <c r="W59" s="126"/>
      <c r="X59" s="52"/>
      <c r="Y59" s="44"/>
      <c r="Z59" s="44"/>
      <c r="AA59" s="2"/>
      <c r="AB59" s="44"/>
      <c r="AC59" s="44"/>
      <c r="AD59" s="44"/>
      <c r="AE59" s="44"/>
      <c r="AF59" s="45"/>
    </row>
    <row r="60" spans="2:32" ht="52.15" customHeight="1">
      <c r="B60" s="548"/>
      <c r="C60" s="551"/>
      <c r="D60" s="514"/>
      <c r="E60" s="514"/>
      <c r="F60" s="514"/>
      <c r="G60" s="514"/>
      <c r="H60" s="514"/>
      <c r="I60" s="514"/>
      <c r="J60" s="554"/>
      <c r="K60" s="92"/>
      <c r="L60" s="42"/>
      <c r="M60" s="42"/>
      <c r="N60" s="41"/>
      <c r="O60" s="557"/>
      <c r="P60" s="560"/>
      <c r="Q60" s="517"/>
      <c r="R60" s="520"/>
      <c r="S60" s="563"/>
      <c r="T60" s="508"/>
      <c r="U60" s="566"/>
      <c r="V60" s="125"/>
      <c r="W60" s="126"/>
      <c r="X60" s="52"/>
      <c r="Y60" s="44"/>
      <c r="Z60" s="44"/>
      <c r="AA60" s="2"/>
      <c r="AB60" s="44"/>
      <c r="AC60" s="44"/>
      <c r="AD60" s="44"/>
      <c r="AE60" s="44"/>
      <c r="AF60" s="45"/>
    </row>
    <row r="61" spans="2:32" ht="19.899999999999999" customHeight="1">
      <c r="B61" s="546">
        <v>2.2000000000000002</v>
      </c>
      <c r="C61" s="549" t="s">
        <v>183</v>
      </c>
      <c r="D61" s="512">
        <f>HLOOKUP($J$1,$E$12:$I65,50,FALSE)</f>
        <v>2</v>
      </c>
      <c r="E61" s="512">
        <v>2</v>
      </c>
      <c r="F61" s="512">
        <v>2</v>
      </c>
      <c r="G61" s="512">
        <v>2</v>
      </c>
      <c r="H61" s="512">
        <v>2</v>
      </c>
      <c r="I61" s="512">
        <v>2</v>
      </c>
      <c r="J61" s="552" t="s">
        <v>221</v>
      </c>
      <c r="K61" s="90" t="s">
        <v>24</v>
      </c>
      <c r="L61" s="88" t="s">
        <v>4</v>
      </c>
      <c r="M61" s="88" t="s">
        <v>222</v>
      </c>
      <c r="N61" s="89">
        <v>1</v>
      </c>
      <c r="O61" s="555"/>
      <c r="P61" s="558" t="e">
        <f>'#1 - 메인 UI'!#REF!</f>
        <v>#REF!</v>
      </c>
      <c r="Q61" s="515" t="e">
        <f>'#1 - 메인 UI'!#REF!</f>
        <v>#REF!</v>
      </c>
      <c r="R61" s="518">
        <f t="shared" ref="R61" si="8">D61</f>
        <v>2</v>
      </c>
      <c r="S61" s="563">
        <f>IFERROR(VLOOKUP(Q61,L61:N65,3,FALSE),0)</f>
        <v>0</v>
      </c>
      <c r="T61" s="506">
        <f>IFERROR(+R61*S61,0)</f>
        <v>0</v>
      </c>
      <c r="U61" s="564">
        <f t="shared" ref="U61" si="9">ROUND((T61/$D$97)*$J$97,4)</f>
        <v>0</v>
      </c>
      <c r="V61" s="123"/>
      <c r="W61" s="124"/>
      <c r="X61" s="52"/>
      <c r="Y61" s="44"/>
      <c r="Z61" s="44"/>
      <c r="AA61" s="2"/>
      <c r="AB61" s="56"/>
      <c r="AC61" s="56"/>
      <c r="AD61" s="56"/>
      <c r="AE61" s="56"/>
      <c r="AF61" s="48"/>
    </row>
    <row r="62" spans="2:32" ht="19.899999999999999" customHeight="1">
      <c r="B62" s="547"/>
      <c r="C62" s="550"/>
      <c r="D62" s="513"/>
      <c r="E62" s="513"/>
      <c r="F62" s="513"/>
      <c r="G62" s="513"/>
      <c r="H62" s="513"/>
      <c r="I62" s="513"/>
      <c r="J62" s="553"/>
      <c r="K62" s="91" t="s">
        <v>214</v>
      </c>
      <c r="L62" s="14" t="s">
        <v>5</v>
      </c>
      <c r="M62" s="14" t="s">
        <v>223</v>
      </c>
      <c r="N62" s="5">
        <v>0.3</v>
      </c>
      <c r="O62" s="556"/>
      <c r="P62" s="559"/>
      <c r="Q62" s="516"/>
      <c r="R62" s="519"/>
      <c r="S62" s="563"/>
      <c r="T62" s="507"/>
      <c r="U62" s="565"/>
      <c r="V62" s="123"/>
      <c r="W62" s="124"/>
      <c r="X62" s="52"/>
      <c r="Y62" s="44"/>
      <c r="Z62" s="44"/>
      <c r="AA62" s="2"/>
      <c r="AB62" s="56"/>
      <c r="AC62" s="56"/>
      <c r="AD62" s="56"/>
      <c r="AE62" s="56"/>
      <c r="AF62" s="48"/>
    </row>
    <row r="63" spans="2:32" ht="19.899999999999999" customHeight="1">
      <c r="B63" s="547"/>
      <c r="C63" s="550"/>
      <c r="D63" s="513"/>
      <c r="E63" s="513"/>
      <c r="F63" s="513"/>
      <c r="G63" s="513"/>
      <c r="H63" s="513"/>
      <c r="I63" s="513"/>
      <c r="J63" s="553"/>
      <c r="K63" s="91"/>
      <c r="O63" s="556"/>
      <c r="P63" s="559"/>
      <c r="Q63" s="516"/>
      <c r="R63" s="519"/>
      <c r="S63" s="563"/>
      <c r="T63" s="507"/>
      <c r="U63" s="565"/>
      <c r="V63" s="125"/>
      <c r="W63" s="126"/>
      <c r="X63" s="52"/>
      <c r="Y63" s="44"/>
      <c r="Z63" s="44"/>
      <c r="AA63" s="2"/>
      <c r="AB63" s="56"/>
      <c r="AC63" s="56"/>
      <c r="AD63" s="56"/>
      <c r="AE63" s="56"/>
      <c r="AF63" s="45"/>
    </row>
    <row r="64" spans="2:32" ht="19.899999999999999" customHeight="1">
      <c r="B64" s="547"/>
      <c r="C64" s="550"/>
      <c r="D64" s="513"/>
      <c r="E64" s="513"/>
      <c r="F64" s="513"/>
      <c r="G64" s="513"/>
      <c r="H64" s="513"/>
      <c r="I64" s="513"/>
      <c r="J64" s="553"/>
      <c r="K64" s="91"/>
      <c r="O64" s="556"/>
      <c r="P64" s="559"/>
      <c r="Q64" s="516"/>
      <c r="R64" s="519"/>
      <c r="S64" s="563"/>
      <c r="T64" s="507"/>
      <c r="U64" s="565"/>
      <c r="V64" s="125"/>
      <c r="W64" s="126"/>
      <c r="X64" s="52"/>
      <c r="Y64" s="44"/>
      <c r="Z64" s="44"/>
      <c r="AA64" s="2"/>
      <c r="AB64" s="56"/>
      <c r="AC64" s="56"/>
      <c r="AD64" s="56"/>
      <c r="AE64" s="56"/>
      <c r="AF64" s="45"/>
    </row>
    <row r="65" spans="2:32" ht="52.15" customHeight="1" thickBot="1">
      <c r="B65" s="548"/>
      <c r="C65" s="551"/>
      <c r="D65" s="514"/>
      <c r="E65" s="514"/>
      <c r="F65" s="514"/>
      <c r="G65" s="514"/>
      <c r="H65" s="514"/>
      <c r="I65" s="514"/>
      <c r="J65" s="554"/>
      <c r="K65" s="92"/>
      <c r="L65" s="42"/>
      <c r="M65" s="42"/>
      <c r="N65" s="41"/>
      <c r="O65" s="557"/>
      <c r="P65" s="560"/>
      <c r="Q65" s="517"/>
      <c r="R65" s="520"/>
      <c r="S65" s="563"/>
      <c r="T65" s="508"/>
      <c r="U65" s="566"/>
      <c r="V65" s="125"/>
      <c r="W65" s="126"/>
      <c r="X65" s="52"/>
      <c r="Y65" s="44"/>
      <c r="Z65" s="44"/>
      <c r="AA65" s="2"/>
      <c r="AB65" s="56"/>
      <c r="AC65" s="56"/>
      <c r="AD65" s="56"/>
      <c r="AE65" s="56"/>
      <c r="AF65" s="45"/>
    </row>
    <row r="66" spans="2:32" ht="19.899999999999999" customHeight="1" thickBot="1">
      <c r="B66" s="546" t="s">
        <v>184</v>
      </c>
      <c r="C66" s="549" t="s">
        <v>56</v>
      </c>
      <c r="D66" s="512">
        <f>HLOOKUP($J$1,$E$12:$I70,55,FALSE)</f>
        <v>2</v>
      </c>
      <c r="E66" s="512">
        <v>2</v>
      </c>
      <c r="F66" s="512">
        <v>2</v>
      </c>
      <c r="G66" s="512">
        <v>2</v>
      </c>
      <c r="H66" s="512">
        <v>2</v>
      </c>
      <c r="I66" s="512">
        <v>2</v>
      </c>
      <c r="J66" s="552" t="e">
        <f>'#1 - 메인 UI'!#REF!</f>
        <v>#REF!</v>
      </c>
      <c r="K66" s="90" t="s">
        <v>24</v>
      </c>
      <c r="L66" s="88" t="s">
        <v>4</v>
      </c>
      <c r="M66" s="88" t="s">
        <v>147</v>
      </c>
      <c r="N66" s="89">
        <v>1</v>
      </c>
      <c r="O66" s="555"/>
      <c r="P66" s="558" t="e">
        <f>'#1 - 메인 UI'!#REF!</f>
        <v>#REF!</v>
      </c>
      <c r="Q66" s="515" t="e">
        <f>'#1 - 메인 UI'!#REF!</f>
        <v>#REF!</v>
      </c>
      <c r="R66" s="518">
        <f t="shared" si="7"/>
        <v>2</v>
      </c>
      <c r="S66" s="563">
        <f t="shared" ref="S66" si="10">IFERROR(VLOOKUP(Q66,L66:N70,3,FALSE),0)</f>
        <v>0</v>
      </c>
      <c r="T66" s="506">
        <f>IFERROR(+R66*S66,0)</f>
        <v>0</v>
      </c>
      <c r="U66" s="564">
        <f t="shared" ref="U66" si="11">ROUND((T66/$D$97)*$J$97,4)</f>
        <v>0</v>
      </c>
      <c r="V66" s="123"/>
      <c r="W66" s="124"/>
      <c r="X66" s="71" t="s">
        <v>391</v>
      </c>
      <c r="Y66" s="69" t="e">
        <f>'#1 - 메인 UI'!#REF!</f>
        <v>#REF!</v>
      </c>
      <c r="Z66" s="70" t="e">
        <f>'#1 - 메인 UI'!#REF!</f>
        <v>#REF!</v>
      </c>
      <c r="AA66" s="134" t="e">
        <f>VLOOKUP(Z66,데이터유효성!$B$2:$C$5,2,FALSE)</f>
        <v>#REF!</v>
      </c>
      <c r="AB66" s="49">
        <v>0.25</v>
      </c>
      <c r="AC66" s="49">
        <v>0.5</v>
      </c>
      <c r="AD66" s="49">
        <v>0.75</v>
      </c>
      <c r="AE66" s="49">
        <v>1</v>
      </c>
      <c r="AF66" s="48"/>
    </row>
    <row r="67" spans="2:32" ht="19.899999999999999" customHeight="1">
      <c r="B67" s="547"/>
      <c r="C67" s="550"/>
      <c r="D67" s="513"/>
      <c r="E67" s="513"/>
      <c r="F67" s="513"/>
      <c r="G67" s="513"/>
      <c r="H67" s="513"/>
      <c r="I67" s="513"/>
      <c r="J67" s="553"/>
      <c r="K67" s="91" t="s">
        <v>214</v>
      </c>
      <c r="L67" s="14" t="s">
        <v>5</v>
      </c>
      <c r="M67" s="14" t="s">
        <v>226</v>
      </c>
      <c r="N67" s="5">
        <v>0.8</v>
      </c>
      <c r="O67" s="556"/>
      <c r="P67" s="559"/>
      <c r="Q67" s="516"/>
      <c r="R67" s="519"/>
      <c r="S67" s="563"/>
      <c r="T67" s="507"/>
      <c r="U67" s="565"/>
      <c r="V67" s="123"/>
      <c r="W67" s="124"/>
      <c r="X67" s="52"/>
      <c r="Y67" s="44"/>
      <c r="Z67" s="44"/>
      <c r="AA67" s="2"/>
      <c r="AB67" s="44"/>
      <c r="AC67" s="44"/>
      <c r="AD67" s="44"/>
      <c r="AE67" s="44"/>
      <c r="AF67" s="48"/>
    </row>
    <row r="68" spans="2:32" ht="19.899999999999999" customHeight="1">
      <c r="B68" s="547"/>
      <c r="C68" s="550"/>
      <c r="D68" s="513"/>
      <c r="E68" s="513"/>
      <c r="F68" s="513"/>
      <c r="G68" s="513"/>
      <c r="H68" s="513"/>
      <c r="I68" s="513"/>
      <c r="J68" s="553"/>
      <c r="K68" s="91" t="s">
        <v>214</v>
      </c>
      <c r="L68" s="14" t="s">
        <v>6</v>
      </c>
      <c r="M68" s="14" t="s">
        <v>225</v>
      </c>
      <c r="N68" s="5">
        <v>0.6</v>
      </c>
      <c r="O68" s="556"/>
      <c r="P68" s="559"/>
      <c r="Q68" s="516"/>
      <c r="R68" s="519"/>
      <c r="S68" s="563"/>
      <c r="T68" s="507"/>
      <c r="U68" s="565"/>
      <c r="V68" s="125"/>
      <c r="W68" s="126"/>
      <c r="X68" s="52"/>
      <c r="Y68" s="44"/>
      <c r="Z68" s="44"/>
      <c r="AA68" s="2"/>
      <c r="AB68" s="56"/>
      <c r="AC68" s="56"/>
      <c r="AD68" s="56"/>
      <c r="AE68" s="56"/>
      <c r="AF68" s="45"/>
    </row>
    <row r="69" spans="2:32" ht="19.899999999999999" customHeight="1">
      <c r="B69" s="547"/>
      <c r="C69" s="550"/>
      <c r="D69" s="513"/>
      <c r="E69" s="513"/>
      <c r="F69" s="513"/>
      <c r="G69" s="513"/>
      <c r="H69" s="513"/>
      <c r="I69" s="513"/>
      <c r="J69" s="553"/>
      <c r="K69" s="91" t="s">
        <v>214</v>
      </c>
      <c r="L69" s="14" t="s">
        <v>7</v>
      </c>
      <c r="M69" s="14" t="s">
        <v>224</v>
      </c>
      <c r="N69" s="5">
        <v>0.4</v>
      </c>
      <c r="O69" s="556"/>
      <c r="P69" s="559"/>
      <c r="Q69" s="516"/>
      <c r="R69" s="519"/>
      <c r="S69" s="563"/>
      <c r="T69" s="507"/>
      <c r="U69" s="565"/>
      <c r="V69" s="125"/>
      <c r="W69" s="126"/>
      <c r="X69" s="52"/>
      <c r="Y69" s="44"/>
      <c r="Z69" s="44"/>
      <c r="AA69" s="2"/>
      <c r="AB69" s="56"/>
      <c r="AC69" s="56"/>
      <c r="AD69" s="56"/>
      <c r="AE69" s="56"/>
      <c r="AF69" s="45"/>
    </row>
    <row r="70" spans="2:32" ht="52.15" customHeight="1" thickBot="1">
      <c r="B70" s="548"/>
      <c r="C70" s="551"/>
      <c r="D70" s="514"/>
      <c r="E70" s="514"/>
      <c r="F70" s="514"/>
      <c r="G70" s="514"/>
      <c r="H70" s="514"/>
      <c r="I70" s="514"/>
      <c r="J70" s="554"/>
      <c r="K70" s="92"/>
      <c r="L70" s="42"/>
      <c r="M70" s="42"/>
      <c r="N70" s="41"/>
      <c r="O70" s="557"/>
      <c r="P70" s="560"/>
      <c r="Q70" s="517"/>
      <c r="R70" s="520"/>
      <c r="S70" s="563"/>
      <c r="T70" s="508"/>
      <c r="U70" s="566"/>
      <c r="V70" s="125"/>
      <c r="W70" s="126"/>
      <c r="X70" s="52"/>
      <c r="Y70" s="44"/>
      <c r="Z70" s="44"/>
      <c r="AA70" s="2"/>
      <c r="AB70" s="56"/>
      <c r="AC70" s="56"/>
      <c r="AD70" s="56"/>
      <c r="AE70" s="56"/>
      <c r="AF70" s="45"/>
    </row>
    <row r="71" spans="2:32" ht="19.899999999999999" hidden="1" customHeight="1">
      <c r="B71" s="546" t="s">
        <v>185</v>
      </c>
      <c r="C71" s="549" t="s">
        <v>186</v>
      </c>
      <c r="D71" s="512" t="str">
        <f>HLOOKUP($J$1,$E$12:$I75,60,FALSE)</f>
        <v>제외</v>
      </c>
      <c r="E71" s="512" t="s">
        <v>212</v>
      </c>
      <c r="F71" s="512">
        <v>4</v>
      </c>
      <c r="G71" s="512">
        <v>4</v>
      </c>
      <c r="H71" s="512">
        <v>4</v>
      </c>
      <c r="I71" s="512">
        <v>4</v>
      </c>
      <c r="J71" s="552" t="s">
        <v>237</v>
      </c>
      <c r="K71" s="90" t="s">
        <v>24</v>
      </c>
      <c r="L71" s="88" t="s">
        <v>4</v>
      </c>
      <c r="M71" s="88" t="s">
        <v>227</v>
      </c>
      <c r="N71" s="89">
        <v>1</v>
      </c>
      <c r="O71" s="555"/>
      <c r="P71" s="558"/>
      <c r="Q71" s="515" t="s">
        <v>338</v>
      </c>
      <c r="R71" s="518" t="str">
        <f t="shared" ref="R71:R91" si="12">D71</f>
        <v>제외</v>
      </c>
      <c r="S71" s="563">
        <f t="shared" ref="S71" si="13">IFERROR(VLOOKUP(Q71,L71:N75,3,FALSE),0)</f>
        <v>0</v>
      </c>
      <c r="T71" s="506">
        <f>IFERROR(+R71*S71,0)</f>
        <v>0</v>
      </c>
      <c r="U71" s="564">
        <f t="shared" ref="U71" si="14">ROUND((T71/$D$97)*$J$97,4)</f>
        <v>0</v>
      </c>
      <c r="V71" s="123"/>
      <c r="W71" s="124"/>
      <c r="X71" s="52"/>
      <c r="Y71" s="44"/>
      <c r="Z71" s="44"/>
      <c r="AA71" s="2"/>
      <c r="AB71" s="56"/>
      <c r="AC71" s="56"/>
      <c r="AD71" s="56"/>
      <c r="AE71" s="56"/>
      <c r="AF71" s="48"/>
    </row>
    <row r="72" spans="2:32" ht="19.899999999999999" hidden="1" customHeight="1">
      <c r="B72" s="547"/>
      <c r="C72" s="550"/>
      <c r="D72" s="513"/>
      <c r="E72" s="513"/>
      <c r="F72" s="513"/>
      <c r="G72" s="513"/>
      <c r="H72" s="513"/>
      <c r="I72" s="513"/>
      <c r="J72" s="553"/>
      <c r="K72" s="91" t="s">
        <v>214</v>
      </c>
      <c r="L72" s="14" t="s">
        <v>5</v>
      </c>
      <c r="M72" s="14" t="s">
        <v>228</v>
      </c>
      <c r="N72" s="5">
        <f>IF($J$1=$G$12,0.7,0.8)</f>
        <v>0.8</v>
      </c>
      <c r="O72" s="556"/>
      <c r="P72" s="559"/>
      <c r="Q72" s="516"/>
      <c r="R72" s="519"/>
      <c r="S72" s="563"/>
      <c r="T72" s="507"/>
      <c r="U72" s="565"/>
      <c r="V72" s="123"/>
      <c r="W72" s="124"/>
      <c r="X72" s="52"/>
      <c r="Y72" s="44"/>
      <c r="Z72" s="44"/>
      <c r="AA72" s="2"/>
      <c r="AB72" s="56"/>
      <c r="AC72" s="56"/>
      <c r="AD72" s="56"/>
      <c r="AE72" s="56"/>
      <c r="AF72" s="48"/>
    </row>
    <row r="73" spans="2:32" ht="19.899999999999999" hidden="1" customHeight="1">
      <c r="B73" s="547"/>
      <c r="C73" s="550"/>
      <c r="D73" s="513"/>
      <c r="E73" s="513"/>
      <c r="F73" s="513"/>
      <c r="G73" s="513"/>
      <c r="H73" s="513"/>
      <c r="I73" s="513"/>
      <c r="J73" s="553"/>
      <c r="K73" s="91" t="s">
        <v>214</v>
      </c>
      <c r="L73" s="14" t="s">
        <v>6</v>
      </c>
      <c r="M73" s="14" t="s">
        <v>229</v>
      </c>
      <c r="N73" s="5">
        <f>IF($J$1=$G$12,0.4,0.6)</f>
        <v>0.6</v>
      </c>
      <c r="O73" s="556"/>
      <c r="P73" s="559"/>
      <c r="Q73" s="516"/>
      <c r="R73" s="519"/>
      <c r="S73" s="563"/>
      <c r="T73" s="507"/>
      <c r="U73" s="565"/>
      <c r="V73" s="125"/>
      <c r="W73" s="126"/>
      <c r="X73" s="52"/>
      <c r="Y73" s="44"/>
      <c r="Z73" s="44"/>
      <c r="AA73" s="2"/>
      <c r="AB73" s="56"/>
      <c r="AC73" s="56"/>
      <c r="AD73" s="56"/>
      <c r="AE73" s="56"/>
      <c r="AF73" s="45"/>
    </row>
    <row r="74" spans="2:32" ht="19.899999999999999" hidden="1" customHeight="1">
      <c r="B74" s="547"/>
      <c r="C74" s="550"/>
      <c r="D74" s="513"/>
      <c r="E74" s="513"/>
      <c r="F74" s="513"/>
      <c r="G74" s="513"/>
      <c r="H74" s="513"/>
      <c r="I74" s="513"/>
      <c r="J74" s="553"/>
      <c r="K74" s="91" t="s">
        <v>214</v>
      </c>
      <c r="L74" s="14" t="s">
        <v>7</v>
      </c>
      <c r="M74" s="14" t="s">
        <v>230</v>
      </c>
      <c r="N74" s="5">
        <f>IF($J$1=$G$12,0,0.4)</f>
        <v>0.4</v>
      </c>
      <c r="O74" s="556"/>
      <c r="P74" s="559"/>
      <c r="Q74" s="516"/>
      <c r="R74" s="519"/>
      <c r="S74" s="563"/>
      <c r="T74" s="507"/>
      <c r="U74" s="565"/>
      <c r="V74" s="125"/>
      <c r="W74" s="126"/>
      <c r="X74" s="52"/>
      <c r="Y74" s="44"/>
      <c r="Z74" s="44"/>
      <c r="AA74" s="2"/>
      <c r="AB74" s="56"/>
      <c r="AC74" s="56"/>
      <c r="AD74" s="56"/>
      <c r="AE74" s="56"/>
      <c r="AF74" s="45"/>
    </row>
    <row r="75" spans="2:32" ht="19.899999999999999" hidden="1" customHeight="1" thickBot="1">
      <c r="B75" s="548"/>
      <c r="C75" s="551"/>
      <c r="D75" s="514"/>
      <c r="E75" s="514"/>
      <c r="F75" s="514"/>
      <c r="G75" s="514"/>
      <c r="H75" s="514"/>
      <c r="I75" s="514"/>
      <c r="J75" s="554"/>
      <c r="K75" s="92"/>
      <c r="L75" s="42"/>
      <c r="M75" s="42"/>
      <c r="N75" s="41"/>
      <c r="O75" s="557"/>
      <c r="P75" s="560"/>
      <c r="Q75" s="517"/>
      <c r="R75" s="520"/>
      <c r="S75" s="563"/>
      <c r="T75" s="508"/>
      <c r="U75" s="566"/>
      <c r="V75" s="125"/>
      <c r="W75" s="126"/>
      <c r="X75" s="52"/>
      <c r="Y75" s="44"/>
      <c r="Z75" s="44"/>
      <c r="AA75" s="2"/>
      <c r="AB75" s="56"/>
      <c r="AC75" s="56"/>
      <c r="AD75" s="56"/>
      <c r="AE75" s="56"/>
      <c r="AF75" s="45"/>
    </row>
    <row r="76" spans="2:32" ht="19.899999999999999" customHeight="1" thickBot="1">
      <c r="B76" s="546" t="s">
        <v>187</v>
      </c>
      <c r="C76" s="549" t="s">
        <v>57</v>
      </c>
      <c r="D76" s="512">
        <f>HLOOKUP($J$1,$E$12:$I80,65,FALSE)</f>
        <v>3</v>
      </c>
      <c r="E76" s="512">
        <v>3</v>
      </c>
      <c r="F76" s="512">
        <v>3</v>
      </c>
      <c r="G76" s="512">
        <v>3</v>
      </c>
      <c r="H76" s="512">
        <v>3</v>
      </c>
      <c r="I76" s="512">
        <v>3</v>
      </c>
      <c r="J76" s="552" t="s">
        <v>148</v>
      </c>
      <c r="K76" s="90" t="s">
        <v>24</v>
      </c>
      <c r="L76" s="88" t="s">
        <v>4</v>
      </c>
      <c r="M76" s="88" t="s">
        <v>231</v>
      </c>
      <c r="N76" s="89">
        <v>1</v>
      </c>
      <c r="O76" s="555"/>
      <c r="P76" s="558" t="e">
        <f>'#1 - 메인 UI'!#REF!</f>
        <v>#REF!</v>
      </c>
      <c r="Q76" s="515" t="e">
        <f>'#1 - 메인 UI'!#REF!</f>
        <v>#REF!</v>
      </c>
      <c r="R76" s="518">
        <f t="shared" si="7"/>
        <v>3</v>
      </c>
      <c r="S76" s="563">
        <f t="shared" ref="S76" si="15">IFERROR(VLOOKUP(Q76,L76:N80,3,FALSE),0)</f>
        <v>0</v>
      </c>
      <c r="T76" s="506">
        <f>IFERROR(+R76*S76,0)</f>
        <v>0</v>
      </c>
      <c r="U76" s="564">
        <f t="shared" ref="U76" si="16">ROUND((T76/$D$97)*$J$97,4)</f>
        <v>0</v>
      </c>
      <c r="V76" s="123"/>
      <c r="W76" s="124"/>
      <c r="X76" s="71" t="s">
        <v>392</v>
      </c>
      <c r="Y76" s="69" t="e">
        <f>'#1 - 메인 UI'!#REF!</f>
        <v>#REF!</v>
      </c>
      <c r="Z76" s="70" t="e">
        <f>'#1 - 메인 UI'!#REF!</f>
        <v>#REF!</v>
      </c>
      <c r="AA76" s="134" t="e">
        <f>VLOOKUP(Z76,데이터유효성!$B$2:$C$5,2,FALSE)</f>
        <v>#REF!</v>
      </c>
      <c r="AB76" s="49">
        <v>0.25</v>
      </c>
      <c r="AC76" s="49">
        <v>0.5</v>
      </c>
      <c r="AD76" s="49">
        <v>0.75</v>
      </c>
      <c r="AE76" s="49">
        <v>1</v>
      </c>
      <c r="AF76" s="48"/>
    </row>
    <row r="77" spans="2:32" ht="19.899999999999999" customHeight="1" thickBot="1">
      <c r="B77" s="547"/>
      <c r="C77" s="550"/>
      <c r="D77" s="513"/>
      <c r="E77" s="513"/>
      <c r="F77" s="513"/>
      <c r="G77" s="513"/>
      <c r="H77" s="513"/>
      <c r="I77" s="513"/>
      <c r="J77" s="553"/>
      <c r="K77" s="91" t="s">
        <v>214</v>
      </c>
      <c r="L77" s="14" t="s">
        <v>5</v>
      </c>
      <c r="M77" s="14" t="s">
        <v>171</v>
      </c>
      <c r="N77" s="5">
        <v>0.8</v>
      </c>
      <c r="O77" s="556"/>
      <c r="P77" s="559"/>
      <c r="Q77" s="516"/>
      <c r="R77" s="519"/>
      <c r="S77" s="563"/>
      <c r="T77" s="507"/>
      <c r="U77" s="565"/>
      <c r="V77" s="123"/>
      <c r="W77" s="124"/>
      <c r="X77" s="71" t="s">
        <v>393</v>
      </c>
      <c r="Y77" s="69" t="e">
        <f>'#1 - 메인 UI'!#REF!</f>
        <v>#REF!</v>
      </c>
      <c r="Z77" s="70" t="e">
        <f>'#1 - 메인 UI'!#REF!</f>
        <v>#REF!</v>
      </c>
      <c r="AA77" s="134" t="e">
        <f>VLOOKUP(Z77,데이터유효성!$B$2:$C$5,2,FALSE)</f>
        <v>#REF!</v>
      </c>
      <c r="AB77" s="49">
        <v>0.25</v>
      </c>
      <c r="AC77" s="49">
        <v>0.5</v>
      </c>
      <c r="AD77" s="49">
        <v>0.75</v>
      </c>
      <c r="AE77" s="49">
        <v>1</v>
      </c>
      <c r="AF77" s="48"/>
    </row>
    <row r="78" spans="2:32" ht="19.899999999999999" customHeight="1" thickBot="1">
      <c r="B78" s="547"/>
      <c r="C78" s="550"/>
      <c r="D78" s="513"/>
      <c r="E78" s="513"/>
      <c r="F78" s="513"/>
      <c r="G78" s="513"/>
      <c r="H78" s="513"/>
      <c r="I78" s="513"/>
      <c r="J78" s="553"/>
      <c r="K78" s="91" t="s">
        <v>214</v>
      </c>
      <c r="L78" s="14" t="s">
        <v>6</v>
      </c>
      <c r="M78" s="14" t="s">
        <v>232</v>
      </c>
      <c r="N78" s="5">
        <v>0.6</v>
      </c>
      <c r="O78" s="556"/>
      <c r="P78" s="559"/>
      <c r="Q78" s="516"/>
      <c r="R78" s="519"/>
      <c r="S78" s="563"/>
      <c r="T78" s="507"/>
      <c r="U78" s="565"/>
      <c r="V78" s="125"/>
      <c r="W78" s="126"/>
      <c r="X78" s="71" t="s">
        <v>394</v>
      </c>
      <c r="Y78" s="69" t="e">
        <f>'#1 - 메인 UI'!#REF!</f>
        <v>#REF!</v>
      </c>
      <c r="Z78" s="70" t="e">
        <f>'#1 - 메인 UI'!#REF!</f>
        <v>#REF!</v>
      </c>
      <c r="AA78" s="134" t="e">
        <f>VLOOKUP(Z78,데이터유효성!$B$2:$C$5,2,FALSE)</f>
        <v>#REF!</v>
      </c>
      <c r="AB78" s="49">
        <v>0.25</v>
      </c>
      <c r="AC78" s="49">
        <v>0.5</v>
      </c>
      <c r="AD78" s="49">
        <v>0.75</v>
      </c>
      <c r="AE78" s="49">
        <v>1</v>
      </c>
      <c r="AF78" s="45"/>
    </row>
    <row r="79" spans="2:32" ht="19.899999999999999" customHeight="1" thickBot="1">
      <c r="B79" s="547"/>
      <c r="C79" s="550"/>
      <c r="D79" s="513"/>
      <c r="E79" s="513"/>
      <c r="F79" s="513"/>
      <c r="G79" s="513"/>
      <c r="H79" s="513"/>
      <c r="I79" s="513"/>
      <c r="J79" s="553"/>
      <c r="K79" s="91" t="s">
        <v>214</v>
      </c>
      <c r="L79" s="14" t="s">
        <v>7</v>
      </c>
      <c r="M79" s="14" t="s">
        <v>233</v>
      </c>
      <c r="N79" s="5">
        <v>0.4</v>
      </c>
      <c r="O79" s="556"/>
      <c r="P79" s="559"/>
      <c r="Q79" s="516"/>
      <c r="R79" s="519"/>
      <c r="S79" s="563"/>
      <c r="T79" s="507"/>
      <c r="U79" s="565"/>
      <c r="V79" s="125"/>
      <c r="W79" s="126"/>
      <c r="X79" s="71" t="s">
        <v>395</v>
      </c>
      <c r="Y79" s="69" t="e">
        <f>'#1 - 메인 UI'!#REF!</f>
        <v>#REF!</v>
      </c>
      <c r="Z79" s="70" t="e">
        <f>'#1 - 메인 UI'!#REF!</f>
        <v>#REF!</v>
      </c>
      <c r="AA79" s="134" t="e">
        <f>VLOOKUP(Z79,데이터유효성!$B$2:$C$5,2,FALSE)</f>
        <v>#REF!</v>
      </c>
      <c r="AB79" s="49">
        <v>0.25</v>
      </c>
      <c r="AC79" s="49">
        <v>0.5</v>
      </c>
      <c r="AD79" s="49">
        <v>0.75</v>
      </c>
      <c r="AE79" s="49">
        <v>1</v>
      </c>
      <c r="AF79" s="45"/>
    </row>
    <row r="80" spans="2:32" ht="52.15" customHeight="1">
      <c r="B80" s="548"/>
      <c r="C80" s="551"/>
      <c r="D80" s="514"/>
      <c r="E80" s="514"/>
      <c r="F80" s="514"/>
      <c r="G80" s="514"/>
      <c r="H80" s="514"/>
      <c r="I80" s="514"/>
      <c r="J80" s="554"/>
      <c r="K80" s="92"/>
      <c r="L80" s="42"/>
      <c r="M80" s="42"/>
      <c r="N80" s="41"/>
      <c r="O80" s="557"/>
      <c r="P80" s="560"/>
      <c r="Q80" s="517"/>
      <c r="R80" s="520"/>
      <c r="S80" s="563"/>
      <c r="T80" s="508"/>
      <c r="U80" s="566"/>
      <c r="V80" s="125"/>
      <c r="W80" s="126"/>
      <c r="X80" s="52"/>
      <c r="Y80" s="44"/>
      <c r="Z80" s="44"/>
      <c r="AA80" s="2"/>
      <c r="AB80" s="56"/>
      <c r="AC80" s="56"/>
      <c r="AD80" s="56"/>
      <c r="AE80" s="56"/>
      <c r="AF80" s="45"/>
    </row>
    <row r="81" spans="2:32" ht="19.899999999999999" customHeight="1">
      <c r="B81" s="546" t="s">
        <v>190</v>
      </c>
      <c r="C81" s="549" t="s">
        <v>195</v>
      </c>
      <c r="D81" s="512">
        <f>HLOOKUP($J$1,$E$12:$I85,70,FALSE)</f>
        <v>1</v>
      </c>
      <c r="E81" s="512">
        <v>1</v>
      </c>
      <c r="F81" s="512">
        <v>1</v>
      </c>
      <c r="G81" s="512">
        <v>1</v>
      </c>
      <c r="H81" s="512">
        <v>1</v>
      </c>
      <c r="I81" s="512">
        <v>1</v>
      </c>
      <c r="J81" s="552" t="s">
        <v>234</v>
      </c>
      <c r="K81" s="90" t="s">
        <v>24</v>
      </c>
      <c r="L81" s="88" t="s">
        <v>4</v>
      </c>
      <c r="M81" s="88" t="s">
        <v>149</v>
      </c>
      <c r="N81" s="89">
        <v>1</v>
      </c>
      <c r="O81" s="555"/>
      <c r="P81" s="558" t="e">
        <f>'#1 - 메인 UI'!#REF!</f>
        <v>#REF!</v>
      </c>
      <c r="Q81" s="515" t="e">
        <f>'#1 - 메인 UI'!#REF!</f>
        <v>#REF!</v>
      </c>
      <c r="R81" s="518">
        <f t="shared" si="12"/>
        <v>1</v>
      </c>
      <c r="S81" s="563">
        <f t="shared" ref="S81" si="17">IFERROR(VLOOKUP(Q81,L81:N85,3,FALSE),0)</f>
        <v>0</v>
      </c>
      <c r="T81" s="506">
        <f>IFERROR(+R81*S81,0)</f>
        <v>0</v>
      </c>
      <c r="U81" s="564">
        <f t="shared" ref="U81" si="18">ROUND((T81/$D$97)*$J$97,4)</f>
        <v>0</v>
      </c>
      <c r="V81" s="123"/>
      <c r="W81" s="124"/>
      <c r="X81" s="52"/>
      <c r="Y81" s="44"/>
      <c r="Z81" s="44"/>
      <c r="AA81" s="2"/>
      <c r="AB81" s="44"/>
      <c r="AC81" s="44"/>
      <c r="AD81" s="44"/>
      <c r="AE81" s="44"/>
      <c r="AF81" s="48"/>
    </row>
    <row r="82" spans="2:32" ht="19.899999999999999" customHeight="1">
      <c r="B82" s="547"/>
      <c r="C82" s="550"/>
      <c r="D82" s="513"/>
      <c r="E82" s="513"/>
      <c r="F82" s="513"/>
      <c r="G82" s="513"/>
      <c r="H82" s="513"/>
      <c r="I82" s="513"/>
      <c r="J82" s="553"/>
      <c r="K82" s="91" t="s">
        <v>214</v>
      </c>
      <c r="L82" s="14" t="s">
        <v>5</v>
      </c>
      <c r="M82" s="14" t="s">
        <v>150</v>
      </c>
      <c r="N82" s="5">
        <v>0.8</v>
      </c>
      <c r="O82" s="556"/>
      <c r="P82" s="559"/>
      <c r="Q82" s="516"/>
      <c r="R82" s="519"/>
      <c r="S82" s="563"/>
      <c r="T82" s="507"/>
      <c r="U82" s="565"/>
      <c r="V82" s="123"/>
      <c r="W82" s="124"/>
      <c r="X82" s="52"/>
      <c r="Y82" s="44"/>
      <c r="Z82" s="44"/>
      <c r="AA82" s="2"/>
      <c r="AB82" s="44"/>
      <c r="AC82" s="44"/>
      <c r="AD82" s="44"/>
      <c r="AE82" s="44"/>
      <c r="AF82" s="48"/>
    </row>
    <row r="83" spans="2:32" ht="19.899999999999999" customHeight="1">
      <c r="B83" s="547"/>
      <c r="C83" s="550"/>
      <c r="D83" s="513"/>
      <c r="E83" s="513"/>
      <c r="F83" s="513"/>
      <c r="G83" s="513"/>
      <c r="H83" s="513"/>
      <c r="I83" s="513"/>
      <c r="J83" s="553"/>
      <c r="K83" s="91" t="s">
        <v>214</v>
      </c>
      <c r="L83" s="14" t="s">
        <v>6</v>
      </c>
      <c r="M83" s="14" t="s">
        <v>151</v>
      </c>
      <c r="N83" s="5">
        <v>0.6</v>
      </c>
      <c r="O83" s="556"/>
      <c r="P83" s="559"/>
      <c r="Q83" s="516"/>
      <c r="R83" s="519"/>
      <c r="S83" s="563"/>
      <c r="T83" s="507"/>
      <c r="U83" s="565"/>
      <c r="V83" s="125"/>
      <c r="W83" s="126"/>
      <c r="X83" s="52"/>
      <c r="Y83" s="44"/>
      <c r="Z83" s="44"/>
      <c r="AA83" s="2"/>
      <c r="AB83" s="56"/>
      <c r="AC83" s="56"/>
      <c r="AD83" s="56"/>
      <c r="AE83" s="56"/>
      <c r="AF83" s="45"/>
    </row>
    <row r="84" spans="2:32" ht="19.899999999999999" customHeight="1">
      <c r="B84" s="547"/>
      <c r="C84" s="550"/>
      <c r="D84" s="513"/>
      <c r="E84" s="513"/>
      <c r="F84" s="513"/>
      <c r="G84" s="513"/>
      <c r="H84" s="513"/>
      <c r="I84" s="513"/>
      <c r="J84" s="553"/>
      <c r="K84" s="91" t="s">
        <v>214</v>
      </c>
      <c r="L84" s="14" t="s">
        <v>7</v>
      </c>
      <c r="M84" s="14" t="s">
        <v>152</v>
      </c>
      <c r="N84" s="5">
        <v>0.4</v>
      </c>
      <c r="O84" s="556"/>
      <c r="P84" s="559"/>
      <c r="Q84" s="516"/>
      <c r="R84" s="519"/>
      <c r="S84" s="563"/>
      <c r="T84" s="507"/>
      <c r="U84" s="565"/>
      <c r="V84" s="125"/>
      <c r="W84" s="126"/>
      <c r="X84" s="52"/>
      <c r="Y84" s="44"/>
      <c r="Z84" s="44"/>
      <c r="AA84" s="2"/>
      <c r="AB84" s="56"/>
      <c r="AC84" s="56"/>
      <c r="AD84" s="56"/>
      <c r="AE84" s="56"/>
      <c r="AF84" s="45"/>
    </row>
    <row r="85" spans="2:32" ht="52.15" customHeight="1" thickBot="1">
      <c r="B85" s="548"/>
      <c r="C85" s="551"/>
      <c r="D85" s="514"/>
      <c r="E85" s="514"/>
      <c r="F85" s="514"/>
      <c r="G85" s="514"/>
      <c r="H85" s="514"/>
      <c r="I85" s="514"/>
      <c r="J85" s="554"/>
      <c r="K85" s="92"/>
      <c r="L85" s="42"/>
      <c r="M85" s="42"/>
      <c r="N85" s="41"/>
      <c r="O85" s="557"/>
      <c r="P85" s="560"/>
      <c r="Q85" s="517"/>
      <c r="R85" s="520"/>
      <c r="S85" s="563"/>
      <c r="T85" s="508"/>
      <c r="U85" s="566"/>
      <c r="V85" s="125"/>
      <c r="W85" s="126"/>
      <c r="X85" s="52"/>
      <c r="Y85" s="44"/>
      <c r="Z85" s="44"/>
      <c r="AA85" s="2"/>
      <c r="AB85" s="56"/>
      <c r="AC85" s="56"/>
      <c r="AD85" s="56"/>
      <c r="AE85" s="56"/>
      <c r="AF85" s="45"/>
    </row>
    <row r="86" spans="2:32" ht="19.899999999999999" customHeight="1" thickBot="1">
      <c r="B86" s="546" t="s">
        <v>191</v>
      </c>
      <c r="C86" s="549" t="s">
        <v>194</v>
      </c>
      <c r="D86" s="512">
        <f>HLOOKUP($J$1,$E$12:$I90,75,FALSE)</f>
        <v>3</v>
      </c>
      <c r="E86" s="512">
        <v>3</v>
      </c>
      <c r="F86" s="512">
        <v>3</v>
      </c>
      <c r="G86" s="512">
        <v>3</v>
      </c>
      <c r="H86" s="512">
        <v>3</v>
      </c>
      <c r="I86" s="512">
        <v>3</v>
      </c>
      <c r="J86" s="552" t="s">
        <v>235</v>
      </c>
      <c r="K86" s="90" t="s">
        <v>24</v>
      </c>
      <c r="L86" s="88" t="s">
        <v>4</v>
      </c>
      <c r="M86" s="88" t="s">
        <v>236</v>
      </c>
      <c r="N86" s="89">
        <v>1</v>
      </c>
      <c r="O86" s="555"/>
      <c r="P86" s="558" t="e">
        <f>'#1 - 메인 UI'!#REF!</f>
        <v>#REF!</v>
      </c>
      <c r="Q86" s="515" t="e">
        <f>'#1 - 메인 UI'!#REF!</f>
        <v>#REF!</v>
      </c>
      <c r="R86" s="518">
        <f t="shared" si="7"/>
        <v>3</v>
      </c>
      <c r="S86" s="563">
        <f t="shared" ref="S86" si="19">IFERROR(VLOOKUP(Q86,L86:N90,3,FALSE),0)</f>
        <v>0</v>
      </c>
      <c r="T86" s="506">
        <f>IFERROR(+R86*S86,0)</f>
        <v>0</v>
      </c>
      <c r="U86" s="564">
        <f t="shared" ref="U86" si="20">ROUND((T86/$D$97)*$J$97,4)</f>
        <v>0</v>
      </c>
      <c r="V86" s="123"/>
      <c r="W86" s="124"/>
      <c r="X86" s="71" t="s">
        <v>396</v>
      </c>
      <c r="Y86" s="69" t="e">
        <f>'#1 - 메인 UI'!#REF!</f>
        <v>#REF!</v>
      </c>
      <c r="Z86" s="70" t="e">
        <f>'#1 - 메인 UI'!#REF!</f>
        <v>#REF!</v>
      </c>
      <c r="AA86" s="134" t="e">
        <f>VLOOKUP(Z86,데이터유효성!$B$2:$C$5,2,FALSE)</f>
        <v>#REF!</v>
      </c>
      <c r="AB86" s="49">
        <v>0.25</v>
      </c>
      <c r="AC86" s="49">
        <v>0.5</v>
      </c>
      <c r="AD86" s="49">
        <v>0.75</v>
      </c>
      <c r="AE86" s="49">
        <v>1</v>
      </c>
      <c r="AF86" s="48"/>
    </row>
    <row r="87" spans="2:32" ht="19.899999999999999" customHeight="1">
      <c r="B87" s="547"/>
      <c r="C87" s="550"/>
      <c r="D87" s="513"/>
      <c r="E87" s="513"/>
      <c r="F87" s="513"/>
      <c r="G87" s="513"/>
      <c r="H87" s="513"/>
      <c r="I87" s="513"/>
      <c r="J87" s="553"/>
      <c r="K87" s="91" t="s">
        <v>214</v>
      </c>
      <c r="L87" s="14" t="s">
        <v>5</v>
      </c>
      <c r="M87" s="14" t="s">
        <v>150</v>
      </c>
      <c r="N87" s="5">
        <v>0.8</v>
      </c>
      <c r="O87" s="556"/>
      <c r="P87" s="559"/>
      <c r="Q87" s="516"/>
      <c r="R87" s="519"/>
      <c r="S87" s="563"/>
      <c r="T87" s="507"/>
      <c r="U87" s="565"/>
      <c r="V87" s="123"/>
      <c r="W87" s="124"/>
      <c r="X87" s="52"/>
      <c r="Y87" s="44"/>
      <c r="Z87" s="44"/>
      <c r="AA87" s="2"/>
      <c r="AB87" s="44"/>
      <c r="AC87" s="44"/>
      <c r="AD87" s="44"/>
      <c r="AE87" s="44"/>
      <c r="AF87" s="48"/>
    </row>
    <row r="88" spans="2:32" ht="19.899999999999999" customHeight="1">
      <c r="B88" s="547"/>
      <c r="C88" s="550"/>
      <c r="D88" s="513"/>
      <c r="E88" s="513"/>
      <c r="F88" s="513"/>
      <c r="G88" s="513"/>
      <c r="H88" s="513"/>
      <c r="I88" s="513"/>
      <c r="J88" s="553"/>
      <c r="K88" s="91" t="s">
        <v>214</v>
      </c>
      <c r="L88" s="14" t="s">
        <v>6</v>
      </c>
      <c r="M88" s="14" t="s">
        <v>151</v>
      </c>
      <c r="N88" s="5">
        <v>0.6</v>
      </c>
      <c r="O88" s="556"/>
      <c r="P88" s="559"/>
      <c r="Q88" s="516"/>
      <c r="R88" s="519"/>
      <c r="S88" s="563"/>
      <c r="T88" s="507"/>
      <c r="U88" s="565"/>
      <c r="V88" s="125"/>
      <c r="W88" s="126"/>
      <c r="X88" s="52"/>
      <c r="Y88" s="44"/>
      <c r="Z88" s="44"/>
      <c r="AA88" s="2"/>
      <c r="AB88" s="56"/>
      <c r="AC88" s="56"/>
      <c r="AD88" s="56"/>
      <c r="AE88" s="56"/>
      <c r="AF88" s="45"/>
    </row>
    <row r="89" spans="2:32" ht="19.899999999999999" customHeight="1">
      <c r="B89" s="547"/>
      <c r="C89" s="550"/>
      <c r="D89" s="513"/>
      <c r="E89" s="513"/>
      <c r="F89" s="513"/>
      <c r="G89" s="513"/>
      <c r="H89" s="513"/>
      <c r="I89" s="513"/>
      <c r="J89" s="553"/>
      <c r="K89" s="91" t="s">
        <v>214</v>
      </c>
      <c r="L89" s="14" t="s">
        <v>7</v>
      </c>
      <c r="M89" s="14" t="s">
        <v>152</v>
      </c>
      <c r="N89" s="5">
        <v>0.4</v>
      </c>
      <c r="O89" s="556"/>
      <c r="P89" s="559"/>
      <c r="Q89" s="516"/>
      <c r="R89" s="519"/>
      <c r="S89" s="563"/>
      <c r="T89" s="507"/>
      <c r="U89" s="565"/>
      <c r="V89" s="125"/>
      <c r="W89" s="126"/>
      <c r="X89" s="52"/>
      <c r="Y89" s="44"/>
      <c r="Z89" s="44"/>
      <c r="AA89" s="2"/>
      <c r="AB89" s="56"/>
      <c r="AC89" s="56"/>
      <c r="AD89" s="56"/>
      <c r="AE89" s="56"/>
      <c r="AF89" s="45"/>
    </row>
    <row r="90" spans="2:32" ht="52.15" customHeight="1">
      <c r="B90" s="548"/>
      <c r="C90" s="551"/>
      <c r="D90" s="514"/>
      <c r="E90" s="514"/>
      <c r="F90" s="514"/>
      <c r="G90" s="514"/>
      <c r="H90" s="514"/>
      <c r="I90" s="514"/>
      <c r="J90" s="554"/>
      <c r="K90" s="92"/>
      <c r="L90" s="42"/>
      <c r="M90" s="42"/>
      <c r="N90" s="41"/>
      <c r="O90" s="557"/>
      <c r="P90" s="560"/>
      <c r="Q90" s="517"/>
      <c r="R90" s="520"/>
      <c r="S90" s="563"/>
      <c r="T90" s="508"/>
      <c r="U90" s="566"/>
      <c r="V90" s="125"/>
      <c r="W90" s="126"/>
      <c r="X90" s="52"/>
      <c r="Y90" s="44"/>
      <c r="Z90" s="44"/>
      <c r="AA90" s="2"/>
      <c r="AB90" s="56"/>
      <c r="AC90" s="56"/>
      <c r="AD90" s="56"/>
      <c r="AE90" s="56"/>
      <c r="AF90" s="45"/>
    </row>
    <row r="91" spans="2:32" ht="19.899999999999999" hidden="1" customHeight="1">
      <c r="B91" s="546" t="s">
        <v>192</v>
      </c>
      <c r="C91" s="549" t="s">
        <v>193</v>
      </c>
      <c r="D91" s="512" t="str">
        <f>HLOOKUP($J$1,$E$12:$I95,80,FALSE)</f>
        <v>제외</v>
      </c>
      <c r="E91" s="512" t="s">
        <v>212</v>
      </c>
      <c r="F91" s="512">
        <v>2</v>
      </c>
      <c r="G91" s="512">
        <v>2</v>
      </c>
      <c r="H91" s="512" t="s">
        <v>212</v>
      </c>
      <c r="I91" s="512" t="s">
        <v>212</v>
      </c>
      <c r="J91" s="567" t="s">
        <v>238</v>
      </c>
      <c r="K91" s="90" t="s">
        <v>24</v>
      </c>
      <c r="L91" s="88" t="s">
        <v>4</v>
      </c>
      <c r="M91" s="88" t="s">
        <v>239</v>
      </c>
      <c r="N91" s="89">
        <v>1</v>
      </c>
      <c r="O91" s="555"/>
      <c r="P91" s="570"/>
      <c r="Q91" s="518" t="s">
        <v>338</v>
      </c>
      <c r="R91" s="518" t="str">
        <f t="shared" si="12"/>
        <v>제외</v>
      </c>
      <c r="S91" s="563">
        <f t="shared" ref="S91" si="21">IFERROR(VLOOKUP(Q91,L91:N95,3,FALSE),0)</f>
        <v>0</v>
      </c>
      <c r="T91" s="506">
        <f>IFERROR(+R91*S91,0)</f>
        <v>0</v>
      </c>
      <c r="U91" s="564">
        <f t="shared" ref="U91" si="22">ROUND((T91/$D$97)*$J$97,4)</f>
        <v>0</v>
      </c>
      <c r="V91" s="123"/>
      <c r="W91" s="124"/>
      <c r="X91" s="52"/>
      <c r="Y91" s="44"/>
      <c r="Z91" s="44"/>
      <c r="AA91" s="2"/>
      <c r="AB91" s="56"/>
      <c r="AC91" s="56"/>
      <c r="AD91" s="56"/>
      <c r="AE91" s="56"/>
      <c r="AF91" s="48"/>
    </row>
    <row r="92" spans="2:32" ht="19.899999999999999" hidden="1" customHeight="1">
      <c r="B92" s="547"/>
      <c r="C92" s="550"/>
      <c r="D92" s="513"/>
      <c r="E92" s="513"/>
      <c r="F92" s="513"/>
      <c r="G92" s="513"/>
      <c r="H92" s="513"/>
      <c r="I92" s="513"/>
      <c r="J92" s="568"/>
      <c r="K92" s="91" t="s">
        <v>214</v>
      </c>
      <c r="L92" s="14" t="s">
        <v>5</v>
      </c>
      <c r="M92" s="14" t="s">
        <v>240</v>
      </c>
      <c r="N92" s="5">
        <v>0.8</v>
      </c>
      <c r="O92" s="556"/>
      <c r="P92" s="571"/>
      <c r="Q92" s="519"/>
      <c r="R92" s="519"/>
      <c r="S92" s="563"/>
      <c r="T92" s="507"/>
      <c r="U92" s="565"/>
      <c r="V92" s="123"/>
      <c r="W92" s="124"/>
      <c r="X92" s="52"/>
      <c r="Y92" s="44"/>
      <c r="Z92" s="44"/>
      <c r="AA92" s="2"/>
      <c r="AB92" s="56"/>
      <c r="AC92" s="56"/>
      <c r="AD92" s="56"/>
      <c r="AE92" s="56"/>
      <c r="AF92" s="48"/>
    </row>
    <row r="93" spans="2:32" ht="19.899999999999999" hidden="1" customHeight="1">
      <c r="B93" s="547"/>
      <c r="C93" s="550"/>
      <c r="D93" s="513"/>
      <c r="E93" s="513"/>
      <c r="F93" s="513"/>
      <c r="G93" s="513"/>
      <c r="H93" s="513"/>
      <c r="I93" s="513"/>
      <c r="J93" s="568"/>
      <c r="K93" s="91" t="s">
        <v>214</v>
      </c>
      <c r="L93" s="14" t="s">
        <v>6</v>
      </c>
      <c r="M93" s="14" t="s">
        <v>241</v>
      </c>
      <c r="N93" s="5">
        <v>0.6</v>
      </c>
      <c r="O93" s="556"/>
      <c r="P93" s="571"/>
      <c r="Q93" s="519"/>
      <c r="R93" s="519"/>
      <c r="S93" s="563"/>
      <c r="T93" s="507"/>
      <c r="U93" s="565"/>
      <c r="V93" s="125"/>
      <c r="W93" s="126"/>
      <c r="X93" s="52"/>
      <c r="Y93" s="44"/>
      <c r="Z93" s="44"/>
      <c r="AA93" s="2"/>
      <c r="AB93" s="56"/>
      <c r="AC93" s="56"/>
      <c r="AD93" s="56"/>
      <c r="AE93" s="56"/>
      <c r="AF93" s="45"/>
    </row>
    <row r="94" spans="2:32" ht="19.5" hidden="1" customHeight="1">
      <c r="B94" s="547"/>
      <c r="C94" s="550"/>
      <c r="D94" s="513"/>
      <c r="E94" s="513"/>
      <c r="F94" s="513"/>
      <c r="G94" s="513"/>
      <c r="H94" s="513"/>
      <c r="I94" s="513"/>
      <c r="J94" s="568"/>
      <c r="K94" s="91" t="s">
        <v>214</v>
      </c>
      <c r="L94" s="14" t="s">
        <v>7</v>
      </c>
      <c r="M94" s="14" t="s">
        <v>242</v>
      </c>
      <c r="N94" s="5">
        <v>0.4</v>
      </c>
      <c r="O94" s="556"/>
      <c r="P94" s="571"/>
      <c r="Q94" s="519"/>
      <c r="R94" s="519"/>
      <c r="S94" s="563"/>
      <c r="T94" s="507"/>
      <c r="U94" s="565"/>
      <c r="V94" s="125"/>
      <c r="W94" s="126"/>
      <c r="X94" s="52"/>
      <c r="Y94" s="44"/>
      <c r="Z94" s="44"/>
      <c r="AA94" s="2"/>
      <c r="AB94" s="56"/>
      <c r="AC94" s="56"/>
      <c r="AD94" s="56"/>
      <c r="AE94" s="56"/>
      <c r="AF94" s="45"/>
    </row>
    <row r="95" spans="2:32" ht="19.899999999999999" hidden="1" customHeight="1">
      <c r="B95" s="548"/>
      <c r="C95" s="551"/>
      <c r="D95" s="514"/>
      <c r="E95" s="514"/>
      <c r="F95" s="514"/>
      <c r="G95" s="514"/>
      <c r="H95" s="514"/>
      <c r="I95" s="514"/>
      <c r="J95" s="569"/>
      <c r="K95" s="92"/>
      <c r="L95" s="42"/>
      <c r="M95" s="42"/>
      <c r="N95" s="41"/>
      <c r="O95" s="557"/>
      <c r="P95" s="572"/>
      <c r="Q95" s="520"/>
      <c r="R95" s="520"/>
      <c r="S95" s="563"/>
      <c r="T95" s="508"/>
      <c r="U95" s="566"/>
      <c r="V95" s="125"/>
      <c r="W95" s="126"/>
      <c r="X95" s="52"/>
      <c r="Y95" s="44"/>
      <c r="Z95" s="44"/>
      <c r="AA95" s="2"/>
      <c r="AB95" s="56"/>
      <c r="AC95" s="56"/>
      <c r="AD95" s="56"/>
      <c r="AE95" s="56"/>
      <c r="AF95" s="45"/>
    </row>
    <row r="96" spans="2:32" ht="4.9000000000000004" customHeight="1">
      <c r="B96" s="81"/>
      <c r="C96" s="82"/>
      <c r="D96" s="83"/>
      <c r="E96" s="83"/>
      <c r="F96" s="83"/>
      <c r="G96" s="83"/>
      <c r="H96" s="83"/>
      <c r="I96" s="83"/>
      <c r="J96" s="84"/>
      <c r="K96" s="3"/>
      <c r="O96" s="68"/>
      <c r="P96" s="196"/>
      <c r="Q96" s="85"/>
      <c r="R96" s="85"/>
      <c r="S96" s="85"/>
      <c r="T96" s="86"/>
      <c r="U96" s="86"/>
      <c r="V96" s="125"/>
      <c r="W96" s="126"/>
      <c r="X96" s="52"/>
      <c r="Y96" s="44"/>
      <c r="Z96" s="44"/>
      <c r="AA96" s="2"/>
      <c r="AB96" s="43"/>
      <c r="AC96" s="43"/>
      <c r="AD96" s="43"/>
      <c r="AE96" s="43"/>
      <c r="AF96" s="45"/>
    </row>
    <row r="97" spans="2:32" ht="25.15" customHeight="1">
      <c r="B97" s="561" t="s">
        <v>52</v>
      </c>
      <c r="C97" s="561"/>
      <c r="D97" s="73">
        <f>SUM(D56:D95)</f>
        <v>23</v>
      </c>
      <c r="E97" s="73">
        <f t="shared" ref="E97:I97" si="23">SUM(E56:E95)</f>
        <v>23</v>
      </c>
      <c r="F97" s="73">
        <f t="shared" si="23"/>
        <v>29</v>
      </c>
      <c r="G97" s="73">
        <f t="shared" si="23"/>
        <v>29</v>
      </c>
      <c r="H97" s="73">
        <f t="shared" si="23"/>
        <v>27</v>
      </c>
      <c r="I97" s="73">
        <f t="shared" si="23"/>
        <v>27</v>
      </c>
      <c r="J97" s="110">
        <v>30</v>
      </c>
      <c r="K97" s="72"/>
      <c r="L97" s="75"/>
      <c r="M97" s="76"/>
      <c r="N97" s="77"/>
      <c r="O97" s="74"/>
      <c r="P97" s="197"/>
      <c r="Q97" s="80"/>
      <c r="R97" s="80"/>
      <c r="S97" s="80"/>
      <c r="T97" s="117">
        <f>ROUND(SUM(T56:T95),2)</f>
        <v>0</v>
      </c>
      <c r="U97" s="115">
        <f>ROUND(SUM(U56:U95),2)</f>
        <v>0</v>
      </c>
      <c r="V97" s="121"/>
      <c r="W97" s="122"/>
      <c r="X97" s="95"/>
      <c r="Y97" s="97"/>
      <c r="Z97" s="78"/>
      <c r="AA97" s="78"/>
      <c r="AB97" s="78"/>
      <c r="AC97" s="78"/>
      <c r="AD97" s="78"/>
      <c r="AE97" s="78"/>
    </row>
    <row r="98" spans="2:32" ht="19.899999999999999" customHeight="1">
      <c r="V98" s="121"/>
      <c r="W98" s="122"/>
    </row>
    <row r="99" spans="2:32" ht="31.5">
      <c r="B99" s="175" t="s">
        <v>58</v>
      </c>
      <c r="C99" s="39" t="s">
        <v>59</v>
      </c>
      <c r="D99" s="4"/>
      <c r="E99" s="4"/>
      <c r="F99" s="4"/>
      <c r="G99" s="4"/>
      <c r="H99" s="4"/>
      <c r="I99" s="4"/>
      <c r="J99" s="4"/>
      <c r="K99" s="3"/>
      <c r="O99" s="525"/>
      <c r="P99" s="526"/>
      <c r="Q99" s="116">
        <f>U134</f>
        <v>7.8</v>
      </c>
      <c r="R99" s="112"/>
      <c r="S99" s="112"/>
      <c r="T99" s="113" t="s">
        <v>23</v>
      </c>
      <c r="U99" s="114">
        <f>J134</f>
        <v>15</v>
      </c>
      <c r="V99" s="121"/>
      <c r="W99" s="122"/>
      <c r="X99" s="562"/>
      <c r="Y99" s="562"/>
      <c r="Z99" s="37"/>
      <c r="AA99" s="37"/>
      <c r="AB99" s="37"/>
      <c r="AC99" s="37"/>
      <c r="AD99" s="37"/>
      <c r="AE99" s="37"/>
    </row>
    <row r="100" spans="2:32" ht="4.9000000000000004" customHeight="1">
      <c r="B100" s="47"/>
      <c r="C100" s="8"/>
      <c r="D100" s="4"/>
      <c r="E100" s="4"/>
      <c r="F100" s="4"/>
      <c r="G100" s="4"/>
      <c r="H100" s="4"/>
      <c r="I100" s="4"/>
      <c r="J100" s="4"/>
      <c r="K100" s="9"/>
      <c r="L100" s="8"/>
      <c r="O100" s="527"/>
      <c r="P100" s="527"/>
      <c r="Q100" s="2"/>
      <c r="R100" s="2"/>
      <c r="S100" s="2"/>
      <c r="V100" s="121"/>
      <c r="W100" s="122"/>
      <c r="X100" s="527"/>
      <c r="Y100" s="527"/>
      <c r="Z100" s="40"/>
      <c r="AA100" s="40"/>
      <c r="AB100" s="40"/>
      <c r="AC100" s="40"/>
      <c r="AD100" s="40"/>
      <c r="AE100" s="40"/>
    </row>
    <row r="101" spans="2:32" ht="25.15" customHeight="1">
      <c r="B101" s="528" t="s">
        <v>12</v>
      </c>
      <c r="C101" s="529"/>
      <c r="D101" s="67" t="s">
        <v>3</v>
      </c>
      <c r="E101" s="67" t="str">
        <f>E$12</f>
        <v>신축 비주거-일반건축물</v>
      </c>
      <c r="F101" s="67" t="str">
        <f t="shared" ref="F101:I101" si="24">F$12</f>
        <v>신축 비주거-업무용건축물</v>
      </c>
      <c r="G101" s="67" t="str">
        <f t="shared" si="24"/>
        <v>신축 비주거-학교</v>
      </c>
      <c r="H101" s="67" t="str">
        <f t="shared" si="24"/>
        <v>신축 비주거-판매시설</v>
      </c>
      <c r="I101" s="67" t="str">
        <f t="shared" si="24"/>
        <v>신축 비주거-숙박시설</v>
      </c>
      <c r="J101" s="67" t="s">
        <v>37</v>
      </c>
      <c r="K101" s="530" t="s">
        <v>36</v>
      </c>
      <c r="L101" s="531"/>
      <c r="M101" s="531"/>
      <c r="N101" s="528"/>
      <c r="O101" s="532" t="s">
        <v>132</v>
      </c>
      <c r="P101" s="533"/>
      <c r="Q101" s="66" t="str">
        <f>Q$12</f>
        <v>등급</v>
      </c>
      <c r="R101" s="66" t="str">
        <f>R$12</f>
        <v>배점</v>
      </c>
      <c r="S101" s="66" t="str">
        <f>S$12</f>
        <v>가중치</v>
      </c>
      <c r="T101" s="66" t="str">
        <f>T$12</f>
        <v>평점</v>
      </c>
      <c r="U101" s="66" t="str">
        <f>U$12</f>
        <v>환산점</v>
      </c>
      <c r="V101" s="121"/>
      <c r="W101" s="122"/>
      <c r="X101" s="534" t="s">
        <v>45</v>
      </c>
      <c r="Y101" s="535"/>
      <c r="Z101" s="535"/>
      <c r="AA101" s="130"/>
      <c r="AB101" s="535" t="s">
        <v>133</v>
      </c>
      <c r="AC101" s="535"/>
      <c r="AD101" s="535"/>
      <c r="AE101" s="535"/>
    </row>
    <row r="102" spans="2:32" ht="4.9000000000000004" customHeight="1" thickBot="1">
      <c r="B102" s="47"/>
      <c r="C102" s="9"/>
      <c r="D102" s="4"/>
      <c r="E102" s="4"/>
      <c r="F102" s="4"/>
      <c r="G102" s="4"/>
      <c r="H102" s="4"/>
      <c r="I102" s="4"/>
      <c r="J102" s="4"/>
      <c r="K102" s="9"/>
      <c r="L102" s="8"/>
      <c r="O102" s="40"/>
      <c r="P102" s="192"/>
      <c r="Q102" s="2"/>
      <c r="R102" s="2"/>
      <c r="S102" s="2"/>
      <c r="V102" s="121"/>
      <c r="W102" s="122"/>
      <c r="X102" s="51"/>
      <c r="Y102" s="40"/>
      <c r="Z102" s="40"/>
      <c r="AA102" s="40"/>
      <c r="AB102" s="40"/>
      <c r="AC102" s="40"/>
      <c r="AD102" s="40"/>
      <c r="AE102" s="40"/>
    </row>
    <row r="103" spans="2:32" ht="19.899999999999999" customHeight="1" thickBot="1">
      <c r="B103" s="546" t="s">
        <v>60</v>
      </c>
      <c r="C103" s="549" t="s">
        <v>66</v>
      </c>
      <c r="D103" s="512">
        <f>HLOOKUP($J$1,$E$12:$I107,92,FALSE)</f>
        <v>4</v>
      </c>
      <c r="E103" s="512">
        <v>4</v>
      </c>
      <c r="F103" s="512">
        <v>4</v>
      </c>
      <c r="G103" s="512">
        <v>4</v>
      </c>
      <c r="H103" s="512">
        <v>4</v>
      </c>
      <c r="I103" s="512">
        <v>4</v>
      </c>
      <c r="J103" s="552" t="s">
        <v>243</v>
      </c>
      <c r="K103" s="90" t="s">
        <v>24</v>
      </c>
      <c r="L103" s="88" t="s">
        <v>4</v>
      </c>
      <c r="M103" s="88" t="s">
        <v>153</v>
      </c>
      <c r="N103" s="89">
        <v>1</v>
      </c>
      <c r="O103" s="555"/>
      <c r="P103" s="573" t="e">
        <f>'#1 - 메인 UI'!#REF!</f>
        <v>#REF!</v>
      </c>
      <c r="Q103" s="515" t="s">
        <v>364</v>
      </c>
      <c r="R103" s="518">
        <f t="shared" ref="R103:R123" si="25">D103</f>
        <v>4</v>
      </c>
      <c r="S103" s="563">
        <f t="shared" ref="S103" si="26">IFERROR(VLOOKUP(Q103,L103:N107,3,FALSE),0)</f>
        <v>0.8</v>
      </c>
      <c r="T103" s="506">
        <f>IFERROR(+R103*S103,0)</f>
        <v>3.2</v>
      </c>
      <c r="U103" s="564">
        <f>ROUND((T103/$D$134)*$J$134,4)</f>
        <v>3.2</v>
      </c>
      <c r="V103" s="123"/>
      <c r="W103" s="124"/>
      <c r="X103" s="71" t="s">
        <v>397</v>
      </c>
      <c r="Y103" s="69" t="e">
        <f>'#1 - 메인 UI'!#REF!</f>
        <v>#REF!</v>
      </c>
      <c r="Z103" s="70" t="e">
        <f>'#1 - 메인 UI'!#REF!</f>
        <v>#REF!</v>
      </c>
      <c r="AA103" s="134" t="e">
        <f>VLOOKUP(Z103,데이터유효성!$B$2:$C$5,2,FALSE)</f>
        <v>#REF!</v>
      </c>
      <c r="AB103" s="49">
        <v>0.25</v>
      </c>
      <c r="AC103" s="49">
        <v>0.5</v>
      </c>
      <c r="AD103" s="49">
        <v>0.75</v>
      </c>
      <c r="AE103" s="49">
        <v>1</v>
      </c>
      <c r="AF103" s="48"/>
    </row>
    <row r="104" spans="2:32" ht="19.899999999999999" customHeight="1" thickBot="1">
      <c r="B104" s="547"/>
      <c r="C104" s="550"/>
      <c r="D104" s="513"/>
      <c r="E104" s="513"/>
      <c r="F104" s="513"/>
      <c r="G104" s="513"/>
      <c r="H104" s="513"/>
      <c r="I104" s="513"/>
      <c r="J104" s="553"/>
      <c r="K104" s="91" t="s">
        <v>214</v>
      </c>
      <c r="L104" s="14" t="s">
        <v>5</v>
      </c>
      <c r="M104" s="14" t="s">
        <v>154</v>
      </c>
      <c r="N104" s="5">
        <v>0.8</v>
      </c>
      <c r="O104" s="556"/>
      <c r="P104" s="574"/>
      <c r="Q104" s="516"/>
      <c r="R104" s="519"/>
      <c r="S104" s="563"/>
      <c r="T104" s="507"/>
      <c r="U104" s="565"/>
      <c r="V104" s="123"/>
      <c r="W104" s="124"/>
      <c r="X104" s="71" t="s">
        <v>398</v>
      </c>
      <c r="Y104" s="69" t="e">
        <f>'#1 - 메인 UI'!#REF!</f>
        <v>#REF!</v>
      </c>
      <c r="Z104" s="70" t="e">
        <f>'#1 - 메인 UI'!#REF!</f>
        <v>#REF!</v>
      </c>
      <c r="AA104" s="134" t="e">
        <f>VLOOKUP(Z104,데이터유효성!$B$2:$C$5,2,FALSE)</f>
        <v>#REF!</v>
      </c>
      <c r="AB104" s="49">
        <v>0.25</v>
      </c>
      <c r="AC104" s="49">
        <v>0.5</v>
      </c>
      <c r="AD104" s="49">
        <v>0.75</v>
      </c>
      <c r="AE104" s="49">
        <v>1</v>
      </c>
      <c r="AF104" s="48"/>
    </row>
    <row r="105" spans="2:32" ht="19.899999999999999" customHeight="1">
      <c r="B105" s="547"/>
      <c r="C105" s="550"/>
      <c r="D105" s="513"/>
      <c r="E105" s="513"/>
      <c r="F105" s="513"/>
      <c r="G105" s="513"/>
      <c r="H105" s="513"/>
      <c r="I105" s="513"/>
      <c r="J105" s="553"/>
      <c r="K105" s="91" t="s">
        <v>214</v>
      </c>
      <c r="L105" s="14" t="s">
        <v>6</v>
      </c>
      <c r="M105" s="14" t="s">
        <v>155</v>
      </c>
      <c r="N105" s="5">
        <v>0.6</v>
      </c>
      <c r="O105" s="556"/>
      <c r="P105" s="574"/>
      <c r="Q105" s="516"/>
      <c r="R105" s="519"/>
      <c r="S105" s="563"/>
      <c r="T105" s="507"/>
      <c r="U105" s="565"/>
      <c r="V105" s="125"/>
      <c r="W105" s="126"/>
      <c r="X105" s="52"/>
      <c r="Y105" s="44"/>
      <c r="Z105" s="44"/>
      <c r="AA105" s="2"/>
      <c r="AB105" s="44"/>
      <c r="AC105" s="44"/>
      <c r="AD105" s="44"/>
      <c r="AE105" s="44"/>
      <c r="AF105" s="45"/>
    </row>
    <row r="106" spans="2:32" ht="19.899999999999999" customHeight="1">
      <c r="B106" s="547"/>
      <c r="C106" s="550"/>
      <c r="D106" s="513"/>
      <c r="E106" s="513"/>
      <c r="F106" s="513"/>
      <c r="G106" s="513"/>
      <c r="H106" s="513"/>
      <c r="I106" s="513"/>
      <c r="J106" s="553"/>
      <c r="K106" s="91" t="s">
        <v>214</v>
      </c>
      <c r="L106" s="14" t="s">
        <v>7</v>
      </c>
      <c r="M106" s="14" t="s">
        <v>156</v>
      </c>
      <c r="N106" s="5">
        <v>0.4</v>
      </c>
      <c r="O106" s="556"/>
      <c r="P106" s="574"/>
      <c r="Q106" s="516"/>
      <c r="R106" s="519"/>
      <c r="S106" s="563"/>
      <c r="T106" s="507"/>
      <c r="U106" s="565"/>
      <c r="V106" s="125"/>
      <c r="W106" s="126"/>
      <c r="X106" s="52"/>
      <c r="Y106" s="44"/>
      <c r="Z106" s="44"/>
      <c r="AA106" s="2"/>
      <c r="AB106" s="44"/>
      <c r="AC106" s="44"/>
      <c r="AD106" s="44"/>
      <c r="AE106" s="44"/>
      <c r="AF106" s="45"/>
    </row>
    <row r="107" spans="2:32" ht="120" customHeight="1" thickBot="1">
      <c r="B107" s="548"/>
      <c r="C107" s="551"/>
      <c r="D107" s="514"/>
      <c r="E107" s="514"/>
      <c r="F107" s="514"/>
      <c r="G107" s="514"/>
      <c r="H107" s="514"/>
      <c r="I107" s="514"/>
      <c r="J107" s="554"/>
      <c r="K107" s="92"/>
      <c r="L107" s="42"/>
      <c r="M107" s="42"/>
      <c r="N107" s="41"/>
      <c r="O107" s="557"/>
      <c r="P107" s="575"/>
      <c r="Q107" s="517"/>
      <c r="R107" s="520"/>
      <c r="S107" s="563"/>
      <c r="T107" s="508"/>
      <c r="U107" s="566"/>
      <c r="V107" s="125"/>
      <c r="W107" s="126"/>
      <c r="X107" s="52"/>
      <c r="Y107" s="44"/>
      <c r="Z107" s="44"/>
      <c r="AA107" s="2"/>
      <c r="AB107" s="44"/>
      <c r="AC107" s="44"/>
      <c r="AD107" s="44"/>
      <c r="AE107" s="44"/>
      <c r="AF107" s="45"/>
    </row>
    <row r="108" spans="2:32" ht="19.899999999999999" customHeight="1" thickBot="1">
      <c r="B108" s="546" t="s">
        <v>61</v>
      </c>
      <c r="C108" s="549" t="s">
        <v>67</v>
      </c>
      <c r="D108" s="512">
        <f>HLOOKUP($J$1,$E$12:$I112,97,FALSE)</f>
        <v>2</v>
      </c>
      <c r="E108" s="512">
        <v>2</v>
      </c>
      <c r="F108" s="512">
        <v>2</v>
      </c>
      <c r="G108" s="512">
        <v>2</v>
      </c>
      <c r="H108" s="512">
        <v>2</v>
      </c>
      <c r="I108" s="512">
        <v>2</v>
      </c>
      <c r="J108" s="552" t="s">
        <v>161</v>
      </c>
      <c r="K108" s="90" t="s">
        <v>24</v>
      </c>
      <c r="L108" s="88" t="s">
        <v>4</v>
      </c>
      <c r="M108" s="88" t="s">
        <v>157</v>
      </c>
      <c r="N108" s="89">
        <v>1</v>
      </c>
      <c r="O108" s="555"/>
      <c r="P108" s="573" t="e">
        <f>'#1 - 메인 UI'!#REF!</f>
        <v>#REF!</v>
      </c>
      <c r="Q108" s="515" t="s">
        <v>364</v>
      </c>
      <c r="R108" s="518">
        <f t="shared" ref="R108" si="27">D108</f>
        <v>2</v>
      </c>
      <c r="S108" s="563">
        <f t="shared" ref="S108" si="28">IFERROR(VLOOKUP(Q108,L108:N112,3,FALSE),0)</f>
        <v>0.8</v>
      </c>
      <c r="T108" s="506">
        <f>IFERROR(+R108*S108,0)</f>
        <v>1.6</v>
      </c>
      <c r="U108" s="564">
        <f t="shared" ref="U108" si="29">ROUND((T108/$D$134)*$J$134,4)</f>
        <v>1.6</v>
      </c>
      <c r="V108" s="123"/>
      <c r="W108" s="124"/>
      <c r="X108" s="71" t="s">
        <v>399</v>
      </c>
      <c r="Y108" s="69" t="e">
        <f>'#1 - 메인 UI'!#REF!</f>
        <v>#REF!</v>
      </c>
      <c r="Z108" s="70" t="e">
        <f>'#1 - 메인 UI'!#REF!</f>
        <v>#REF!</v>
      </c>
      <c r="AA108" s="134" t="e">
        <f>VLOOKUP(Z108,데이터유효성!$B$2:$C$5,2,FALSE)</f>
        <v>#REF!</v>
      </c>
      <c r="AB108" s="49">
        <v>0.25</v>
      </c>
      <c r="AC108" s="49">
        <v>0.5</v>
      </c>
      <c r="AD108" s="49">
        <v>0.75</v>
      </c>
      <c r="AE108" s="49">
        <v>1</v>
      </c>
      <c r="AF108" s="48"/>
    </row>
    <row r="109" spans="2:32" ht="19.899999999999999" customHeight="1" thickBot="1">
      <c r="B109" s="547"/>
      <c r="C109" s="550"/>
      <c r="D109" s="513"/>
      <c r="E109" s="513"/>
      <c r="F109" s="513"/>
      <c r="G109" s="513"/>
      <c r="H109" s="513"/>
      <c r="I109" s="513"/>
      <c r="J109" s="553"/>
      <c r="K109" s="91" t="s">
        <v>214</v>
      </c>
      <c r="L109" s="14" t="s">
        <v>5</v>
      </c>
      <c r="M109" s="14" t="s">
        <v>158</v>
      </c>
      <c r="N109" s="5">
        <v>0.8</v>
      </c>
      <c r="O109" s="556"/>
      <c r="P109" s="574"/>
      <c r="Q109" s="516"/>
      <c r="R109" s="519"/>
      <c r="S109" s="563"/>
      <c r="T109" s="507"/>
      <c r="U109" s="565"/>
      <c r="V109" s="123"/>
      <c r="W109" s="124"/>
      <c r="X109" s="71" t="s">
        <v>400</v>
      </c>
      <c r="Y109" s="69" t="e">
        <f>'#1 - 메인 UI'!#REF!</f>
        <v>#REF!</v>
      </c>
      <c r="Z109" s="70" t="e">
        <f>'#1 - 메인 UI'!#REF!</f>
        <v>#REF!</v>
      </c>
      <c r="AA109" s="134" t="e">
        <f>VLOOKUP(Z109,데이터유효성!$B$2:$C$5,2,FALSE)</f>
        <v>#REF!</v>
      </c>
      <c r="AB109" s="49">
        <v>0.25</v>
      </c>
      <c r="AC109" s="49">
        <v>0.5</v>
      </c>
      <c r="AD109" s="49">
        <v>0.75</v>
      </c>
      <c r="AE109" s="49">
        <v>1</v>
      </c>
      <c r="AF109" s="48"/>
    </row>
    <row r="110" spans="2:32" ht="19.899999999999999" customHeight="1">
      <c r="B110" s="547"/>
      <c r="C110" s="550"/>
      <c r="D110" s="513"/>
      <c r="E110" s="513"/>
      <c r="F110" s="513"/>
      <c r="G110" s="513"/>
      <c r="H110" s="513"/>
      <c r="I110" s="513"/>
      <c r="J110" s="553"/>
      <c r="K110" s="91" t="s">
        <v>214</v>
      </c>
      <c r="L110" s="14" t="s">
        <v>6</v>
      </c>
      <c r="M110" s="14" t="s">
        <v>159</v>
      </c>
      <c r="N110" s="5">
        <v>0.6</v>
      </c>
      <c r="O110" s="556"/>
      <c r="P110" s="574"/>
      <c r="Q110" s="516"/>
      <c r="R110" s="519"/>
      <c r="S110" s="563"/>
      <c r="T110" s="507"/>
      <c r="U110" s="565"/>
      <c r="V110" s="125"/>
      <c r="W110" s="126"/>
      <c r="X110" s="52"/>
      <c r="Y110" s="44"/>
      <c r="Z110" s="44"/>
      <c r="AA110" s="2"/>
      <c r="AB110" s="44"/>
      <c r="AC110" s="44"/>
      <c r="AD110" s="44"/>
      <c r="AE110" s="44"/>
      <c r="AF110" s="45"/>
    </row>
    <row r="111" spans="2:32" ht="19.899999999999999" customHeight="1">
      <c r="B111" s="547"/>
      <c r="C111" s="550"/>
      <c r="D111" s="513"/>
      <c r="E111" s="513"/>
      <c r="F111" s="513"/>
      <c r="G111" s="513"/>
      <c r="H111" s="513"/>
      <c r="I111" s="513"/>
      <c r="J111" s="553"/>
      <c r="K111" s="91" t="s">
        <v>214</v>
      </c>
      <c r="L111" s="14" t="s">
        <v>7</v>
      </c>
      <c r="M111" s="14" t="s">
        <v>160</v>
      </c>
      <c r="N111" s="5">
        <v>0.4</v>
      </c>
      <c r="O111" s="556"/>
      <c r="P111" s="574"/>
      <c r="Q111" s="516"/>
      <c r="R111" s="519"/>
      <c r="S111" s="563"/>
      <c r="T111" s="507"/>
      <c r="U111" s="565"/>
      <c r="V111" s="125"/>
      <c r="W111" s="126"/>
      <c r="X111" s="52"/>
      <c r="Y111" s="44"/>
      <c r="Z111" s="44"/>
      <c r="AA111" s="2"/>
      <c r="AB111" s="44"/>
      <c r="AC111" s="44"/>
      <c r="AD111" s="44"/>
      <c r="AE111" s="44"/>
      <c r="AF111" s="45"/>
    </row>
    <row r="112" spans="2:32" ht="100.15" customHeight="1" thickBot="1">
      <c r="B112" s="548"/>
      <c r="C112" s="551"/>
      <c r="D112" s="514"/>
      <c r="E112" s="514"/>
      <c r="F112" s="514"/>
      <c r="G112" s="514"/>
      <c r="H112" s="514"/>
      <c r="I112" s="514"/>
      <c r="J112" s="554"/>
      <c r="K112" s="92"/>
      <c r="L112" s="42"/>
      <c r="M112" s="42"/>
      <c r="N112" s="41"/>
      <c r="O112" s="557"/>
      <c r="P112" s="575"/>
      <c r="Q112" s="517"/>
      <c r="R112" s="520"/>
      <c r="S112" s="563"/>
      <c r="T112" s="508"/>
      <c r="U112" s="566"/>
      <c r="V112" s="125"/>
      <c r="W112" s="126"/>
      <c r="X112" s="52"/>
      <c r="Y112" s="44"/>
      <c r="Z112" s="44"/>
      <c r="AA112" s="2"/>
      <c r="AB112" s="56"/>
      <c r="AC112" s="56"/>
      <c r="AD112" s="56"/>
      <c r="AE112" s="56"/>
      <c r="AF112" s="45"/>
    </row>
    <row r="113" spans="2:32" ht="19.899999999999999" customHeight="1" thickBot="1">
      <c r="B113" s="546" t="s">
        <v>62</v>
      </c>
      <c r="C113" s="549" t="s">
        <v>68</v>
      </c>
      <c r="D113" s="512">
        <f>HLOOKUP($J$1,$E$12:$I117,102,FALSE)</f>
        <v>2</v>
      </c>
      <c r="E113" s="512">
        <v>2</v>
      </c>
      <c r="F113" s="512">
        <v>2</v>
      </c>
      <c r="G113" s="512">
        <v>2</v>
      </c>
      <c r="H113" s="512">
        <v>2</v>
      </c>
      <c r="I113" s="512">
        <v>2</v>
      </c>
      <c r="J113" s="552" t="s">
        <v>162</v>
      </c>
      <c r="K113" s="90" t="s">
        <v>24</v>
      </c>
      <c r="L113" s="88" t="s">
        <v>4</v>
      </c>
      <c r="M113" s="88" t="s">
        <v>163</v>
      </c>
      <c r="N113" s="89">
        <v>1</v>
      </c>
      <c r="O113" s="555"/>
      <c r="P113" s="558" t="e">
        <f>'#1 - 메인 UI'!#REF!</f>
        <v>#REF!</v>
      </c>
      <c r="Q113" s="515" t="s">
        <v>6</v>
      </c>
      <c r="R113" s="518">
        <f t="shared" si="25"/>
        <v>2</v>
      </c>
      <c r="S113" s="563">
        <f t="shared" ref="S113" si="30">IFERROR(VLOOKUP(Q113,L113:N117,3,FALSE),0)</f>
        <v>0.6</v>
      </c>
      <c r="T113" s="506">
        <f>IFERROR(+R113*S113,0)</f>
        <v>1.2</v>
      </c>
      <c r="U113" s="564">
        <f t="shared" ref="U113" si="31">ROUND((T113/$D$134)*$J$134,4)</f>
        <v>1.2</v>
      </c>
      <c r="V113" s="123"/>
      <c r="W113" s="124"/>
      <c r="X113" s="71" t="s">
        <v>401</v>
      </c>
      <c r="Y113" s="69" t="e">
        <f>'#1 - 메인 UI'!#REF!</f>
        <v>#REF!</v>
      </c>
      <c r="Z113" s="70" t="e">
        <f>'#1 - 메인 UI'!#REF!</f>
        <v>#REF!</v>
      </c>
      <c r="AA113" s="134" t="e">
        <f>VLOOKUP(Z113,데이터유효성!$B$2:$C$5,2,FALSE)</f>
        <v>#REF!</v>
      </c>
      <c r="AB113" s="49">
        <v>0.25</v>
      </c>
      <c r="AC113" s="49">
        <v>0.5</v>
      </c>
      <c r="AD113" s="49">
        <v>0.75</v>
      </c>
      <c r="AE113" s="49">
        <v>1</v>
      </c>
      <c r="AF113" s="48"/>
    </row>
    <row r="114" spans="2:32" ht="19.899999999999999" customHeight="1" thickBot="1">
      <c r="B114" s="547"/>
      <c r="C114" s="550"/>
      <c r="D114" s="513"/>
      <c r="E114" s="513"/>
      <c r="F114" s="513"/>
      <c r="G114" s="513"/>
      <c r="H114" s="513"/>
      <c r="I114" s="513"/>
      <c r="J114" s="553"/>
      <c r="K114" s="91" t="s">
        <v>214</v>
      </c>
      <c r="L114" s="14" t="s">
        <v>5</v>
      </c>
      <c r="M114" s="14" t="s">
        <v>164</v>
      </c>
      <c r="N114" s="5">
        <v>0.8</v>
      </c>
      <c r="O114" s="556"/>
      <c r="P114" s="559"/>
      <c r="Q114" s="516"/>
      <c r="R114" s="519"/>
      <c r="S114" s="563"/>
      <c r="T114" s="507"/>
      <c r="U114" s="565"/>
      <c r="V114" s="123"/>
      <c r="W114" s="124"/>
      <c r="X114" s="71" t="s">
        <v>402</v>
      </c>
      <c r="Y114" s="69" t="e">
        <f>'#1 - 메인 UI'!#REF!</f>
        <v>#REF!</v>
      </c>
      <c r="Z114" s="70" t="e">
        <f>'#1 - 메인 UI'!#REF!</f>
        <v>#REF!</v>
      </c>
      <c r="AA114" s="134" t="e">
        <f>VLOOKUP(Z114,데이터유효성!$B$2:$C$5,2,FALSE)</f>
        <v>#REF!</v>
      </c>
      <c r="AB114" s="49">
        <v>0.25</v>
      </c>
      <c r="AC114" s="49">
        <v>0.5</v>
      </c>
      <c r="AD114" s="49">
        <v>0.75</v>
      </c>
      <c r="AE114" s="49">
        <v>1</v>
      </c>
      <c r="AF114" s="48"/>
    </row>
    <row r="115" spans="2:32" ht="19.899999999999999" customHeight="1">
      <c r="B115" s="547"/>
      <c r="C115" s="550"/>
      <c r="D115" s="513"/>
      <c r="E115" s="513"/>
      <c r="F115" s="513"/>
      <c r="G115" s="513"/>
      <c r="H115" s="513"/>
      <c r="I115" s="513"/>
      <c r="J115" s="553"/>
      <c r="K115" s="91" t="s">
        <v>214</v>
      </c>
      <c r="L115" s="14" t="s">
        <v>6</v>
      </c>
      <c r="M115" s="14" t="s">
        <v>165</v>
      </c>
      <c r="N115" s="5">
        <v>0.6</v>
      </c>
      <c r="O115" s="556"/>
      <c r="P115" s="559"/>
      <c r="Q115" s="516"/>
      <c r="R115" s="519"/>
      <c r="S115" s="563"/>
      <c r="T115" s="507"/>
      <c r="U115" s="565"/>
      <c r="V115" s="125"/>
      <c r="W115" s="126"/>
      <c r="X115" s="52"/>
      <c r="Y115" s="44"/>
      <c r="Z115" s="44"/>
      <c r="AA115" s="2"/>
      <c r="AB115" s="44"/>
      <c r="AC115" s="44"/>
      <c r="AD115" s="44"/>
      <c r="AE115" s="44"/>
      <c r="AF115" s="45"/>
    </row>
    <row r="116" spans="2:32" ht="19.899999999999999" customHeight="1">
      <c r="B116" s="547"/>
      <c r="C116" s="550"/>
      <c r="D116" s="513"/>
      <c r="E116" s="513"/>
      <c r="F116" s="513"/>
      <c r="G116" s="513"/>
      <c r="H116" s="513"/>
      <c r="I116" s="513"/>
      <c r="J116" s="553"/>
      <c r="K116" s="91" t="s">
        <v>214</v>
      </c>
      <c r="L116" s="14" t="s">
        <v>7</v>
      </c>
      <c r="M116" s="14" t="s">
        <v>158</v>
      </c>
      <c r="N116" s="5">
        <v>0.4</v>
      </c>
      <c r="O116" s="556"/>
      <c r="P116" s="559"/>
      <c r="Q116" s="516"/>
      <c r="R116" s="519"/>
      <c r="S116" s="563"/>
      <c r="T116" s="507"/>
      <c r="U116" s="565"/>
      <c r="V116" s="125"/>
      <c r="W116" s="126"/>
      <c r="X116" s="52"/>
      <c r="Y116" s="44"/>
      <c r="Z116" s="44"/>
      <c r="AA116" s="2"/>
      <c r="AB116" s="44"/>
      <c r="AC116" s="44"/>
      <c r="AD116" s="44"/>
      <c r="AE116" s="44"/>
      <c r="AF116" s="45"/>
    </row>
    <row r="117" spans="2:32" ht="19.899999999999999" customHeight="1" thickBot="1">
      <c r="B117" s="548"/>
      <c r="C117" s="551"/>
      <c r="D117" s="514"/>
      <c r="E117" s="514"/>
      <c r="F117" s="514"/>
      <c r="G117" s="514"/>
      <c r="H117" s="514"/>
      <c r="I117" s="514"/>
      <c r="J117" s="554"/>
      <c r="K117" s="92"/>
      <c r="L117" s="42"/>
      <c r="M117" s="42"/>
      <c r="N117" s="41"/>
      <c r="O117" s="557"/>
      <c r="P117" s="560"/>
      <c r="Q117" s="517"/>
      <c r="R117" s="520"/>
      <c r="S117" s="563"/>
      <c r="T117" s="508"/>
      <c r="U117" s="566"/>
      <c r="V117" s="125"/>
      <c r="W117" s="126"/>
      <c r="X117" s="52"/>
      <c r="Y117" s="44"/>
      <c r="Z117" s="44"/>
      <c r="AA117" s="2"/>
      <c r="AB117" s="56"/>
      <c r="AC117" s="56"/>
      <c r="AD117" s="56"/>
      <c r="AE117" s="56"/>
      <c r="AF117" s="45"/>
    </row>
    <row r="118" spans="2:32" ht="19.899999999999999" customHeight="1" thickBot="1">
      <c r="B118" s="546" t="s">
        <v>63</v>
      </c>
      <c r="C118" s="549" t="s">
        <v>69</v>
      </c>
      <c r="D118" s="512">
        <f>HLOOKUP($J$1,$E$12:$I122,107,FALSE)</f>
        <v>2</v>
      </c>
      <c r="E118" s="512">
        <v>2</v>
      </c>
      <c r="F118" s="512">
        <v>2</v>
      </c>
      <c r="G118" s="512">
        <v>2</v>
      </c>
      <c r="H118" s="512">
        <v>2</v>
      </c>
      <c r="I118" s="512">
        <v>2</v>
      </c>
      <c r="J118" s="552" t="s">
        <v>166</v>
      </c>
      <c r="K118" s="90" t="s">
        <v>24</v>
      </c>
      <c r="L118" s="88" t="s">
        <v>4</v>
      </c>
      <c r="M118" s="88" t="s">
        <v>163</v>
      </c>
      <c r="N118" s="89">
        <v>1</v>
      </c>
      <c r="O118" s="555"/>
      <c r="P118" s="558" t="e">
        <f>'#1 - 메인 UI'!#REF!</f>
        <v>#REF!</v>
      </c>
      <c r="Q118" s="515" t="s">
        <v>6</v>
      </c>
      <c r="R118" s="518">
        <f t="shared" ref="R118:R128" si="32">D118</f>
        <v>2</v>
      </c>
      <c r="S118" s="563">
        <f t="shared" ref="S118" si="33">IFERROR(VLOOKUP(Q118,L118:N122,3,FALSE),0)</f>
        <v>0.6</v>
      </c>
      <c r="T118" s="506">
        <f>IFERROR(+R118*S118,0)</f>
        <v>1.2</v>
      </c>
      <c r="U118" s="564">
        <f t="shared" ref="U118" si="34">ROUND((T118/$D$134)*$J$134,4)</f>
        <v>1.2</v>
      </c>
      <c r="V118" s="123"/>
      <c r="W118" s="124"/>
      <c r="X118" s="71" t="s">
        <v>403</v>
      </c>
      <c r="Y118" s="69" t="e">
        <f>'#1 - 메인 UI'!#REF!</f>
        <v>#REF!</v>
      </c>
      <c r="Z118" s="70" t="e">
        <f>'#1 - 메인 UI'!#REF!</f>
        <v>#REF!</v>
      </c>
      <c r="AA118" s="134" t="e">
        <f>VLOOKUP(Z118,데이터유효성!$B$2:$C$5,2,FALSE)</f>
        <v>#REF!</v>
      </c>
      <c r="AB118" s="49">
        <v>0.25</v>
      </c>
      <c r="AC118" s="49">
        <v>0.5</v>
      </c>
      <c r="AD118" s="49">
        <v>0.75</v>
      </c>
      <c r="AE118" s="49">
        <v>1</v>
      </c>
      <c r="AF118" s="48"/>
    </row>
    <row r="119" spans="2:32" ht="19.899999999999999" customHeight="1" thickBot="1">
      <c r="B119" s="547"/>
      <c r="C119" s="550"/>
      <c r="D119" s="513"/>
      <c r="E119" s="513"/>
      <c r="F119" s="513"/>
      <c r="G119" s="513"/>
      <c r="H119" s="513"/>
      <c r="I119" s="513"/>
      <c r="J119" s="553"/>
      <c r="K119" s="91" t="s">
        <v>214</v>
      </c>
      <c r="L119" s="14" t="s">
        <v>5</v>
      </c>
      <c r="M119" s="14" t="s">
        <v>164</v>
      </c>
      <c r="N119" s="5">
        <v>0.8</v>
      </c>
      <c r="O119" s="556"/>
      <c r="P119" s="559"/>
      <c r="Q119" s="516"/>
      <c r="R119" s="519"/>
      <c r="S119" s="563"/>
      <c r="T119" s="507"/>
      <c r="U119" s="565"/>
      <c r="V119" s="123"/>
      <c r="W119" s="124"/>
      <c r="X119" s="71" t="s">
        <v>404</v>
      </c>
      <c r="Y119" s="69" t="e">
        <f>'#1 - 메인 UI'!#REF!</f>
        <v>#REF!</v>
      </c>
      <c r="Z119" s="70" t="e">
        <f>'#1 - 메인 UI'!#REF!</f>
        <v>#REF!</v>
      </c>
      <c r="AA119" s="134" t="e">
        <f>VLOOKUP(Z119,데이터유효성!$B$2:$C$5,2,FALSE)</f>
        <v>#REF!</v>
      </c>
      <c r="AB119" s="49">
        <v>0.25</v>
      </c>
      <c r="AC119" s="49">
        <v>0.5</v>
      </c>
      <c r="AD119" s="49">
        <v>0.75</v>
      </c>
      <c r="AE119" s="49">
        <v>1</v>
      </c>
      <c r="AF119" s="48"/>
    </row>
    <row r="120" spans="2:32" ht="19.899999999999999" customHeight="1">
      <c r="B120" s="547"/>
      <c r="C120" s="550"/>
      <c r="D120" s="513"/>
      <c r="E120" s="513"/>
      <c r="F120" s="513"/>
      <c r="G120" s="513"/>
      <c r="H120" s="513"/>
      <c r="I120" s="513"/>
      <c r="J120" s="553"/>
      <c r="K120" s="91" t="s">
        <v>214</v>
      </c>
      <c r="L120" s="14" t="s">
        <v>6</v>
      </c>
      <c r="M120" s="14" t="s">
        <v>165</v>
      </c>
      <c r="N120" s="5">
        <v>0.6</v>
      </c>
      <c r="O120" s="556"/>
      <c r="P120" s="559"/>
      <c r="Q120" s="516"/>
      <c r="R120" s="519"/>
      <c r="S120" s="563"/>
      <c r="T120" s="507"/>
      <c r="U120" s="565"/>
      <c r="V120" s="125"/>
      <c r="W120" s="126"/>
      <c r="X120" s="52"/>
      <c r="Y120" s="44"/>
      <c r="Z120" s="44"/>
      <c r="AA120" s="2"/>
      <c r="AB120" s="44"/>
      <c r="AC120" s="44"/>
      <c r="AD120" s="44"/>
      <c r="AE120" s="44"/>
      <c r="AF120" s="45"/>
    </row>
    <row r="121" spans="2:32" ht="19.899999999999999" customHeight="1">
      <c r="B121" s="547"/>
      <c r="C121" s="550"/>
      <c r="D121" s="513"/>
      <c r="E121" s="513"/>
      <c r="F121" s="513"/>
      <c r="G121" s="513"/>
      <c r="H121" s="513"/>
      <c r="I121" s="513"/>
      <c r="J121" s="553"/>
      <c r="K121" s="91" t="s">
        <v>214</v>
      </c>
      <c r="L121" s="14" t="s">
        <v>7</v>
      </c>
      <c r="M121" s="14" t="s">
        <v>158</v>
      </c>
      <c r="N121" s="5">
        <v>0.4</v>
      </c>
      <c r="O121" s="556"/>
      <c r="P121" s="559"/>
      <c r="Q121" s="516"/>
      <c r="R121" s="519"/>
      <c r="S121" s="563"/>
      <c r="T121" s="507"/>
      <c r="U121" s="565"/>
      <c r="V121" s="125"/>
      <c r="W121" s="126"/>
      <c r="X121" s="52"/>
      <c r="Y121" s="44"/>
      <c r="Z121" s="44"/>
      <c r="AA121" s="2"/>
      <c r="AB121" s="44"/>
      <c r="AC121" s="44"/>
      <c r="AD121" s="44"/>
      <c r="AE121" s="44"/>
      <c r="AF121" s="45"/>
    </row>
    <row r="122" spans="2:32" ht="19.899999999999999" customHeight="1">
      <c r="B122" s="548"/>
      <c r="C122" s="551"/>
      <c r="D122" s="514"/>
      <c r="E122" s="514"/>
      <c r="F122" s="514"/>
      <c r="G122" s="514"/>
      <c r="H122" s="514"/>
      <c r="I122" s="514"/>
      <c r="J122" s="554"/>
      <c r="K122" s="92"/>
      <c r="L122" s="42"/>
      <c r="M122" s="42"/>
      <c r="N122" s="41"/>
      <c r="O122" s="557"/>
      <c r="P122" s="560"/>
      <c r="Q122" s="517"/>
      <c r="R122" s="520"/>
      <c r="S122" s="563"/>
      <c r="T122" s="508"/>
      <c r="U122" s="566"/>
      <c r="V122" s="125"/>
      <c r="W122" s="126"/>
      <c r="X122" s="52"/>
      <c r="Y122" s="44"/>
      <c r="Z122" s="44"/>
      <c r="AA122" s="2"/>
      <c r="AB122" s="56"/>
      <c r="AC122" s="56"/>
      <c r="AD122" s="56"/>
      <c r="AE122" s="56"/>
      <c r="AF122" s="45"/>
    </row>
    <row r="123" spans="2:32" ht="19.899999999999999" customHeight="1">
      <c r="B123" s="546" t="s">
        <v>64</v>
      </c>
      <c r="C123" s="549" t="s">
        <v>70</v>
      </c>
      <c r="D123" s="512">
        <f>HLOOKUP($J$1,$E$12:$I127,112,FALSE)</f>
        <v>4</v>
      </c>
      <c r="E123" s="512">
        <v>4</v>
      </c>
      <c r="F123" s="512">
        <v>4</v>
      </c>
      <c r="G123" s="512">
        <v>4</v>
      </c>
      <c r="H123" s="512">
        <v>4</v>
      </c>
      <c r="I123" s="512">
        <v>4</v>
      </c>
      <c r="J123" s="552" t="s">
        <v>167</v>
      </c>
      <c r="K123" s="90" t="s">
        <v>24</v>
      </c>
      <c r="L123" s="88" t="s">
        <v>4</v>
      </c>
      <c r="M123" s="88" t="s">
        <v>168</v>
      </c>
      <c r="N123" s="89">
        <v>1</v>
      </c>
      <c r="O123" s="555"/>
      <c r="P123" s="558" t="e">
        <f>'#1 - 메인 UI'!#REF!</f>
        <v>#REF!</v>
      </c>
      <c r="Q123" s="515" t="s">
        <v>338</v>
      </c>
      <c r="R123" s="518">
        <f t="shared" si="25"/>
        <v>4</v>
      </c>
      <c r="S123" s="563">
        <f t="shared" ref="S123" si="35">IFERROR(VLOOKUP(Q123,L123:N127,3,FALSE),0)</f>
        <v>0</v>
      </c>
      <c r="T123" s="506">
        <f>IFERROR(+R123*S123,0)</f>
        <v>0</v>
      </c>
      <c r="U123" s="564">
        <f t="shared" ref="U123" si="36">ROUND((T123/$D$134)*$J$134,4)</f>
        <v>0</v>
      </c>
      <c r="V123" s="123"/>
      <c r="W123" s="124"/>
      <c r="X123" s="52"/>
      <c r="Y123" s="44"/>
      <c r="Z123" s="44"/>
      <c r="AA123" s="2"/>
      <c r="AB123" s="44"/>
      <c r="AC123" s="44"/>
      <c r="AD123" s="44"/>
      <c r="AE123" s="44"/>
      <c r="AF123" s="48"/>
    </row>
    <row r="124" spans="2:32" ht="19.899999999999999" customHeight="1">
      <c r="B124" s="547"/>
      <c r="C124" s="550"/>
      <c r="D124" s="513"/>
      <c r="E124" s="513"/>
      <c r="F124" s="513"/>
      <c r="G124" s="513"/>
      <c r="H124" s="513"/>
      <c r="I124" s="513"/>
      <c r="J124" s="553"/>
      <c r="K124" s="91" t="s">
        <v>214</v>
      </c>
      <c r="L124" s="14" t="s">
        <v>5</v>
      </c>
      <c r="M124" s="14" t="s">
        <v>169</v>
      </c>
      <c r="N124" s="5">
        <v>0.8</v>
      </c>
      <c r="O124" s="556"/>
      <c r="P124" s="559"/>
      <c r="Q124" s="516"/>
      <c r="R124" s="519"/>
      <c r="S124" s="563"/>
      <c r="T124" s="507"/>
      <c r="U124" s="565"/>
      <c r="V124" s="123"/>
      <c r="W124" s="124"/>
      <c r="X124" s="52"/>
      <c r="Y124" s="44"/>
      <c r="Z124" s="44"/>
      <c r="AA124" s="2"/>
      <c r="AB124" s="44"/>
      <c r="AC124" s="44"/>
      <c r="AD124" s="44"/>
      <c r="AE124" s="44"/>
      <c r="AF124" s="48"/>
    </row>
    <row r="125" spans="2:32" ht="19.899999999999999" customHeight="1">
      <c r="B125" s="547"/>
      <c r="C125" s="550"/>
      <c r="D125" s="513"/>
      <c r="E125" s="513"/>
      <c r="F125" s="513"/>
      <c r="G125" s="513"/>
      <c r="H125" s="513"/>
      <c r="I125" s="513"/>
      <c r="J125" s="553"/>
      <c r="K125" s="91" t="s">
        <v>214</v>
      </c>
      <c r="L125" s="14" t="s">
        <v>6</v>
      </c>
      <c r="M125" s="14" t="s">
        <v>170</v>
      </c>
      <c r="N125" s="5">
        <v>0.6</v>
      </c>
      <c r="O125" s="556"/>
      <c r="P125" s="559"/>
      <c r="Q125" s="516"/>
      <c r="R125" s="519"/>
      <c r="S125" s="563"/>
      <c r="T125" s="507"/>
      <c r="U125" s="565"/>
      <c r="V125" s="125"/>
      <c r="W125" s="126"/>
      <c r="X125" s="52"/>
      <c r="Y125" s="44"/>
      <c r="Z125" s="44"/>
      <c r="AA125" s="2"/>
      <c r="AB125" s="44"/>
      <c r="AC125" s="44"/>
      <c r="AD125" s="44"/>
      <c r="AE125" s="44"/>
      <c r="AF125" s="45"/>
    </row>
    <row r="126" spans="2:32" ht="19.899999999999999" customHeight="1">
      <c r="B126" s="547"/>
      <c r="C126" s="550"/>
      <c r="D126" s="513"/>
      <c r="E126" s="513"/>
      <c r="F126" s="513"/>
      <c r="G126" s="513"/>
      <c r="H126" s="513"/>
      <c r="I126" s="513"/>
      <c r="J126" s="553"/>
      <c r="K126" s="91" t="s">
        <v>214</v>
      </c>
      <c r="L126" s="14" t="s">
        <v>7</v>
      </c>
      <c r="M126" s="14" t="s">
        <v>171</v>
      </c>
      <c r="N126" s="5">
        <v>0.4</v>
      </c>
      <c r="O126" s="556"/>
      <c r="P126" s="559"/>
      <c r="Q126" s="516"/>
      <c r="R126" s="519"/>
      <c r="S126" s="563"/>
      <c r="T126" s="507"/>
      <c r="U126" s="565"/>
      <c r="V126" s="125"/>
      <c r="W126" s="126"/>
      <c r="X126" s="52"/>
      <c r="Y126" s="44"/>
      <c r="Z126" s="44"/>
      <c r="AA126" s="2"/>
      <c r="AB126" s="44"/>
      <c r="AC126" s="44"/>
      <c r="AD126" s="44"/>
      <c r="AE126" s="44"/>
      <c r="AF126" s="45"/>
    </row>
    <row r="127" spans="2:32" ht="19.899999999999999" customHeight="1" thickBot="1">
      <c r="B127" s="548"/>
      <c r="C127" s="551"/>
      <c r="D127" s="514"/>
      <c r="E127" s="514"/>
      <c r="F127" s="514"/>
      <c r="G127" s="514"/>
      <c r="H127" s="514"/>
      <c r="I127" s="514"/>
      <c r="J127" s="554"/>
      <c r="K127" s="92"/>
      <c r="L127" s="42"/>
      <c r="M127" s="42"/>
      <c r="N127" s="41"/>
      <c r="O127" s="557"/>
      <c r="P127" s="560"/>
      <c r="Q127" s="517"/>
      <c r="R127" s="520"/>
      <c r="S127" s="563"/>
      <c r="T127" s="508"/>
      <c r="U127" s="566"/>
      <c r="V127" s="125"/>
      <c r="W127" s="126"/>
      <c r="X127" s="52"/>
      <c r="Y127" s="44"/>
      <c r="Z127" s="44"/>
      <c r="AA127" s="2"/>
      <c r="AB127" s="44"/>
      <c r="AC127" s="44"/>
      <c r="AD127" s="44"/>
      <c r="AE127" s="44"/>
      <c r="AF127" s="45"/>
    </row>
    <row r="128" spans="2:32" ht="19.899999999999999" customHeight="1" thickBot="1">
      <c r="B128" s="546" t="s">
        <v>65</v>
      </c>
      <c r="C128" s="549" t="s">
        <v>71</v>
      </c>
      <c r="D128" s="512">
        <f>HLOOKUP($J$1,$E$12:$I132,117,FALSE)</f>
        <v>1</v>
      </c>
      <c r="E128" s="512">
        <v>1</v>
      </c>
      <c r="F128" s="512">
        <v>1</v>
      </c>
      <c r="G128" s="512">
        <v>1</v>
      </c>
      <c r="H128" s="512">
        <v>1</v>
      </c>
      <c r="I128" s="512">
        <v>1</v>
      </c>
      <c r="J128" s="552" t="s">
        <v>172</v>
      </c>
      <c r="K128" s="90" t="s">
        <v>24</v>
      </c>
      <c r="L128" s="88" t="s">
        <v>4</v>
      </c>
      <c r="M128" s="88" t="s">
        <v>458</v>
      </c>
      <c r="N128" s="89">
        <v>1</v>
      </c>
      <c r="O128" s="555"/>
      <c r="P128" s="558" t="s">
        <v>469</v>
      </c>
      <c r="Q128" s="515" t="s">
        <v>370</v>
      </c>
      <c r="R128" s="518">
        <f t="shared" si="32"/>
        <v>1</v>
      </c>
      <c r="S128" s="563">
        <f t="shared" ref="S128" si="37">IFERROR(VLOOKUP(Q128,L128:N132,3,FALSE),0)</f>
        <v>0.6</v>
      </c>
      <c r="T128" s="506">
        <f>IFERROR(+R128*S128,0)</f>
        <v>0.6</v>
      </c>
      <c r="U128" s="564">
        <f t="shared" ref="U128" si="38">ROUND((T128/$D$134)*$J$134,4)</f>
        <v>0.6</v>
      </c>
      <c r="V128" s="123"/>
      <c r="W128" s="124"/>
      <c r="X128" s="71" t="s">
        <v>405</v>
      </c>
      <c r="Y128" s="69" t="e">
        <f>'#1 - 메인 UI'!#REF!</f>
        <v>#REF!</v>
      </c>
      <c r="Z128" s="70" t="e">
        <f>'#1 - 메인 UI'!#REF!</f>
        <v>#REF!</v>
      </c>
      <c r="AA128" s="134" t="e">
        <f>VLOOKUP(Z128,데이터유효성!$B$2:$C$5,2,FALSE)</f>
        <v>#REF!</v>
      </c>
      <c r="AB128" s="49">
        <v>0.25</v>
      </c>
      <c r="AC128" s="49">
        <v>0.5</v>
      </c>
      <c r="AD128" s="49">
        <v>0.75</v>
      </c>
      <c r="AE128" s="49">
        <v>1</v>
      </c>
      <c r="AF128" s="48"/>
    </row>
    <row r="129" spans="2:32" ht="19.899999999999999" customHeight="1" thickBot="1">
      <c r="B129" s="547"/>
      <c r="C129" s="550"/>
      <c r="D129" s="513"/>
      <c r="E129" s="513"/>
      <c r="F129" s="513"/>
      <c r="G129" s="513"/>
      <c r="H129" s="513"/>
      <c r="I129" s="513"/>
      <c r="J129" s="553"/>
      <c r="K129" s="91" t="s">
        <v>214</v>
      </c>
      <c r="L129" s="14" t="s">
        <v>5</v>
      </c>
      <c r="M129" s="14" t="s">
        <v>459</v>
      </c>
      <c r="N129" s="5">
        <v>0.8</v>
      </c>
      <c r="O129" s="556"/>
      <c r="P129" s="559"/>
      <c r="Q129" s="516"/>
      <c r="R129" s="519"/>
      <c r="S129" s="563"/>
      <c r="T129" s="507"/>
      <c r="U129" s="565"/>
      <c r="V129" s="123"/>
      <c r="W129" s="124"/>
      <c r="X129" s="71" t="s">
        <v>466</v>
      </c>
      <c r="Y129" s="69" t="s">
        <v>467</v>
      </c>
      <c r="Z129" s="70" t="s">
        <v>376</v>
      </c>
      <c r="AA129" s="134">
        <f>VLOOKUP(Z129,데이터유효성!$B$2:$C$5,2,FALSE)</f>
        <v>50</v>
      </c>
      <c r="AB129" s="49">
        <v>0.25</v>
      </c>
      <c r="AC129" s="49">
        <v>0.5</v>
      </c>
      <c r="AD129" s="49">
        <v>0.75</v>
      </c>
      <c r="AE129" s="49">
        <v>1</v>
      </c>
      <c r="AF129" s="48"/>
    </row>
    <row r="130" spans="2:32" ht="19.899999999999999" customHeight="1">
      <c r="B130" s="547"/>
      <c r="C130" s="550"/>
      <c r="D130" s="513"/>
      <c r="E130" s="513"/>
      <c r="F130" s="513"/>
      <c r="G130" s="513"/>
      <c r="H130" s="513"/>
      <c r="I130" s="513"/>
      <c r="J130" s="553"/>
      <c r="K130" s="91" t="s">
        <v>214</v>
      </c>
      <c r="L130" s="14" t="s">
        <v>6</v>
      </c>
      <c r="M130" s="14" t="s">
        <v>460</v>
      </c>
      <c r="N130" s="5">
        <v>0.6</v>
      </c>
      <c r="O130" s="556"/>
      <c r="P130" s="559"/>
      <c r="Q130" s="516"/>
      <c r="R130" s="519"/>
      <c r="S130" s="563"/>
      <c r="T130" s="507"/>
      <c r="U130" s="565"/>
      <c r="V130" s="125"/>
      <c r="W130" s="126"/>
      <c r="X130" s="52"/>
      <c r="Y130" s="44"/>
      <c r="Z130" s="44"/>
      <c r="AA130" s="2"/>
      <c r="AB130" s="44"/>
      <c r="AC130" s="44"/>
      <c r="AD130" s="44"/>
      <c r="AE130" s="44"/>
      <c r="AF130" s="45"/>
    </row>
    <row r="131" spans="2:32" ht="19.899999999999999" customHeight="1">
      <c r="B131" s="547"/>
      <c r="C131" s="550"/>
      <c r="D131" s="513"/>
      <c r="E131" s="513"/>
      <c r="F131" s="513"/>
      <c r="G131" s="513"/>
      <c r="H131" s="513"/>
      <c r="I131" s="513"/>
      <c r="J131" s="553"/>
      <c r="K131" s="91" t="s">
        <v>214</v>
      </c>
      <c r="L131" s="14" t="s">
        <v>7</v>
      </c>
      <c r="M131" s="14" t="s">
        <v>425</v>
      </c>
      <c r="N131" s="5">
        <v>0.4</v>
      </c>
      <c r="O131" s="556"/>
      <c r="P131" s="559"/>
      <c r="Q131" s="516"/>
      <c r="R131" s="519"/>
      <c r="S131" s="563"/>
      <c r="T131" s="507"/>
      <c r="U131" s="565"/>
      <c r="V131" s="125"/>
      <c r="W131" s="126"/>
      <c r="X131" s="52"/>
      <c r="Y131" s="44"/>
      <c r="Z131" s="44"/>
      <c r="AA131" s="2"/>
      <c r="AB131" s="44"/>
      <c r="AC131" s="44"/>
      <c r="AD131" s="44"/>
      <c r="AE131" s="44"/>
      <c r="AF131" s="45"/>
    </row>
    <row r="132" spans="2:32" ht="25.15" customHeight="1">
      <c r="B132" s="548"/>
      <c r="C132" s="551"/>
      <c r="D132" s="514"/>
      <c r="E132" s="514"/>
      <c r="F132" s="514"/>
      <c r="G132" s="514"/>
      <c r="H132" s="514"/>
      <c r="I132" s="514"/>
      <c r="J132" s="554"/>
      <c r="K132" s="92"/>
      <c r="L132" s="42"/>
      <c r="M132" s="42"/>
      <c r="N132" s="41"/>
      <c r="O132" s="557"/>
      <c r="P132" s="560"/>
      <c r="Q132" s="517"/>
      <c r="R132" s="520"/>
      <c r="S132" s="563"/>
      <c r="T132" s="508"/>
      <c r="U132" s="566"/>
      <c r="V132" s="125"/>
      <c r="W132" s="126"/>
      <c r="X132" s="52"/>
      <c r="Y132" s="44"/>
      <c r="Z132" s="44"/>
      <c r="AA132" s="2"/>
      <c r="AB132" s="56"/>
      <c r="AC132" s="56"/>
      <c r="AD132" s="56"/>
      <c r="AE132" s="56"/>
      <c r="AF132" s="45"/>
    </row>
    <row r="133" spans="2:32" ht="4.9000000000000004" customHeight="1">
      <c r="B133" s="81"/>
      <c r="C133" s="82"/>
      <c r="D133" s="83"/>
      <c r="E133" s="83"/>
      <c r="F133" s="83"/>
      <c r="G133" s="83"/>
      <c r="H133" s="83"/>
      <c r="I133" s="83"/>
      <c r="J133" s="84"/>
      <c r="K133" s="3"/>
      <c r="O133" s="68"/>
      <c r="P133" s="196"/>
      <c r="Q133" s="85"/>
      <c r="R133" s="85"/>
      <c r="S133" s="85"/>
      <c r="T133" s="86"/>
      <c r="U133" s="86"/>
      <c r="V133" s="125"/>
      <c r="W133" s="126"/>
      <c r="X133" s="52"/>
      <c r="Y133" s="44"/>
      <c r="Z133" s="44"/>
      <c r="AA133" s="2"/>
      <c r="AB133" s="43"/>
      <c r="AC133" s="43"/>
      <c r="AD133" s="43"/>
      <c r="AE133" s="43"/>
      <c r="AF133" s="45"/>
    </row>
    <row r="134" spans="2:32" ht="25.35" customHeight="1">
      <c r="B134" s="561" t="s">
        <v>52</v>
      </c>
      <c r="C134" s="561"/>
      <c r="D134" s="73">
        <f>SUM(D103:D132)</f>
        <v>15</v>
      </c>
      <c r="E134" s="73">
        <f t="shared" ref="E134:I134" si="39">SUM(E103:E132)</f>
        <v>15</v>
      </c>
      <c r="F134" s="73">
        <f t="shared" si="39"/>
        <v>15</v>
      </c>
      <c r="G134" s="73">
        <f t="shared" si="39"/>
        <v>15</v>
      </c>
      <c r="H134" s="73">
        <f t="shared" si="39"/>
        <v>15</v>
      </c>
      <c r="I134" s="73">
        <f t="shared" si="39"/>
        <v>15</v>
      </c>
      <c r="J134" s="110">
        <v>15</v>
      </c>
      <c r="K134" s="72"/>
      <c r="L134" s="75"/>
      <c r="M134" s="76"/>
      <c r="N134" s="77"/>
      <c r="O134" s="74"/>
      <c r="P134" s="197"/>
      <c r="Q134" s="80"/>
      <c r="R134" s="80"/>
      <c r="S134" s="80"/>
      <c r="T134" s="118">
        <f>ROUND(SUM(T103:T132),2)</f>
        <v>7.8</v>
      </c>
      <c r="U134" s="115">
        <f>ROUND(SUM(U103:U132),2)</f>
        <v>7.8</v>
      </c>
      <c r="V134" s="121"/>
      <c r="W134" s="122"/>
      <c r="X134" s="95"/>
      <c r="Y134" s="97"/>
      <c r="Z134" s="78"/>
      <c r="AA134" s="78"/>
      <c r="AB134" s="78"/>
      <c r="AC134" s="78"/>
      <c r="AD134" s="78"/>
      <c r="AE134" s="78"/>
    </row>
    <row r="135" spans="2:32" ht="19.899999999999999" customHeight="1">
      <c r="V135" s="121"/>
      <c r="W135" s="122"/>
    </row>
    <row r="136" spans="2:32" ht="31.5">
      <c r="B136" s="175" t="s">
        <v>72</v>
      </c>
      <c r="C136" s="39" t="s">
        <v>73</v>
      </c>
      <c r="D136" s="4"/>
      <c r="E136" s="4"/>
      <c r="F136" s="4"/>
      <c r="G136" s="4"/>
      <c r="H136" s="4"/>
      <c r="I136" s="4"/>
      <c r="J136" s="4"/>
      <c r="K136" s="3"/>
      <c r="O136" s="525"/>
      <c r="P136" s="526"/>
      <c r="Q136" s="116">
        <f>U161</f>
        <v>0</v>
      </c>
      <c r="R136" s="112"/>
      <c r="S136" s="112"/>
      <c r="T136" s="113" t="s">
        <v>23</v>
      </c>
      <c r="U136" s="114">
        <f>J161</f>
        <v>10</v>
      </c>
      <c r="V136" s="121"/>
      <c r="W136" s="122"/>
      <c r="X136" s="562"/>
      <c r="Y136" s="562"/>
      <c r="Z136" s="37"/>
      <c r="AA136" s="37"/>
      <c r="AB136" s="37"/>
      <c r="AC136" s="37"/>
      <c r="AD136" s="37"/>
      <c r="AE136" s="37"/>
    </row>
    <row r="137" spans="2:32" ht="4.9000000000000004" customHeight="1">
      <c r="B137" s="47"/>
      <c r="C137" s="8"/>
      <c r="D137" s="4"/>
      <c r="E137" s="4"/>
      <c r="F137" s="4"/>
      <c r="G137" s="4"/>
      <c r="H137" s="4"/>
      <c r="I137" s="4"/>
      <c r="J137" s="4"/>
      <c r="K137" s="9"/>
      <c r="L137" s="8"/>
      <c r="O137" s="527"/>
      <c r="P137" s="527"/>
      <c r="Q137" s="2"/>
      <c r="R137" s="2"/>
      <c r="S137" s="2"/>
      <c r="V137" s="121"/>
      <c r="W137" s="122"/>
      <c r="X137" s="527"/>
      <c r="Y137" s="527"/>
      <c r="Z137" s="40"/>
      <c r="AA137" s="40"/>
      <c r="AB137" s="40"/>
      <c r="AC137" s="40"/>
      <c r="AD137" s="40"/>
      <c r="AE137" s="40"/>
    </row>
    <row r="138" spans="2:32" ht="25.15" customHeight="1">
      <c r="B138" s="528" t="s">
        <v>12</v>
      </c>
      <c r="C138" s="529"/>
      <c r="D138" s="67" t="s">
        <v>3</v>
      </c>
      <c r="E138" s="67" t="str">
        <f>E$12</f>
        <v>신축 비주거-일반건축물</v>
      </c>
      <c r="F138" s="67" t="str">
        <f t="shared" ref="F138:I138" si="40">F$12</f>
        <v>신축 비주거-업무용건축물</v>
      </c>
      <c r="G138" s="67" t="str">
        <f t="shared" si="40"/>
        <v>신축 비주거-학교</v>
      </c>
      <c r="H138" s="67" t="str">
        <f t="shared" si="40"/>
        <v>신축 비주거-판매시설</v>
      </c>
      <c r="I138" s="67" t="str">
        <f t="shared" si="40"/>
        <v>신축 비주거-숙박시설</v>
      </c>
      <c r="J138" s="67" t="s">
        <v>37</v>
      </c>
      <c r="K138" s="530" t="s">
        <v>36</v>
      </c>
      <c r="L138" s="531"/>
      <c r="M138" s="531"/>
      <c r="N138" s="528"/>
      <c r="O138" s="532" t="s">
        <v>132</v>
      </c>
      <c r="P138" s="533"/>
      <c r="Q138" s="66" t="str">
        <f>Q$12</f>
        <v>등급</v>
      </c>
      <c r="R138" s="66" t="str">
        <f>R$12</f>
        <v>배점</v>
      </c>
      <c r="S138" s="66" t="str">
        <f>S$12</f>
        <v>가중치</v>
      </c>
      <c r="T138" s="66" t="str">
        <f>T$12</f>
        <v>평점</v>
      </c>
      <c r="U138" s="66" t="str">
        <f>U$12</f>
        <v>환산점</v>
      </c>
      <c r="V138" s="121"/>
      <c r="W138" s="122"/>
      <c r="X138" s="534" t="s">
        <v>45</v>
      </c>
      <c r="Y138" s="535"/>
      <c r="Z138" s="535"/>
      <c r="AA138" s="130"/>
      <c r="AB138" s="535" t="s">
        <v>133</v>
      </c>
      <c r="AC138" s="535"/>
      <c r="AD138" s="535"/>
      <c r="AE138" s="535"/>
    </row>
    <row r="139" spans="2:32" ht="4.9000000000000004" customHeight="1" thickBot="1">
      <c r="B139" s="47"/>
      <c r="C139" s="9"/>
      <c r="D139" s="4"/>
      <c r="E139" s="4"/>
      <c r="F139" s="4"/>
      <c r="G139" s="4"/>
      <c r="H139" s="4"/>
      <c r="I139" s="4"/>
      <c r="J139" s="4"/>
      <c r="K139" s="9"/>
      <c r="L139" s="8"/>
      <c r="O139" s="40"/>
      <c r="P139" s="192"/>
      <c r="Q139" s="2"/>
      <c r="R139" s="2"/>
      <c r="S139" s="2"/>
      <c r="V139" s="121"/>
      <c r="W139" s="122"/>
      <c r="X139" s="51"/>
      <c r="Y139" s="40"/>
      <c r="Z139" s="40"/>
      <c r="AA139" s="40"/>
      <c r="AB139" s="40"/>
      <c r="AC139" s="40"/>
      <c r="AD139" s="40"/>
      <c r="AE139" s="40"/>
    </row>
    <row r="140" spans="2:32" ht="19.899999999999999" customHeight="1" thickBot="1">
      <c r="B140" s="546" t="s">
        <v>74</v>
      </c>
      <c r="C140" s="549" t="s">
        <v>78</v>
      </c>
      <c r="D140" s="512">
        <f>HLOOKUP($J$1,$E$12:$I144,129,FALSE)</f>
        <v>5</v>
      </c>
      <c r="E140" s="512">
        <v>5</v>
      </c>
      <c r="F140" s="512">
        <v>5</v>
      </c>
      <c r="G140" s="512">
        <v>5</v>
      </c>
      <c r="H140" s="512">
        <v>5</v>
      </c>
      <c r="I140" s="512">
        <v>5</v>
      </c>
      <c r="J140" s="552" t="s">
        <v>173</v>
      </c>
      <c r="K140" s="90" t="s">
        <v>24</v>
      </c>
      <c r="L140" s="88" t="s">
        <v>4</v>
      </c>
      <c r="M140" s="88" t="s">
        <v>432</v>
      </c>
      <c r="N140" s="89">
        <v>1</v>
      </c>
      <c r="O140" s="555"/>
      <c r="P140" s="558" t="e">
        <f>'#1 - 메인 UI'!#REF!</f>
        <v>#REF!</v>
      </c>
      <c r="Q140" s="515" t="e">
        <f>'#1 - 메인 UI'!#REF!</f>
        <v>#REF!</v>
      </c>
      <c r="R140" s="518">
        <f t="shared" ref="R140:R150" si="41">D140</f>
        <v>5</v>
      </c>
      <c r="S140" s="563">
        <f t="shared" ref="S140" si="42">IFERROR(VLOOKUP(Q140,L140:N144,3,FALSE),0)</f>
        <v>0</v>
      </c>
      <c r="T140" s="506">
        <f>IFERROR(+R140*S140,0)</f>
        <v>0</v>
      </c>
      <c r="U140" s="564">
        <f>ROUND((T140/$D$161)*$J$161,4)</f>
        <v>0</v>
      </c>
      <c r="V140" s="123"/>
      <c r="W140" s="124"/>
      <c r="X140" s="71" t="s">
        <v>406</v>
      </c>
      <c r="Y140" s="69" t="e">
        <f>'#1 - 메인 UI'!#REF!</f>
        <v>#REF!</v>
      </c>
      <c r="Z140" s="70" t="e">
        <f>'#1 - 메인 UI'!#REF!</f>
        <v>#REF!</v>
      </c>
      <c r="AA140" s="134" t="e">
        <f>VLOOKUP(Z140,데이터유효성!$B$2:$C$5,2,FALSE)</f>
        <v>#REF!</v>
      </c>
      <c r="AB140" s="49">
        <v>0.25</v>
      </c>
      <c r="AC140" s="49">
        <v>0.5</v>
      </c>
      <c r="AD140" s="49">
        <v>0.75</v>
      </c>
      <c r="AE140" s="49">
        <v>1</v>
      </c>
      <c r="AF140" s="48"/>
    </row>
    <row r="141" spans="2:32" ht="19.899999999999999" customHeight="1" thickBot="1">
      <c r="B141" s="547"/>
      <c r="C141" s="550"/>
      <c r="D141" s="513"/>
      <c r="E141" s="513"/>
      <c r="F141" s="513"/>
      <c r="G141" s="513"/>
      <c r="H141" s="513"/>
      <c r="I141" s="513"/>
      <c r="J141" s="553"/>
      <c r="K141" s="91" t="s">
        <v>214</v>
      </c>
      <c r="L141" s="14" t="s">
        <v>5</v>
      </c>
      <c r="M141" s="14" t="s">
        <v>433</v>
      </c>
      <c r="N141" s="5">
        <v>0.8</v>
      </c>
      <c r="O141" s="556"/>
      <c r="P141" s="559"/>
      <c r="Q141" s="516"/>
      <c r="R141" s="519"/>
      <c r="S141" s="563"/>
      <c r="T141" s="507"/>
      <c r="U141" s="565"/>
      <c r="V141" s="123"/>
      <c r="W141" s="124"/>
      <c r="X141" s="71" t="s">
        <v>407</v>
      </c>
      <c r="Y141" s="69" t="e">
        <f>'#1 - 메인 UI'!#REF!</f>
        <v>#REF!</v>
      </c>
      <c r="Z141" s="70" t="e">
        <f>'#1 - 메인 UI'!#REF!</f>
        <v>#REF!</v>
      </c>
      <c r="AA141" s="134" t="e">
        <f>VLOOKUP(Z141,데이터유효성!$B$2:$C$5,2,FALSE)</f>
        <v>#REF!</v>
      </c>
      <c r="AB141" s="49">
        <v>0.25</v>
      </c>
      <c r="AC141" s="49">
        <v>0.5</v>
      </c>
      <c r="AD141" s="49">
        <v>0.75</v>
      </c>
      <c r="AE141" s="49">
        <v>1</v>
      </c>
      <c r="AF141" s="48"/>
    </row>
    <row r="142" spans="2:32" ht="19.899999999999999" customHeight="1" thickBot="1">
      <c r="B142" s="547"/>
      <c r="C142" s="550"/>
      <c r="D142" s="513"/>
      <c r="E142" s="513"/>
      <c r="F142" s="513"/>
      <c r="G142" s="513"/>
      <c r="H142" s="513"/>
      <c r="I142" s="513"/>
      <c r="J142" s="553"/>
      <c r="K142" s="91" t="s">
        <v>214</v>
      </c>
      <c r="L142" s="14" t="s">
        <v>6</v>
      </c>
      <c r="M142" s="14" t="s">
        <v>434</v>
      </c>
      <c r="N142" s="5">
        <v>0.6</v>
      </c>
      <c r="O142" s="556"/>
      <c r="P142" s="559"/>
      <c r="Q142" s="516"/>
      <c r="R142" s="519"/>
      <c r="S142" s="563"/>
      <c r="T142" s="507"/>
      <c r="U142" s="565"/>
      <c r="V142" s="125"/>
      <c r="W142" s="126"/>
      <c r="X142" s="71" t="s">
        <v>408</v>
      </c>
      <c r="Y142" s="69" t="e">
        <f>'#1 - 메인 UI'!#REF!</f>
        <v>#REF!</v>
      </c>
      <c r="Z142" s="70" t="e">
        <f>'#1 - 메인 UI'!#REF!</f>
        <v>#REF!</v>
      </c>
      <c r="AA142" s="134" t="e">
        <f>VLOOKUP(Z142,데이터유효성!$B$2:$C$5,2,FALSE)</f>
        <v>#REF!</v>
      </c>
      <c r="AB142" s="49">
        <v>0.25</v>
      </c>
      <c r="AC142" s="49">
        <v>0.5</v>
      </c>
      <c r="AD142" s="49">
        <v>0.75</v>
      </c>
      <c r="AE142" s="49">
        <v>1</v>
      </c>
      <c r="AF142" s="45"/>
    </row>
    <row r="143" spans="2:32" ht="19.899999999999999" customHeight="1">
      <c r="B143" s="547"/>
      <c r="C143" s="550"/>
      <c r="D143" s="513"/>
      <c r="E143" s="513"/>
      <c r="F143" s="513"/>
      <c r="G143" s="513"/>
      <c r="H143" s="513"/>
      <c r="I143" s="513"/>
      <c r="J143" s="553"/>
      <c r="K143" s="91" t="s">
        <v>214</v>
      </c>
      <c r="L143" s="14" t="s">
        <v>7</v>
      </c>
      <c r="M143" s="14" t="s">
        <v>435</v>
      </c>
      <c r="N143" s="5">
        <v>0.4</v>
      </c>
      <c r="O143" s="556"/>
      <c r="P143" s="559"/>
      <c r="Q143" s="516"/>
      <c r="R143" s="519"/>
      <c r="S143" s="563"/>
      <c r="T143" s="507"/>
      <c r="U143" s="565"/>
      <c r="V143" s="125"/>
      <c r="W143" s="126"/>
      <c r="X143" s="52"/>
      <c r="Y143" s="44"/>
      <c r="Z143" s="44"/>
      <c r="AA143" s="2"/>
      <c r="AB143" s="44"/>
      <c r="AC143" s="44"/>
      <c r="AD143" s="44"/>
      <c r="AE143" s="44"/>
      <c r="AF143" s="45"/>
    </row>
    <row r="144" spans="2:32" ht="120" customHeight="1" thickBot="1">
      <c r="B144" s="548"/>
      <c r="C144" s="551"/>
      <c r="D144" s="514"/>
      <c r="E144" s="514"/>
      <c r="F144" s="514"/>
      <c r="G144" s="514"/>
      <c r="H144" s="514"/>
      <c r="I144" s="514"/>
      <c r="J144" s="554"/>
      <c r="K144" s="92"/>
      <c r="L144" s="42"/>
      <c r="M144" s="42"/>
      <c r="N144" s="41"/>
      <c r="O144" s="557"/>
      <c r="P144" s="560"/>
      <c r="Q144" s="517"/>
      <c r="R144" s="520"/>
      <c r="S144" s="563"/>
      <c r="T144" s="508"/>
      <c r="U144" s="566"/>
      <c r="V144" s="125"/>
      <c r="W144" s="126"/>
      <c r="X144" s="52"/>
      <c r="Y144" s="44"/>
      <c r="Z144" s="44"/>
      <c r="AA144" s="2"/>
      <c r="AB144" s="44"/>
      <c r="AC144" s="44"/>
      <c r="AD144" s="44"/>
      <c r="AE144" s="44"/>
      <c r="AF144" s="45"/>
    </row>
    <row r="145" spans="2:32" ht="19.899999999999999" customHeight="1" thickBot="1">
      <c r="B145" s="546" t="s">
        <v>75</v>
      </c>
      <c r="C145" s="549" t="s">
        <v>79</v>
      </c>
      <c r="D145" s="512">
        <f>HLOOKUP($J$1,$E$12:$I149,134,FALSE)</f>
        <v>4</v>
      </c>
      <c r="E145" s="512">
        <v>4</v>
      </c>
      <c r="F145" s="512">
        <v>4</v>
      </c>
      <c r="G145" s="512">
        <v>4</v>
      </c>
      <c r="H145" s="512">
        <v>4</v>
      </c>
      <c r="I145" s="512">
        <v>4</v>
      </c>
      <c r="J145" s="552" t="s">
        <v>175</v>
      </c>
      <c r="K145" s="90" t="s">
        <v>24</v>
      </c>
      <c r="L145" s="88" t="s">
        <v>4</v>
      </c>
      <c r="M145" s="88" t="s">
        <v>174</v>
      </c>
      <c r="N145" s="89">
        <v>1</v>
      </c>
      <c r="O145" s="555"/>
      <c r="P145" s="558" t="e">
        <f>'#1 - 메인 UI'!#REF!</f>
        <v>#REF!</v>
      </c>
      <c r="Q145" s="515" t="e">
        <f>'#1 - 메인 UI'!#REF!</f>
        <v>#REF!</v>
      </c>
      <c r="R145" s="518">
        <f t="shared" ref="R145" si="43">D145</f>
        <v>4</v>
      </c>
      <c r="S145" s="563">
        <f t="shared" ref="S145" si="44">IFERROR(VLOOKUP(Q145,L145:N149,3,FALSE),0)</f>
        <v>0</v>
      </c>
      <c r="T145" s="506">
        <f>IFERROR(+R145*S145,0)</f>
        <v>0</v>
      </c>
      <c r="U145" s="564">
        <f t="shared" ref="U145" si="45">ROUND((T145/$D$161)*$J$161,4)</f>
        <v>0</v>
      </c>
      <c r="V145" s="123"/>
      <c r="W145" s="124"/>
      <c r="X145" s="71" t="s">
        <v>409</v>
      </c>
      <c r="Y145" s="69" t="e">
        <f>'#1 - 메인 UI'!#REF!</f>
        <v>#REF!</v>
      </c>
      <c r="Z145" s="70" t="e">
        <f>'#1 - 메인 UI'!#REF!</f>
        <v>#REF!</v>
      </c>
      <c r="AA145" s="134" t="e">
        <f>VLOOKUP(Z145,데이터유효성!$B$2:$C$5,2,FALSE)</f>
        <v>#REF!</v>
      </c>
      <c r="AB145" s="49">
        <v>0.25</v>
      </c>
      <c r="AC145" s="49">
        <v>0.5</v>
      </c>
      <c r="AD145" s="49">
        <v>0.75</v>
      </c>
      <c r="AE145" s="49">
        <v>1</v>
      </c>
      <c r="AF145" s="48"/>
    </row>
    <row r="146" spans="2:32" ht="19.899999999999999" customHeight="1" thickBot="1">
      <c r="B146" s="547"/>
      <c r="C146" s="550"/>
      <c r="D146" s="513"/>
      <c r="E146" s="513"/>
      <c r="F146" s="513"/>
      <c r="G146" s="513"/>
      <c r="H146" s="513"/>
      <c r="I146" s="513"/>
      <c r="J146" s="553"/>
      <c r="K146" s="91" t="s">
        <v>214</v>
      </c>
      <c r="L146" s="14" t="s">
        <v>5</v>
      </c>
      <c r="M146" s="14" t="s">
        <v>436</v>
      </c>
      <c r="N146" s="5">
        <v>0.8</v>
      </c>
      <c r="O146" s="556"/>
      <c r="P146" s="559"/>
      <c r="Q146" s="516"/>
      <c r="R146" s="519"/>
      <c r="S146" s="563"/>
      <c r="T146" s="507"/>
      <c r="U146" s="565"/>
      <c r="V146" s="123"/>
      <c r="W146" s="124"/>
      <c r="X146" s="71" t="s">
        <v>410</v>
      </c>
      <c r="Y146" s="69" t="e">
        <f>'#1 - 메인 UI'!#REF!</f>
        <v>#REF!</v>
      </c>
      <c r="Z146" s="70" t="e">
        <f>'#1 - 메인 UI'!#REF!</f>
        <v>#REF!</v>
      </c>
      <c r="AA146" s="134" t="e">
        <f>VLOOKUP(Z146,데이터유효성!$B$2:$C$5,2,FALSE)</f>
        <v>#REF!</v>
      </c>
      <c r="AB146" s="49">
        <v>0.25</v>
      </c>
      <c r="AC146" s="49">
        <v>0.5</v>
      </c>
      <c r="AD146" s="49">
        <v>0.75</v>
      </c>
      <c r="AE146" s="49">
        <v>1</v>
      </c>
      <c r="AF146" s="48"/>
    </row>
    <row r="147" spans="2:32" ht="19.899999999999999" customHeight="1">
      <c r="B147" s="547"/>
      <c r="C147" s="550"/>
      <c r="D147" s="513"/>
      <c r="E147" s="513"/>
      <c r="F147" s="513"/>
      <c r="G147" s="513"/>
      <c r="H147" s="513"/>
      <c r="I147" s="513"/>
      <c r="J147" s="553"/>
      <c r="K147" s="91" t="s">
        <v>214</v>
      </c>
      <c r="L147" s="14" t="s">
        <v>6</v>
      </c>
      <c r="M147" s="14" t="s">
        <v>437</v>
      </c>
      <c r="N147" s="5">
        <v>0.6</v>
      </c>
      <c r="O147" s="556"/>
      <c r="P147" s="559"/>
      <c r="Q147" s="516"/>
      <c r="R147" s="519"/>
      <c r="S147" s="563"/>
      <c r="T147" s="507"/>
      <c r="U147" s="565"/>
      <c r="V147" s="125"/>
      <c r="W147" s="126"/>
      <c r="X147" s="52"/>
      <c r="Y147" s="44"/>
      <c r="Z147" s="44"/>
      <c r="AA147" s="2"/>
      <c r="AB147" s="44"/>
      <c r="AC147" s="44"/>
      <c r="AD147" s="44"/>
      <c r="AE147" s="44"/>
      <c r="AF147" s="45"/>
    </row>
    <row r="148" spans="2:32" ht="19.899999999999999" customHeight="1">
      <c r="B148" s="547"/>
      <c r="C148" s="550"/>
      <c r="D148" s="513"/>
      <c r="E148" s="513"/>
      <c r="F148" s="513"/>
      <c r="G148" s="513"/>
      <c r="H148" s="513"/>
      <c r="I148" s="513"/>
      <c r="J148" s="553"/>
      <c r="K148" s="91" t="s">
        <v>214</v>
      </c>
      <c r="L148" s="14" t="s">
        <v>7</v>
      </c>
      <c r="M148" s="14" t="s">
        <v>438</v>
      </c>
      <c r="N148" s="5">
        <v>0.4</v>
      </c>
      <c r="O148" s="556"/>
      <c r="P148" s="559"/>
      <c r="Q148" s="516"/>
      <c r="R148" s="519"/>
      <c r="S148" s="563"/>
      <c r="T148" s="507"/>
      <c r="U148" s="565"/>
      <c r="V148" s="125"/>
      <c r="W148" s="126"/>
      <c r="X148" s="52"/>
      <c r="Y148" s="44"/>
      <c r="Z148" s="44"/>
      <c r="AA148" s="2"/>
      <c r="AB148" s="44"/>
      <c r="AC148" s="44"/>
      <c r="AD148" s="44"/>
      <c r="AE148" s="44"/>
      <c r="AF148" s="45"/>
    </row>
    <row r="149" spans="2:32" ht="115.15" customHeight="1" thickBot="1">
      <c r="B149" s="548"/>
      <c r="C149" s="551"/>
      <c r="D149" s="514"/>
      <c r="E149" s="514"/>
      <c r="F149" s="514"/>
      <c r="G149" s="514"/>
      <c r="H149" s="514"/>
      <c r="I149" s="514"/>
      <c r="J149" s="554"/>
      <c r="K149" s="92"/>
      <c r="L149" s="42"/>
      <c r="M149" s="42"/>
      <c r="N149" s="41"/>
      <c r="O149" s="557"/>
      <c r="P149" s="560"/>
      <c r="Q149" s="517"/>
      <c r="R149" s="520"/>
      <c r="S149" s="563"/>
      <c r="T149" s="508"/>
      <c r="U149" s="566"/>
      <c r="V149" s="125"/>
      <c r="W149" s="126"/>
      <c r="X149" s="52"/>
      <c r="Y149" s="44"/>
      <c r="Z149" s="44"/>
      <c r="AA149" s="2"/>
      <c r="AB149" s="56"/>
      <c r="AC149" s="56"/>
      <c r="AD149" s="56"/>
      <c r="AE149" s="56"/>
      <c r="AF149" s="45"/>
    </row>
    <row r="150" spans="2:32" ht="19.899999999999999" customHeight="1" thickBot="1">
      <c r="B150" s="546" t="s">
        <v>76</v>
      </c>
      <c r="C150" s="549" t="s">
        <v>80</v>
      </c>
      <c r="D150" s="512">
        <f>HLOOKUP($J$1,$E$12:$I154,139,FALSE)</f>
        <v>3</v>
      </c>
      <c r="E150" s="512">
        <v>3</v>
      </c>
      <c r="F150" s="512">
        <v>3</v>
      </c>
      <c r="G150" s="512">
        <v>3</v>
      </c>
      <c r="H150" s="512">
        <v>3</v>
      </c>
      <c r="I150" s="512">
        <v>3</v>
      </c>
      <c r="J150" s="552" t="s">
        <v>244</v>
      </c>
      <c r="K150" s="90" t="s">
        <v>24</v>
      </c>
      <c r="L150" s="88" t="s">
        <v>4</v>
      </c>
      <c r="M150" s="88" t="s">
        <v>245</v>
      </c>
      <c r="N150" s="89">
        <v>1</v>
      </c>
      <c r="O150" s="555"/>
      <c r="P150" s="558" t="e">
        <f>'#1 - 메인 UI'!#REF!</f>
        <v>#REF!</v>
      </c>
      <c r="Q150" s="515" t="e">
        <f>'#1 - 메인 UI'!#REF!</f>
        <v>#REF!</v>
      </c>
      <c r="R150" s="518">
        <f t="shared" si="41"/>
        <v>3</v>
      </c>
      <c r="S150" s="563">
        <f t="shared" ref="S150" si="46">IFERROR(VLOOKUP(Q150,L150:N154,3,FALSE),0)</f>
        <v>0</v>
      </c>
      <c r="T150" s="506">
        <f>IFERROR(+R150*S150,0)</f>
        <v>0</v>
      </c>
      <c r="U150" s="564">
        <f t="shared" ref="U150" si="47">ROUND((T150/$D$161)*$J$161,4)</f>
        <v>0</v>
      </c>
      <c r="V150" s="123"/>
      <c r="W150" s="124"/>
      <c r="X150" s="71" t="s">
        <v>411</v>
      </c>
      <c r="Y150" s="69" t="e">
        <f>'#1 - 메인 UI'!#REF!</f>
        <v>#REF!</v>
      </c>
      <c r="Z150" s="70" t="e">
        <f>'#1 - 메인 UI'!#REF!</f>
        <v>#REF!</v>
      </c>
      <c r="AA150" s="134" t="e">
        <f>VLOOKUP(Z150,데이터유효성!$B$2:$C$5,2,FALSE)</f>
        <v>#REF!</v>
      </c>
      <c r="AB150" s="49">
        <v>0.25</v>
      </c>
      <c r="AC150" s="49">
        <v>0.5</v>
      </c>
      <c r="AD150" s="49">
        <v>0.75</v>
      </c>
      <c r="AE150" s="49">
        <v>1</v>
      </c>
      <c r="AF150" s="48"/>
    </row>
    <row r="151" spans="2:32" ht="19.899999999999999" customHeight="1" thickBot="1">
      <c r="B151" s="547"/>
      <c r="C151" s="550"/>
      <c r="D151" s="513"/>
      <c r="E151" s="513"/>
      <c r="F151" s="513"/>
      <c r="G151" s="513"/>
      <c r="H151" s="513"/>
      <c r="I151" s="513"/>
      <c r="J151" s="553"/>
      <c r="K151" s="91" t="s">
        <v>214</v>
      </c>
      <c r="L151" s="14" t="s">
        <v>5</v>
      </c>
      <c r="M151" s="14" t="s">
        <v>176</v>
      </c>
      <c r="N151" s="5">
        <v>0.8</v>
      </c>
      <c r="O151" s="556"/>
      <c r="P151" s="559"/>
      <c r="Q151" s="516"/>
      <c r="R151" s="519"/>
      <c r="S151" s="563"/>
      <c r="T151" s="507"/>
      <c r="U151" s="565"/>
      <c r="V151" s="123"/>
      <c r="W151" s="124"/>
      <c r="X151" s="71" t="s">
        <v>412</v>
      </c>
      <c r="Y151" s="69" t="e">
        <f>'#1 - 메인 UI'!#REF!</f>
        <v>#REF!</v>
      </c>
      <c r="Z151" s="70" t="e">
        <f>'#1 - 메인 UI'!#REF!</f>
        <v>#REF!</v>
      </c>
      <c r="AA151" s="134" t="e">
        <f>VLOOKUP(Z151,데이터유효성!$B$2:$C$5,2,FALSE)</f>
        <v>#REF!</v>
      </c>
      <c r="AB151" s="49">
        <v>0.25</v>
      </c>
      <c r="AC151" s="49">
        <v>0.5</v>
      </c>
      <c r="AD151" s="49">
        <v>0.75</v>
      </c>
      <c r="AE151" s="49">
        <v>1</v>
      </c>
      <c r="AF151" s="48"/>
    </row>
    <row r="152" spans="2:32" ht="19.899999999999999" customHeight="1">
      <c r="B152" s="547"/>
      <c r="C152" s="550"/>
      <c r="D152" s="513"/>
      <c r="E152" s="513"/>
      <c r="F152" s="513"/>
      <c r="G152" s="513"/>
      <c r="H152" s="513"/>
      <c r="I152" s="513"/>
      <c r="J152" s="553"/>
      <c r="K152" s="91" t="s">
        <v>214</v>
      </c>
      <c r="L152" s="14" t="s">
        <v>6</v>
      </c>
      <c r="M152" s="14" t="s">
        <v>178</v>
      </c>
      <c r="N152" s="5">
        <v>0.6</v>
      </c>
      <c r="O152" s="556"/>
      <c r="P152" s="559"/>
      <c r="Q152" s="516"/>
      <c r="R152" s="519"/>
      <c r="S152" s="563"/>
      <c r="T152" s="507"/>
      <c r="U152" s="565"/>
      <c r="V152" s="125"/>
      <c r="W152" s="126"/>
      <c r="X152" s="52"/>
      <c r="Y152" s="44"/>
      <c r="Z152" s="44"/>
      <c r="AA152" s="2"/>
      <c r="AB152" s="44"/>
      <c r="AC152" s="44"/>
      <c r="AD152" s="44"/>
      <c r="AE152" s="44"/>
      <c r="AF152" s="45"/>
    </row>
    <row r="153" spans="2:32" ht="19.899999999999999" customHeight="1">
      <c r="B153" s="547"/>
      <c r="C153" s="550"/>
      <c r="D153" s="513"/>
      <c r="E153" s="513"/>
      <c r="F153" s="513"/>
      <c r="G153" s="513"/>
      <c r="H153" s="513"/>
      <c r="I153" s="513"/>
      <c r="J153" s="553"/>
      <c r="K153" s="91" t="s">
        <v>214</v>
      </c>
      <c r="L153" s="14" t="s">
        <v>7</v>
      </c>
      <c r="M153" s="14" t="s">
        <v>177</v>
      </c>
      <c r="N153" s="5">
        <v>0.4</v>
      </c>
      <c r="O153" s="556"/>
      <c r="P153" s="559"/>
      <c r="Q153" s="516"/>
      <c r="R153" s="519"/>
      <c r="S153" s="563"/>
      <c r="T153" s="507"/>
      <c r="U153" s="565"/>
      <c r="V153" s="125"/>
      <c r="W153" s="126"/>
      <c r="X153" s="52"/>
      <c r="Y153" s="44"/>
      <c r="Z153" s="44"/>
      <c r="AA153" s="2"/>
      <c r="AB153" s="44"/>
      <c r="AC153" s="44"/>
      <c r="AD153" s="44"/>
      <c r="AE153" s="44"/>
      <c r="AF153" s="45"/>
    </row>
    <row r="154" spans="2:32" ht="115.15" customHeight="1" thickBot="1">
      <c r="B154" s="548"/>
      <c r="C154" s="551"/>
      <c r="D154" s="514"/>
      <c r="E154" s="514"/>
      <c r="F154" s="514"/>
      <c r="G154" s="514"/>
      <c r="H154" s="514"/>
      <c r="I154" s="514"/>
      <c r="J154" s="554"/>
      <c r="K154" s="92"/>
      <c r="L154" s="42"/>
      <c r="M154" s="42"/>
      <c r="N154" s="41"/>
      <c r="O154" s="557"/>
      <c r="P154" s="560"/>
      <c r="Q154" s="517"/>
      <c r="R154" s="520"/>
      <c r="S154" s="563"/>
      <c r="T154" s="508"/>
      <c r="U154" s="566"/>
      <c r="V154" s="125"/>
      <c r="W154" s="126"/>
      <c r="X154" s="52"/>
      <c r="Y154" s="44"/>
      <c r="Z154" s="44"/>
      <c r="AA154" s="2"/>
      <c r="AB154" s="56"/>
      <c r="AC154" s="56"/>
      <c r="AD154" s="56"/>
      <c r="AE154" s="56"/>
      <c r="AF154" s="45"/>
    </row>
    <row r="155" spans="2:32" ht="19.899999999999999" customHeight="1" thickBot="1">
      <c r="B155" s="546" t="s">
        <v>77</v>
      </c>
      <c r="C155" s="549" t="s">
        <v>81</v>
      </c>
      <c r="D155" s="512">
        <f>HLOOKUP($J$1,$E$12:$I159,144,FALSE)</f>
        <v>2</v>
      </c>
      <c r="E155" s="512">
        <v>2</v>
      </c>
      <c r="F155" s="512">
        <v>2</v>
      </c>
      <c r="G155" s="512">
        <v>2</v>
      </c>
      <c r="H155" s="512">
        <v>2</v>
      </c>
      <c r="I155" s="512">
        <v>2</v>
      </c>
      <c r="J155" s="552" t="s">
        <v>181</v>
      </c>
      <c r="K155" s="90" t="s">
        <v>24</v>
      </c>
      <c r="L155" s="88" t="s">
        <v>4</v>
      </c>
      <c r="M155" s="88" t="s">
        <v>180</v>
      </c>
      <c r="N155" s="89">
        <v>1</v>
      </c>
      <c r="O155" s="555"/>
      <c r="P155" s="558" t="e">
        <f>'#1 - 메인 UI'!#REF!</f>
        <v>#REF!</v>
      </c>
      <c r="Q155" s="515" t="e">
        <f>'#1 - 메인 UI'!#REF!</f>
        <v>#REF!</v>
      </c>
      <c r="R155" s="518">
        <f t="shared" ref="R155" si="48">D155</f>
        <v>2</v>
      </c>
      <c r="S155" s="563">
        <f t="shared" ref="S155" si="49">IFERROR(VLOOKUP(Q155,L155:N159,3,FALSE),0)</f>
        <v>0</v>
      </c>
      <c r="T155" s="506">
        <f>IFERROR(+R155*S155,0)</f>
        <v>0</v>
      </c>
      <c r="U155" s="564">
        <f t="shared" ref="U155" si="50">ROUND((T155/$D$161)*$J$161,4)</f>
        <v>0</v>
      </c>
      <c r="V155" s="123"/>
      <c r="W155" s="124"/>
      <c r="X155" s="71" t="s">
        <v>413</v>
      </c>
      <c r="Y155" s="69" t="e">
        <f>'#1 - 메인 UI'!#REF!</f>
        <v>#REF!</v>
      </c>
      <c r="Z155" s="70" t="e">
        <f>'#1 - 메인 UI'!#REF!</f>
        <v>#REF!</v>
      </c>
      <c r="AA155" s="134" t="e">
        <f>VLOOKUP(Z155,데이터유효성!$B$2:$C$5,2,FALSE)</f>
        <v>#REF!</v>
      </c>
      <c r="AB155" s="49">
        <v>0.25</v>
      </c>
      <c r="AC155" s="49">
        <v>0.5</v>
      </c>
      <c r="AD155" s="49">
        <v>0.75</v>
      </c>
      <c r="AE155" s="49">
        <v>1</v>
      </c>
      <c r="AF155" s="48"/>
    </row>
    <row r="156" spans="2:32" ht="19.899999999999999" customHeight="1" thickBot="1">
      <c r="B156" s="547"/>
      <c r="C156" s="550"/>
      <c r="D156" s="513"/>
      <c r="E156" s="513"/>
      <c r="F156" s="513"/>
      <c r="G156" s="513"/>
      <c r="H156" s="513"/>
      <c r="I156" s="513"/>
      <c r="J156" s="553"/>
      <c r="K156" s="91" t="s">
        <v>214</v>
      </c>
      <c r="L156" s="14" t="s">
        <v>5</v>
      </c>
      <c r="M156" s="14" t="s">
        <v>179</v>
      </c>
      <c r="N156" s="5">
        <v>0.8</v>
      </c>
      <c r="O156" s="556"/>
      <c r="P156" s="559"/>
      <c r="Q156" s="516"/>
      <c r="R156" s="519"/>
      <c r="S156" s="563"/>
      <c r="T156" s="507"/>
      <c r="U156" s="565"/>
      <c r="V156" s="123"/>
      <c r="W156" s="124"/>
      <c r="X156" s="71" t="s">
        <v>461</v>
      </c>
      <c r="Y156" s="69" t="e">
        <f>'#1 - 메인 UI'!#REF!</f>
        <v>#REF!</v>
      </c>
      <c r="Z156" s="70" t="e">
        <f>'#1 - 메인 UI'!#REF!</f>
        <v>#REF!</v>
      </c>
      <c r="AA156" s="134" t="e">
        <f>VLOOKUP(Z156,데이터유효성!$B$2:$C$5,2,FALSE)</f>
        <v>#REF!</v>
      </c>
      <c r="AB156" s="49">
        <v>0.25</v>
      </c>
      <c r="AC156" s="49">
        <v>0.5</v>
      </c>
      <c r="AD156" s="49">
        <v>0.75</v>
      </c>
      <c r="AE156" s="49">
        <v>1</v>
      </c>
      <c r="AF156" s="48"/>
    </row>
    <row r="157" spans="2:32" ht="19.899999999999999" customHeight="1">
      <c r="B157" s="547"/>
      <c r="C157" s="550"/>
      <c r="D157" s="513"/>
      <c r="E157" s="513"/>
      <c r="F157" s="513"/>
      <c r="G157" s="513"/>
      <c r="H157" s="513"/>
      <c r="I157" s="513"/>
      <c r="J157" s="553"/>
      <c r="K157" s="91" t="s">
        <v>214</v>
      </c>
      <c r="L157" s="14" t="s">
        <v>6</v>
      </c>
      <c r="M157" s="14" t="s">
        <v>439</v>
      </c>
      <c r="N157" s="5">
        <v>0.6</v>
      </c>
      <c r="O157" s="556"/>
      <c r="P157" s="559"/>
      <c r="Q157" s="516"/>
      <c r="R157" s="519"/>
      <c r="S157" s="563"/>
      <c r="T157" s="507"/>
      <c r="U157" s="565"/>
      <c r="V157" s="125"/>
      <c r="W157" s="126"/>
      <c r="X157" s="52"/>
      <c r="Y157" s="44"/>
      <c r="Z157" s="44"/>
      <c r="AA157" s="2"/>
      <c r="AB157" s="44"/>
      <c r="AC157" s="44"/>
      <c r="AD157" s="44"/>
      <c r="AE157" s="44"/>
      <c r="AF157" s="45"/>
    </row>
    <row r="158" spans="2:32" ht="19.899999999999999" customHeight="1">
      <c r="B158" s="547"/>
      <c r="C158" s="550"/>
      <c r="D158" s="513"/>
      <c r="E158" s="513"/>
      <c r="F158" s="513"/>
      <c r="G158" s="513"/>
      <c r="H158" s="513"/>
      <c r="I158" s="513"/>
      <c r="J158" s="553"/>
      <c r="K158" s="91" t="s">
        <v>214</v>
      </c>
      <c r="L158" s="14" t="s">
        <v>7</v>
      </c>
      <c r="M158" s="14" t="s">
        <v>440</v>
      </c>
      <c r="N158" s="5">
        <v>0.4</v>
      </c>
      <c r="O158" s="556"/>
      <c r="P158" s="559"/>
      <c r="Q158" s="516"/>
      <c r="R158" s="519"/>
      <c r="S158" s="563"/>
      <c r="T158" s="507"/>
      <c r="U158" s="565"/>
      <c r="V158" s="125"/>
      <c r="W158" s="126"/>
      <c r="X158" s="52"/>
      <c r="Y158" s="44"/>
      <c r="Z158" s="44"/>
      <c r="AA158" s="2"/>
      <c r="AB158" s="44"/>
      <c r="AC158" s="44"/>
      <c r="AD158" s="44"/>
      <c r="AE158" s="44"/>
      <c r="AF158" s="45"/>
    </row>
    <row r="159" spans="2:32" ht="115.15" customHeight="1">
      <c r="B159" s="548"/>
      <c r="C159" s="551"/>
      <c r="D159" s="514"/>
      <c r="E159" s="514"/>
      <c r="F159" s="514"/>
      <c r="G159" s="514"/>
      <c r="H159" s="514"/>
      <c r="I159" s="514"/>
      <c r="J159" s="554"/>
      <c r="K159" s="92"/>
      <c r="L159" s="42"/>
      <c r="M159" s="42"/>
      <c r="N159" s="41"/>
      <c r="O159" s="557"/>
      <c r="P159" s="560"/>
      <c r="Q159" s="517"/>
      <c r="R159" s="520"/>
      <c r="S159" s="563"/>
      <c r="T159" s="508"/>
      <c r="U159" s="566"/>
      <c r="V159" s="125"/>
      <c r="W159" s="126"/>
      <c r="X159" s="52"/>
      <c r="Y159" s="44"/>
      <c r="Z159" s="44"/>
      <c r="AA159" s="2"/>
      <c r="AB159" s="56"/>
      <c r="AC159" s="56"/>
      <c r="AD159" s="56"/>
      <c r="AE159" s="56"/>
      <c r="AF159" s="45"/>
    </row>
    <row r="160" spans="2:32" ht="4.9000000000000004" customHeight="1">
      <c r="B160" s="81"/>
      <c r="C160" s="82"/>
      <c r="D160" s="83"/>
      <c r="E160" s="83"/>
      <c r="F160" s="83"/>
      <c r="G160" s="83"/>
      <c r="H160" s="83"/>
      <c r="I160" s="83"/>
      <c r="J160" s="84"/>
      <c r="K160" s="3"/>
      <c r="O160" s="68"/>
      <c r="P160" s="196"/>
      <c r="Q160" s="85"/>
      <c r="R160" s="85"/>
      <c r="S160" s="85"/>
      <c r="T160" s="86"/>
      <c r="U160" s="86"/>
      <c r="V160" s="125"/>
      <c r="W160" s="126"/>
      <c r="X160" s="52"/>
      <c r="Y160" s="44"/>
      <c r="Z160" s="44"/>
      <c r="AA160" s="2"/>
      <c r="AB160" s="43"/>
      <c r="AC160" s="43"/>
      <c r="AD160" s="43"/>
      <c r="AE160" s="43"/>
      <c r="AF160" s="45"/>
    </row>
    <row r="161" spans="2:32" ht="25.35" customHeight="1">
      <c r="B161" s="561" t="s">
        <v>52</v>
      </c>
      <c r="C161" s="561"/>
      <c r="D161" s="73">
        <f>SUM(D140:D159)</f>
        <v>14</v>
      </c>
      <c r="E161" s="73">
        <f t="shared" ref="E161:I161" si="51">SUM(E140:E159)</f>
        <v>14</v>
      </c>
      <c r="F161" s="73">
        <f t="shared" si="51"/>
        <v>14</v>
      </c>
      <c r="G161" s="73">
        <f t="shared" si="51"/>
        <v>14</v>
      </c>
      <c r="H161" s="73">
        <f t="shared" si="51"/>
        <v>14</v>
      </c>
      <c r="I161" s="73">
        <f t="shared" si="51"/>
        <v>14</v>
      </c>
      <c r="J161" s="110">
        <v>10</v>
      </c>
      <c r="K161" s="72"/>
      <c r="L161" s="75"/>
      <c r="M161" s="76"/>
      <c r="N161" s="77"/>
      <c r="O161" s="74"/>
      <c r="P161" s="197"/>
      <c r="Q161" s="80"/>
      <c r="R161" s="80"/>
      <c r="S161" s="80"/>
      <c r="T161" s="118">
        <f>ROUND(SUM(T140:T159),2)</f>
        <v>0</v>
      </c>
      <c r="U161" s="115">
        <f>ROUND(SUM(U140:U159),2)</f>
        <v>0</v>
      </c>
      <c r="V161" s="121"/>
      <c r="W161" s="122"/>
      <c r="X161" s="95"/>
      <c r="Y161" s="97"/>
      <c r="Z161" s="78"/>
      <c r="AA161" s="78"/>
      <c r="AB161" s="78"/>
      <c r="AC161" s="78"/>
      <c r="AD161" s="78"/>
      <c r="AE161" s="78"/>
    </row>
    <row r="162" spans="2:32" ht="19.899999999999999" customHeight="1">
      <c r="V162" s="121"/>
      <c r="W162" s="122"/>
    </row>
    <row r="163" spans="2:32" ht="31.5">
      <c r="B163" s="175" t="s">
        <v>82</v>
      </c>
      <c r="C163" s="39" t="s">
        <v>83</v>
      </c>
      <c r="D163" s="4"/>
      <c r="E163" s="4"/>
      <c r="F163" s="4"/>
      <c r="G163" s="4"/>
      <c r="H163" s="4"/>
      <c r="I163" s="4"/>
      <c r="J163" s="4"/>
      <c r="K163" s="3"/>
      <c r="O163" s="525"/>
      <c r="P163" s="526"/>
      <c r="Q163" s="116">
        <f>U188</f>
        <v>0</v>
      </c>
      <c r="R163" s="112"/>
      <c r="S163" s="112"/>
      <c r="T163" s="113" t="s">
        <v>23</v>
      </c>
      <c r="U163" s="114">
        <f>J188</f>
        <v>7</v>
      </c>
      <c r="V163" s="121"/>
      <c r="W163" s="122"/>
      <c r="X163" s="562"/>
      <c r="Y163" s="562"/>
      <c r="Z163" s="37"/>
      <c r="AA163" s="37"/>
      <c r="AB163" s="37"/>
      <c r="AC163" s="37"/>
      <c r="AD163" s="37"/>
      <c r="AE163" s="37"/>
    </row>
    <row r="164" spans="2:32" ht="4.9000000000000004" customHeight="1">
      <c r="B164" s="47"/>
      <c r="C164" s="8"/>
      <c r="D164" s="4"/>
      <c r="E164" s="4"/>
      <c r="F164" s="4"/>
      <c r="G164" s="4"/>
      <c r="H164" s="4"/>
      <c r="I164" s="4"/>
      <c r="J164" s="4"/>
      <c r="K164" s="9"/>
      <c r="L164" s="8"/>
      <c r="O164" s="527"/>
      <c r="P164" s="527"/>
      <c r="Q164" s="2"/>
      <c r="R164" s="2"/>
      <c r="S164" s="2"/>
      <c r="V164" s="121"/>
      <c r="W164" s="122"/>
      <c r="X164" s="527"/>
      <c r="Y164" s="527"/>
      <c r="Z164" s="40"/>
      <c r="AA164" s="40"/>
      <c r="AB164" s="40"/>
      <c r="AC164" s="40"/>
      <c r="AD164" s="40"/>
      <c r="AE164" s="40"/>
    </row>
    <row r="165" spans="2:32" ht="25.15" customHeight="1">
      <c r="B165" s="528" t="s">
        <v>12</v>
      </c>
      <c r="C165" s="529"/>
      <c r="D165" s="67" t="s">
        <v>3</v>
      </c>
      <c r="E165" s="67" t="str">
        <f>E$12</f>
        <v>신축 비주거-일반건축물</v>
      </c>
      <c r="F165" s="67" t="str">
        <f t="shared" ref="F165:I165" si="52">F$12</f>
        <v>신축 비주거-업무용건축물</v>
      </c>
      <c r="G165" s="67" t="str">
        <f t="shared" si="52"/>
        <v>신축 비주거-학교</v>
      </c>
      <c r="H165" s="67" t="str">
        <f t="shared" si="52"/>
        <v>신축 비주거-판매시설</v>
      </c>
      <c r="I165" s="67" t="str">
        <f t="shared" si="52"/>
        <v>신축 비주거-숙박시설</v>
      </c>
      <c r="J165" s="67" t="s">
        <v>37</v>
      </c>
      <c r="K165" s="530" t="s">
        <v>36</v>
      </c>
      <c r="L165" s="531"/>
      <c r="M165" s="531"/>
      <c r="N165" s="528"/>
      <c r="O165" s="532" t="s">
        <v>132</v>
      </c>
      <c r="P165" s="533"/>
      <c r="Q165" s="66" t="str">
        <f>Q$12</f>
        <v>등급</v>
      </c>
      <c r="R165" s="66" t="str">
        <f>R$12</f>
        <v>배점</v>
      </c>
      <c r="S165" s="66" t="str">
        <f>S$12</f>
        <v>가중치</v>
      </c>
      <c r="T165" s="66" t="str">
        <f>T$12</f>
        <v>평점</v>
      </c>
      <c r="U165" s="66" t="str">
        <f>U$12</f>
        <v>환산점</v>
      </c>
      <c r="V165" s="121"/>
      <c r="W165" s="122"/>
      <c r="X165" s="534" t="s">
        <v>45</v>
      </c>
      <c r="Y165" s="535"/>
      <c r="Z165" s="535"/>
      <c r="AA165" s="130"/>
      <c r="AB165" s="535" t="s">
        <v>133</v>
      </c>
      <c r="AC165" s="535"/>
      <c r="AD165" s="535"/>
      <c r="AE165" s="535"/>
    </row>
    <row r="166" spans="2:32" ht="4.9000000000000004" customHeight="1" thickBot="1">
      <c r="B166" s="47"/>
      <c r="C166" s="9"/>
      <c r="D166" s="4"/>
      <c r="E166" s="4"/>
      <c r="F166" s="4"/>
      <c r="G166" s="4"/>
      <c r="H166" s="4"/>
      <c r="I166" s="4"/>
      <c r="J166" s="4"/>
      <c r="K166" s="9"/>
      <c r="L166" s="8"/>
      <c r="O166" s="40"/>
      <c r="P166" s="192"/>
      <c r="Q166" s="2"/>
      <c r="R166" s="2"/>
      <c r="S166" s="2"/>
      <c r="V166" s="121"/>
      <c r="W166" s="122"/>
      <c r="X166" s="51"/>
      <c r="Y166" s="40"/>
      <c r="Z166" s="40"/>
      <c r="AA166" s="40"/>
      <c r="AB166" s="40"/>
      <c r="AC166" s="40"/>
      <c r="AD166" s="40"/>
      <c r="AE166" s="40"/>
    </row>
    <row r="167" spans="2:32" ht="19.899999999999999" customHeight="1" thickBot="1">
      <c r="B167" s="546" t="s">
        <v>86</v>
      </c>
      <c r="C167" s="549" t="s">
        <v>84</v>
      </c>
      <c r="D167" s="512">
        <f>HLOOKUP($J$1,$E$12:$I171,156,FALSE)</f>
        <v>2</v>
      </c>
      <c r="E167" s="512">
        <v>2</v>
      </c>
      <c r="F167" s="512">
        <v>2</v>
      </c>
      <c r="G167" s="512">
        <v>2</v>
      </c>
      <c r="H167" s="512">
        <v>2</v>
      </c>
      <c r="I167" s="512">
        <v>2</v>
      </c>
      <c r="J167" s="552" t="s">
        <v>246</v>
      </c>
      <c r="K167" s="90" t="s">
        <v>24</v>
      </c>
      <c r="L167" s="88" t="s">
        <v>4</v>
      </c>
      <c r="M167" s="88" t="s">
        <v>441</v>
      </c>
      <c r="N167" s="89">
        <v>1</v>
      </c>
      <c r="O167" s="555"/>
      <c r="P167" s="558" t="e">
        <f>'#1 - 메인 UI'!#REF!</f>
        <v>#REF!</v>
      </c>
      <c r="Q167" s="515" t="e">
        <f>'#1 - 메인 UI'!#REF!</f>
        <v>#REF!</v>
      </c>
      <c r="R167" s="518">
        <f t="shared" ref="R167:R177" si="53">D167</f>
        <v>2</v>
      </c>
      <c r="S167" s="563">
        <f t="shared" ref="S167" si="54">IFERROR(VLOOKUP(Q167,L167:N171,3,FALSE),0)</f>
        <v>0</v>
      </c>
      <c r="T167" s="506">
        <f>IFERROR(+R167*S167,0)</f>
        <v>0</v>
      </c>
      <c r="U167" s="564">
        <f>ROUND((T167/$D$188)*$J$188,4)</f>
        <v>0</v>
      </c>
      <c r="V167" s="123"/>
      <c r="W167" s="124"/>
      <c r="X167" s="71" t="s">
        <v>414</v>
      </c>
      <c r="Y167" s="69" t="e">
        <f>'#1 - 메인 UI'!#REF!</f>
        <v>#REF!</v>
      </c>
      <c r="Z167" s="70" t="e">
        <f>'#1 - 메인 UI'!#REF!</f>
        <v>#REF!</v>
      </c>
      <c r="AA167" s="134" t="e">
        <f>VLOOKUP(Z167,데이터유효성!$B$2:$C$5,2,FALSE)</f>
        <v>#REF!</v>
      </c>
      <c r="AB167" s="49">
        <v>0.25</v>
      </c>
      <c r="AC167" s="49">
        <v>0.5</v>
      </c>
      <c r="AD167" s="49">
        <v>0.75</v>
      </c>
      <c r="AE167" s="49">
        <v>1</v>
      </c>
      <c r="AF167" s="48"/>
    </row>
    <row r="168" spans="2:32" ht="19.899999999999999" customHeight="1">
      <c r="B168" s="547"/>
      <c r="C168" s="550"/>
      <c r="D168" s="513"/>
      <c r="E168" s="513"/>
      <c r="F168" s="513"/>
      <c r="G168" s="513"/>
      <c r="H168" s="513"/>
      <c r="I168" s="513"/>
      <c r="J168" s="553"/>
      <c r="K168" s="91" t="s">
        <v>214</v>
      </c>
      <c r="L168" s="14" t="s">
        <v>5</v>
      </c>
      <c r="M168" s="14" t="s">
        <v>443</v>
      </c>
      <c r="N168" s="5">
        <v>0.8</v>
      </c>
      <c r="O168" s="556"/>
      <c r="P168" s="559"/>
      <c r="Q168" s="516"/>
      <c r="R168" s="519"/>
      <c r="S168" s="563"/>
      <c r="T168" s="507"/>
      <c r="U168" s="565"/>
      <c r="V168" s="123"/>
      <c r="W168" s="124"/>
      <c r="X168" s="52"/>
      <c r="Y168" s="44"/>
      <c r="Z168" s="44"/>
      <c r="AA168" s="2"/>
      <c r="AB168" s="44"/>
      <c r="AC168" s="44"/>
      <c r="AD168" s="44"/>
      <c r="AE168" s="44"/>
      <c r="AF168" s="48"/>
    </row>
    <row r="169" spans="2:32" ht="19.899999999999999" customHeight="1">
      <c r="B169" s="547"/>
      <c r="C169" s="550"/>
      <c r="D169" s="513"/>
      <c r="E169" s="513"/>
      <c r="F169" s="513"/>
      <c r="G169" s="513"/>
      <c r="H169" s="513"/>
      <c r="I169" s="513"/>
      <c r="J169" s="553"/>
      <c r="K169" s="91" t="s">
        <v>214</v>
      </c>
      <c r="L169" s="14" t="s">
        <v>6</v>
      </c>
      <c r="M169" s="14" t="s">
        <v>442</v>
      </c>
      <c r="N169" s="5">
        <v>0.6</v>
      </c>
      <c r="O169" s="556"/>
      <c r="P169" s="559"/>
      <c r="Q169" s="516"/>
      <c r="R169" s="519"/>
      <c r="S169" s="563"/>
      <c r="T169" s="507"/>
      <c r="U169" s="565"/>
      <c r="V169" s="125"/>
      <c r="W169" s="126"/>
      <c r="X169" s="52"/>
      <c r="Y169" s="44"/>
      <c r="Z169" s="44"/>
      <c r="AA169" s="2"/>
      <c r="AB169" s="44"/>
      <c r="AC169" s="44"/>
      <c r="AD169" s="44"/>
      <c r="AE169" s="44"/>
      <c r="AF169" s="45"/>
    </row>
    <row r="170" spans="2:32" ht="19.899999999999999" customHeight="1">
      <c r="B170" s="547"/>
      <c r="C170" s="550"/>
      <c r="D170" s="513"/>
      <c r="E170" s="513"/>
      <c r="F170" s="513"/>
      <c r="G170" s="513"/>
      <c r="H170" s="513"/>
      <c r="I170" s="513"/>
      <c r="J170" s="553"/>
      <c r="K170" s="91" t="s">
        <v>214</v>
      </c>
      <c r="L170" s="14" t="s">
        <v>7</v>
      </c>
      <c r="M170" s="14" t="s">
        <v>247</v>
      </c>
      <c r="N170" s="5">
        <v>0.4</v>
      </c>
      <c r="O170" s="556"/>
      <c r="P170" s="559"/>
      <c r="Q170" s="516"/>
      <c r="R170" s="519"/>
      <c r="S170" s="563"/>
      <c r="T170" s="507"/>
      <c r="U170" s="565"/>
      <c r="V170" s="125"/>
      <c r="W170" s="126"/>
      <c r="X170" s="52"/>
      <c r="Y170" s="44"/>
      <c r="Z170" s="44"/>
      <c r="AA170" s="2"/>
      <c r="AB170" s="44"/>
      <c r="AC170" s="44"/>
      <c r="AD170" s="44"/>
      <c r="AE170" s="44"/>
      <c r="AF170" s="45"/>
    </row>
    <row r="171" spans="2:32" ht="31.9" customHeight="1" thickBot="1">
      <c r="B171" s="548"/>
      <c r="C171" s="551"/>
      <c r="D171" s="514"/>
      <c r="E171" s="514"/>
      <c r="F171" s="514"/>
      <c r="G171" s="514"/>
      <c r="H171" s="514"/>
      <c r="I171" s="514"/>
      <c r="J171" s="554"/>
      <c r="K171" s="92"/>
      <c r="L171" s="42"/>
      <c r="M171" s="42"/>
      <c r="N171" s="41"/>
      <c r="O171" s="557"/>
      <c r="P171" s="560"/>
      <c r="Q171" s="517"/>
      <c r="R171" s="520"/>
      <c r="S171" s="563"/>
      <c r="T171" s="508"/>
      <c r="U171" s="566"/>
      <c r="V171" s="125"/>
      <c r="W171" s="126"/>
      <c r="X171" s="52"/>
      <c r="Y171" s="44"/>
      <c r="Z171" s="44"/>
      <c r="AA171" s="2"/>
      <c r="AB171" s="44"/>
      <c r="AC171" s="44"/>
      <c r="AD171" s="44"/>
      <c r="AE171" s="44"/>
      <c r="AF171" s="45"/>
    </row>
    <row r="172" spans="2:32" ht="19.899999999999999" customHeight="1" thickBot="1">
      <c r="B172" s="546" t="s">
        <v>87</v>
      </c>
      <c r="C172" s="549" t="s">
        <v>85</v>
      </c>
      <c r="D172" s="512">
        <f>HLOOKUP($J$1,$E$12:$I176,161,FALSE)</f>
        <v>2</v>
      </c>
      <c r="E172" s="512">
        <v>2</v>
      </c>
      <c r="F172" s="512">
        <v>2</v>
      </c>
      <c r="G172" s="512">
        <v>2</v>
      </c>
      <c r="H172" s="512">
        <v>2</v>
      </c>
      <c r="I172" s="512">
        <v>2</v>
      </c>
      <c r="J172" s="552" t="s">
        <v>248</v>
      </c>
      <c r="K172" s="90" t="s">
        <v>24</v>
      </c>
      <c r="L172" s="88" t="s">
        <v>4</v>
      </c>
      <c r="M172" s="88" t="s">
        <v>249</v>
      </c>
      <c r="N172" s="89">
        <v>1</v>
      </c>
      <c r="O172" s="555"/>
      <c r="P172" s="558" t="e">
        <f>'#1 - 메인 UI'!#REF!</f>
        <v>#REF!</v>
      </c>
      <c r="Q172" s="515" t="e">
        <f>'#1 - 메인 UI'!#REF!</f>
        <v>#REF!</v>
      </c>
      <c r="R172" s="518">
        <f t="shared" ref="R172" si="55">D172</f>
        <v>2</v>
      </c>
      <c r="S172" s="563">
        <f t="shared" ref="S172" si="56">IFERROR(VLOOKUP(Q172,L172:N176,3,FALSE),0)</f>
        <v>0</v>
      </c>
      <c r="T172" s="506">
        <f>IFERROR(+R172*S172,0)</f>
        <v>0</v>
      </c>
      <c r="U172" s="564">
        <f t="shared" ref="U172" si="57">ROUND((T172/$D$188)*$J$188,4)</f>
        <v>0</v>
      </c>
      <c r="V172" s="123"/>
      <c r="W172" s="124"/>
      <c r="X172" s="71" t="s">
        <v>415</v>
      </c>
      <c r="Y172" s="69" t="e">
        <f>'#1 - 메인 UI'!#REF!</f>
        <v>#REF!</v>
      </c>
      <c r="Z172" s="70" t="e">
        <f>'#1 - 메인 UI'!#REF!</f>
        <v>#REF!</v>
      </c>
      <c r="AA172" s="134" t="e">
        <f>VLOOKUP(Z172,데이터유효성!$B$2:$C$5,2,FALSE)</f>
        <v>#REF!</v>
      </c>
      <c r="AB172" s="49">
        <v>0.25</v>
      </c>
      <c r="AC172" s="49">
        <v>0.5</v>
      </c>
      <c r="AD172" s="49">
        <v>0.75</v>
      </c>
      <c r="AE172" s="49">
        <v>1</v>
      </c>
      <c r="AF172" s="48"/>
    </row>
    <row r="173" spans="2:32" ht="19.899999999999999" customHeight="1">
      <c r="B173" s="547"/>
      <c r="C173" s="550"/>
      <c r="D173" s="513"/>
      <c r="E173" s="513"/>
      <c r="F173" s="513"/>
      <c r="G173" s="513"/>
      <c r="H173" s="513"/>
      <c r="I173" s="513"/>
      <c r="J173" s="553"/>
      <c r="K173" s="91" t="s">
        <v>214</v>
      </c>
      <c r="L173" s="14" t="s">
        <v>5</v>
      </c>
      <c r="M173" s="14" t="s">
        <v>250</v>
      </c>
      <c r="N173" s="5">
        <v>0.8</v>
      </c>
      <c r="O173" s="556"/>
      <c r="P173" s="559"/>
      <c r="Q173" s="516"/>
      <c r="R173" s="519"/>
      <c r="S173" s="563"/>
      <c r="T173" s="507"/>
      <c r="U173" s="565"/>
      <c r="V173" s="123"/>
      <c r="W173" s="124"/>
      <c r="X173" s="52"/>
      <c r="Y173" s="44"/>
      <c r="Z173" s="44"/>
      <c r="AA173" s="2"/>
      <c r="AB173" s="44"/>
      <c r="AC173" s="44"/>
      <c r="AD173" s="44"/>
      <c r="AE173" s="44"/>
      <c r="AF173" s="48"/>
    </row>
    <row r="174" spans="2:32" ht="19.899999999999999" customHeight="1">
      <c r="B174" s="547"/>
      <c r="C174" s="550"/>
      <c r="D174" s="513"/>
      <c r="E174" s="513"/>
      <c r="F174" s="513"/>
      <c r="G174" s="513"/>
      <c r="H174" s="513"/>
      <c r="I174" s="513"/>
      <c r="J174" s="553"/>
      <c r="K174" s="91" t="s">
        <v>214</v>
      </c>
      <c r="L174" s="14" t="s">
        <v>6</v>
      </c>
      <c r="M174" s="14" t="s">
        <v>251</v>
      </c>
      <c r="N174" s="5">
        <v>0.6</v>
      </c>
      <c r="O174" s="556"/>
      <c r="P174" s="559"/>
      <c r="Q174" s="516"/>
      <c r="R174" s="519"/>
      <c r="S174" s="563"/>
      <c r="T174" s="507"/>
      <c r="U174" s="565"/>
      <c r="V174" s="125"/>
      <c r="W174" s="126"/>
      <c r="X174" s="52"/>
      <c r="Y174" s="44"/>
      <c r="Z174" s="44"/>
      <c r="AA174" s="2"/>
      <c r="AB174" s="44"/>
      <c r="AC174" s="44"/>
      <c r="AD174" s="44"/>
      <c r="AE174" s="44"/>
      <c r="AF174" s="45"/>
    </row>
    <row r="175" spans="2:32" ht="19.899999999999999" customHeight="1">
      <c r="B175" s="547"/>
      <c r="C175" s="550"/>
      <c r="D175" s="513"/>
      <c r="E175" s="513"/>
      <c r="F175" s="513"/>
      <c r="G175" s="513"/>
      <c r="H175" s="513"/>
      <c r="I175" s="513"/>
      <c r="J175" s="553"/>
      <c r="K175" s="91" t="s">
        <v>214</v>
      </c>
      <c r="L175" s="14" t="s">
        <v>7</v>
      </c>
      <c r="M175" s="14" t="s">
        <v>252</v>
      </c>
      <c r="N175" s="5">
        <v>0.4</v>
      </c>
      <c r="O175" s="556"/>
      <c r="P175" s="559"/>
      <c r="Q175" s="516"/>
      <c r="R175" s="519"/>
      <c r="S175" s="563"/>
      <c r="T175" s="507"/>
      <c r="U175" s="565"/>
      <c r="V175" s="125"/>
      <c r="W175" s="126"/>
      <c r="X175" s="52"/>
      <c r="Y175" s="44"/>
      <c r="Z175" s="44"/>
      <c r="AA175" s="2"/>
      <c r="AB175" s="44"/>
      <c r="AC175" s="44"/>
      <c r="AD175" s="44"/>
      <c r="AE175" s="44"/>
      <c r="AF175" s="45"/>
    </row>
    <row r="176" spans="2:32" ht="31.15" customHeight="1" thickBot="1">
      <c r="B176" s="548"/>
      <c r="C176" s="551"/>
      <c r="D176" s="514"/>
      <c r="E176" s="514"/>
      <c r="F176" s="514"/>
      <c r="G176" s="514"/>
      <c r="H176" s="514"/>
      <c r="I176" s="514"/>
      <c r="J176" s="554"/>
      <c r="K176" s="92"/>
      <c r="L176" s="42"/>
      <c r="M176" s="42"/>
      <c r="N176" s="41"/>
      <c r="O176" s="557"/>
      <c r="P176" s="560"/>
      <c r="Q176" s="517"/>
      <c r="R176" s="520"/>
      <c r="S176" s="563"/>
      <c r="T176" s="508"/>
      <c r="U176" s="566"/>
      <c r="V176" s="125"/>
      <c r="W176" s="126"/>
      <c r="X176" s="52"/>
      <c r="Y176" s="44"/>
      <c r="Z176" s="44"/>
      <c r="AA176" s="2"/>
      <c r="AB176" s="56"/>
      <c r="AC176" s="56"/>
      <c r="AD176" s="56"/>
      <c r="AE176" s="56"/>
      <c r="AF176" s="45"/>
    </row>
    <row r="177" spans="2:32" ht="19.899999999999999" hidden="1" customHeight="1">
      <c r="B177" s="546" t="s">
        <v>88</v>
      </c>
      <c r="C177" s="549" t="s">
        <v>196</v>
      </c>
      <c r="D177" s="512" t="str">
        <f>HLOOKUP($J$1,$E$12:$I181,166,FALSE)</f>
        <v>제외</v>
      </c>
      <c r="E177" s="512" t="s">
        <v>212</v>
      </c>
      <c r="F177" s="512" t="s">
        <v>212</v>
      </c>
      <c r="G177" s="512">
        <v>1</v>
      </c>
      <c r="H177" s="512" t="s">
        <v>212</v>
      </c>
      <c r="I177" s="512" t="s">
        <v>212</v>
      </c>
      <c r="J177" s="552" t="s">
        <v>253</v>
      </c>
      <c r="K177" s="90" t="s">
        <v>24</v>
      </c>
      <c r="L177" s="88" t="s">
        <v>4</v>
      </c>
      <c r="M177" s="88" t="s">
        <v>374</v>
      </c>
      <c r="N177" s="89">
        <v>1</v>
      </c>
      <c r="O177" s="555"/>
      <c r="P177" s="193"/>
      <c r="Q177" s="515" t="s">
        <v>338</v>
      </c>
      <c r="R177" s="518" t="str">
        <f t="shared" si="53"/>
        <v>제외</v>
      </c>
      <c r="S177" s="563">
        <f t="shared" ref="S177" si="58">IFERROR(VLOOKUP(Q177,L177:N181,3,FALSE),0)</f>
        <v>0</v>
      </c>
      <c r="T177" s="506">
        <f>IFERROR(+R177*S177,0)</f>
        <v>0</v>
      </c>
      <c r="U177" s="564">
        <f t="shared" ref="U177" si="59">ROUND((T177/$D$188)*$J$188,4)</f>
        <v>0</v>
      </c>
      <c r="V177" s="123"/>
      <c r="W177" s="124"/>
      <c r="X177" s="52"/>
      <c r="Y177" s="44"/>
      <c r="Z177" s="44"/>
      <c r="AA177" s="2"/>
      <c r="AB177" s="44"/>
      <c r="AC177" s="44"/>
      <c r="AD177" s="44"/>
      <c r="AE177" s="44"/>
      <c r="AF177" s="48"/>
    </row>
    <row r="178" spans="2:32" ht="19.899999999999999" hidden="1" customHeight="1">
      <c r="B178" s="547"/>
      <c r="C178" s="550"/>
      <c r="D178" s="513"/>
      <c r="E178" s="513"/>
      <c r="F178" s="513"/>
      <c r="G178" s="513"/>
      <c r="H178" s="513"/>
      <c r="I178" s="513"/>
      <c r="J178" s="553"/>
      <c r="K178" s="91" t="s">
        <v>214</v>
      </c>
      <c r="L178" s="14" t="s">
        <v>5</v>
      </c>
      <c r="M178" s="14" t="s">
        <v>255</v>
      </c>
      <c r="N178" s="5">
        <v>0.7</v>
      </c>
      <c r="O178" s="556"/>
      <c r="P178" s="194"/>
      <c r="Q178" s="516"/>
      <c r="R178" s="519"/>
      <c r="S178" s="563"/>
      <c r="T178" s="507"/>
      <c r="U178" s="565"/>
      <c r="V178" s="123"/>
      <c r="W178" s="124"/>
      <c r="X178" s="52"/>
      <c r="Y178" s="44"/>
      <c r="Z178" s="44"/>
      <c r="AA178" s="2"/>
      <c r="AB178" s="44"/>
      <c r="AC178" s="44"/>
      <c r="AD178" s="44"/>
      <c r="AE178" s="44"/>
      <c r="AF178" s="48"/>
    </row>
    <row r="179" spans="2:32" ht="19.899999999999999" hidden="1" customHeight="1">
      <c r="B179" s="547"/>
      <c r="C179" s="550"/>
      <c r="D179" s="513"/>
      <c r="E179" s="513"/>
      <c r="F179" s="513"/>
      <c r="G179" s="513"/>
      <c r="H179" s="513"/>
      <c r="I179" s="513"/>
      <c r="J179" s="553"/>
      <c r="K179" s="91" t="s">
        <v>214</v>
      </c>
      <c r="L179" s="14" t="s">
        <v>6</v>
      </c>
      <c r="M179" s="14" t="s">
        <v>254</v>
      </c>
      <c r="N179" s="5">
        <v>0.4</v>
      </c>
      <c r="O179" s="556"/>
      <c r="P179" s="194"/>
      <c r="Q179" s="516"/>
      <c r="R179" s="519"/>
      <c r="S179" s="563"/>
      <c r="T179" s="507"/>
      <c r="U179" s="565"/>
      <c r="V179" s="125"/>
      <c r="W179" s="126"/>
      <c r="X179" s="52"/>
      <c r="Y179" s="44"/>
      <c r="Z179" s="44"/>
      <c r="AA179" s="2"/>
      <c r="AB179" s="44"/>
      <c r="AC179" s="44"/>
      <c r="AD179" s="44"/>
      <c r="AE179" s="44"/>
      <c r="AF179" s="45"/>
    </row>
    <row r="180" spans="2:32" ht="19.899999999999999" hidden="1" customHeight="1">
      <c r="B180" s="547"/>
      <c r="C180" s="550"/>
      <c r="D180" s="513"/>
      <c r="E180" s="513"/>
      <c r="F180" s="513"/>
      <c r="G180" s="513"/>
      <c r="H180" s="513"/>
      <c r="I180" s="513"/>
      <c r="J180" s="553"/>
      <c r="K180" s="91"/>
      <c r="O180" s="556"/>
      <c r="P180" s="194"/>
      <c r="Q180" s="516"/>
      <c r="R180" s="519"/>
      <c r="S180" s="563"/>
      <c r="T180" s="507"/>
      <c r="U180" s="565"/>
      <c r="V180" s="125"/>
      <c r="W180" s="126"/>
      <c r="X180" s="52"/>
      <c r="Y180" s="44"/>
      <c r="Z180" s="44"/>
      <c r="AA180" s="2"/>
      <c r="AB180" s="44"/>
      <c r="AC180" s="44"/>
      <c r="AD180" s="44"/>
      <c r="AE180" s="44"/>
      <c r="AF180" s="45"/>
    </row>
    <row r="181" spans="2:32" ht="19.899999999999999" hidden="1" customHeight="1" thickBot="1">
      <c r="B181" s="548"/>
      <c r="C181" s="551"/>
      <c r="D181" s="514"/>
      <c r="E181" s="514"/>
      <c r="F181" s="514"/>
      <c r="G181" s="514"/>
      <c r="H181" s="514"/>
      <c r="I181" s="514"/>
      <c r="J181" s="554"/>
      <c r="K181" s="92"/>
      <c r="L181" s="42"/>
      <c r="M181" s="42"/>
      <c r="N181" s="41"/>
      <c r="O181" s="557"/>
      <c r="P181" s="195"/>
      <c r="Q181" s="517"/>
      <c r="R181" s="520"/>
      <c r="S181" s="563"/>
      <c r="T181" s="508"/>
      <c r="U181" s="566"/>
      <c r="V181" s="125"/>
      <c r="W181" s="126"/>
      <c r="X181" s="52"/>
      <c r="Y181" s="44"/>
      <c r="Z181" s="44"/>
      <c r="AA181" s="2"/>
      <c r="AB181" s="56"/>
      <c r="AC181" s="56"/>
      <c r="AD181" s="56"/>
      <c r="AE181" s="56"/>
      <c r="AF181" s="45"/>
    </row>
    <row r="182" spans="2:32" ht="19.899999999999999" customHeight="1" thickBot="1">
      <c r="B182" s="546" t="s">
        <v>89</v>
      </c>
      <c r="C182" s="549" t="s">
        <v>90</v>
      </c>
      <c r="D182" s="512">
        <f>HLOOKUP($J$1,$E$12:$I186,171,FALSE)</f>
        <v>3</v>
      </c>
      <c r="E182" s="512">
        <v>3</v>
      </c>
      <c r="F182" s="512">
        <v>3</v>
      </c>
      <c r="G182" s="512">
        <v>3</v>
      </c>
      <c r="H182" s="512">
        <v>3</v>
      </c>
      <c r="I182" s="512">
        <v>3</v>
      </c>
      <c r="J182" s="552" t="s">
        <v>256</v>
      </c>
      <c r="K182" s="90" t="s">
        <v>24</v>
      </c>
      <c r="L182" s="88" t="s">
        <v>4</v>
      </c>
      <c r="M182" s="88" t="s">
        <v>448</v>
      </c>
      <c r="N182" s="89">
        <v>1</v>
      </c>
      <c r="O182" s="555"/>
      <c r="P182" s="558" t="e">
        <f>'#1 - 메인 UI'!#REF!</f>
        <v>#REF!</v>
      </c>
      <c r="Q182" s="515" t="e">
        <f>'#1 - 메인 UI'!#REF!</f>
        <v>#REF!</v>
      </c>
      <c r="R182" s="518">
        <f t="shared" ref="R182" si="60">D182</f>
        <v>3</v>
      </c>
      <c r="S182" s="563">
        <f t="shared" ref="S182" si="61">IFERROR(VLOOKUP(Q182,L182:N186,3,FALSE),0)</f>
        <v>0</v>
      </c>
      <c r="T182" s="506">
        <f>IFERROR(+R182*S182,0)</f>
        <v>0</v>
      </c>
      <c r="U182" s="564">
        <f t="shared" ref="U182" si="62">ROUND((T182/$D$188)*$J$188,4)</f>
        <v>0</v>
      </c>
      <c r="V182" s="123"/>
      <c r="W182" s="124"/>
      <c r="X182" s="71" t="s">
        <v>416</v>
      </c>
      <c r="Y182" s="69" t="e">
        <f>'#1 - 메인 UI'!#REF!</f>
        <v>#REF!</v>
      </c>
      <c r="Z182" s="70" t="e">
        <f>'#1 - 메인 UI'!#REF!</f>
        <v>#REF!</v>
      </c>
      <c r="AA182" s="134" t="e">
        <f>VLOOKUP(Z182,데이터유효성!$B$2:$C$5,2,FALSE)</f>
        <v>#REF!</v>
      </c>
      <c r="AB182" s="49">
        <v>0.25</v>
      </c>
      <c r="AC182" s="49">
        <v>0.5</v>
      </c>
      <c r="AD182" s="49">
        <v>0.75</v>
      </c>
      <c r="AE182" s="49">
        <v>1</v>
      </c>
      <c r="AF182" s="48"/>
    </row>
    <row r="183" spans="2:32" ht="19.899999999999999" customHeight="1">
      <c r="B183" s="547"/>
      <c r="C183" s="550"/>
      <c r="D183" s="513"/>
      <c r="E183" s="513"/>
      <c r="F183" s="513"/>
      <c r="G183" s="513"/>
      <c r="H183" s="513"/>
      <c r="I183" s="513"/>
      <c r="J183" s="553"/>
      <c r="K183" s="91" t="s">
        <v>214</v>
      </c>
      <c r="L183" s="14" t="s">
        <v>5</v>
      </c>
      <c r="M183" s="14" t="s">
        <v>444</v>
      </c>
      <c r="N183" s="5">
        <v>0.8</v>
      </c>
      <c r="O183" s="556"/>
      <c r="P183" s="559"/>
      <c r="Q183" s="516"/>
      <c r="R183" s="519"/>
      <c r="S183" s="563"/>
      <c r="T183" s="507"/>
      <c r="U183" s="565"/>
      <c r="V183" s="123"/>
      <c r="W183" s="124"/>
      <c r="X183" s="52"/>
      <c r="Y183" s="44"/>
      <c r="Z183" s="44"/>
      <c r="AA183" s="2"/>
      <c r="AB183" s="44"/>
      <c r="AC183" s="44"/>
      <c r="AD183" s="44"/>
      <c r="AE183" s="44"/>
      <c r="AF183" s="48"/>
    </row>
    <row r="184" spans="2:32" ht="19.899999999999999" customHeight="1">
      <c r="B184" s="547"/>
      <c r="C184" s="550"/>
      <c r="D184" s="513"/>
      <c r="E184" s="513"/>
      <c r="F184" s="513"/>
      <c r="G184" s="513"/>
      <c r="H184" s="513"/>
      <c r="I184" s="513"/>
      <c r="J184" s="553"/>
      <c r="K184" s="91" t="s">
        <v>214</v>
      </c>
      <c r="L184" s="14" t="s">
        <v>6</v>
      </c>
      <c r="M184" s="14" t="s">
        <v>445</v>
      </c>
      <c r="N184" s="5">
        <v>0.6</v>
      </c>
      <c r="O184" s="556"/>
      <c r="P184" s="559"/>
      <c r="Q184" s="516"/>
      <c r="R184" s="519"/>
      <c r="S184" s="563"/>
      <c r="T184" s="507"/>
      <c r="U184" s="565"/>
      <c r="V184" s="125"/>
      <c r="W184" s="126"/>
      <c r="X184" s="52"/>
      <c r="Y184" s="44"/>
      <c r="Z184" s="44"/>
      <c r="AA184" s="2"/>
      <c r="AB184" s="44"/>
      <c r="AC184" s="44"/>
      <c r="AD184" s="44"/>
      <c r="AE184" s="44"/>
      <c r="AF184" s="45"/>
    </row>
    <row r="185" spans="2:32" ht="19.899999999999999" customHeight="1">
      <c r="B185" s="547"/>
      <c r="C185" s="550"/>
      <c r="D185" s="513"/>
      <c r="E185" s="513"/>
      <c r="F185" s="513"/>
      <c r="G185" s="513"/>
      <c r="H185" s="513"/>
      <c r="I185" s="513"/>
      <c r="J185" s="553"/>
      <c r="K185" s="91" t="s">
        <v>214</v>
      </c>
      <c r="L185" s="14" t="s">
        <v>7</v>
      </c>
      <c r="M185" s="14" t="s">
        <v>257</v>
      </c>
      <c r="N185" s="5">
        <v>0.4</v>
      </c>
      <c r="O185" s="556"/>
      <c r="P185" s="559"/>
      <c r="Q185" s="516"/>
      <c r="R185" s="519"/>
      <c r="S185" s="563"/>
      <c r="T185" s="507"/>
      <c r="U185" s="565"/>
      <c r="V185" s="125"/>
      <c r="W185" s="126"/>
      <c r="X185" s="52"/>
      <c r="Y185" s="44"/>
      <c r="Z185" s="44"/>
      <c r="AA185" s="2"/>
      <c r="AB185" s="44"/>
      <c r="AC185" s="44"/>
      <c r="AD185" s="44"/>
      <c r="AE185" s="44"/>
      <c r="AF185" s="45"/>
    </row>
    <row r="186" spans="2:32" ht="31.15" customHeight="1">
      <c r="B186" s="548"/>
      <c r="C186" s="551"/>
      <c r="D186" s="514"/>
      <c r="E186" s="514"/>
      <c r="F186" s="514"/>
      <c r="G186" s="514"/>
      <c r="H186" s="514"/>
      <c r="I186" s="514"/>
      <c r="J186" s="554"/>
      <c r="K186" s="92"/>
      <c r="L186" s="42"/>
      <c r="M186" s="42"/>
      <c r="N186" s="41"/>
      <c r="O186" s="557"/>
      <c r="P186" s="560"/>
      <c r="Q186" s="517"/>
      <c r="R186" s="520"/>
      <c r="S186" s="563"/>
      <c r="T186" s="508"/>
      <c r="U186" s="566"/>
      <c r="V186" s="125"/>
      <c r="W186" s="126"/>
      <c r="X186" s="52"/>
      <c r="Y186" s="44"/>
      <c r="Z186" s="44"/>
      <c r="AA186" s="2"/>
      <c r="AB186" s="56"/>
      <c r="AC186" s="56"/>
      <c r="AD186" s="56"/>
      <c r="AE186" s="56"/>
      <c r="AF186" s="45"/>
    </row>
    <row r="187" spans="2:32" ht="4.9000000000000004" customHeight="1">
      <c r="B187" s="81"/>
      <c r="C187" s="82"/>
      <c r="D187" s="83"/>
      <c r="E187" s="83"/>
      <c r="F187" s="83"/>
      <c r="G187" s="83"/>
      <c r="H187" s="83"/>
      <c r="I187" s="83"/>
      <c r="J187" s="84"/>
      <c r="K187" s="3"/>
      <c r="O187" s="68"/>
      <c r="P187" s="196"/>
      <c r="Q187" s="85"/>
      <c r="R187" s="85"/>
      <c r="S187" s="85"/>
      <c r="T187" s="86"/>
      <c r="U187" s="86"/>
      <c r="V187" s="125"/>
      <c r="W187" s="126"/>
      <c r="X187" s="52"/>
      <c r="Y187" s="44"/>
      <c r="Z187" s="44"/>
      <c r="AA187" s="2"/>
      <c r="AB187" s="43"/>
      <c r="AC187" s="43"/>
      <c r="AD187" s="43"/>
      <c r="AE187" s="43"/>
      <c r="AF187" s="45"/>
    </row>
    <row r="188" spans="2:32" ht="25.35" customHeight="1">
      <c r="B188" s="561" t="s">
        <v>52</v>
      </c>
      <c r="C188" s="561"/>
      <c r="D188" s="73">
        <f>SUM(D167:D186)</f>
        <v>7</v>
      </c>
      <c r="E188" s="73">
        <f t="shared" ref="E188:I188" si="63">SUM(E167:E186)</f>
        <v>7</v>
      </c>
      <c r="F188" s="73">
        <f t="shared" si="63"/>
        <v>7</v>
      </c>
      <c r="G188" s="73">
        <f t="shared" si="63"/>
        <v>8</v>
      </c>
      <c r="H188" s="73">
        <f t="shared" si="63"/>
        <v>7</v>
      </c>
      <c r="I188" s="73">
        <f t="shared" si="63"/>
        <v>7</v>
      </c>
      <c r="J188" s="110">
        <v>7</v>
      </c>
      <c r="K188" s="72"/>
      <c r="L188" s="75"/>
      <c r="M188" s="76"/>
      <c r="N188" s="77"/>
      <c r="O188" s="74"/>
      <c r="P188" s="197"/>
      <c r="Q188" s="80"/>
      <c r="R188" s="80"/>
      <c r="S188" s="80"/>
      <c r="T188" s="118">
        <f>ROUND(SUM(T167:T186),2)</f>
        <v>0</v>
      </c>
      <c r="U188" s="115">
        <f>ROUND(SUM(U167:U186),2)</f>
        <v>0</v>
      </c>
      <c r="V188" s="121"/>
      <c r="W188" s="122"/>
      <c r="X188" s="95"/>
      <c r="Y188" s="97"/>
      <c r="Z188" s="78"/>
      <c r="AA188" s="78"/>
      <c r="AB188" s="78"/>
      <c r="AC188" s="78"/>
      <c r="AD188" s="78"/>
      <c r="AE188" s="78"/>
    </row>
    <row r="189" spans="2:32" ht="19.899999999999999" customHeight="1">
      <c r="V189" s="121"/>
      <c r="W189" s="122"/>
    </row>
    <row r="190" spans="2:32" ht="31.5">
      <c r="B190" s="175" t="s">
        <v>91</v>
      </c>
      <c r="C190" s="39" t="s">
        <v>92</v>
      </c>
      <c r="D190" s="4"/>
      <c r="E190" s="4"/>
      <c r="F190" s="4"/>
      <c r="G190" s="4"/>
      <c r="H190" s="4"/>
      <c r="I190" s="4"/>
      <c r="J190" s="4"/>
      <c r="K190" s="3"/>
      <c r="O190" s="525"/>
      <c r="P190" s="526"/>
      <c r="Q190" s="116">
        <f>U220</f>
        <v>0</v>
      </c>
      <c r="R190" s="112"/>
      <c r="S190" s="112"/>
      <c r="T190" s="113" t="s">
        <v>23</v>
      </c>
      <c r="U190" s="114">
        <f>J220</f>
        <v>10</v>
      </c>
      <c r="V190" s="121"/>
      <c r="W190" s="122"/>
      <c r="X190" s="562"/>
      <c r="Y190" s="562"/>
      <c r="Z190" s="37"/>
      <c r="AA190" s="37"/>
      <c r="AB190" s="37"/>
      <c r="AC190" s="37"/>
      <c r="AD190" s="37"/>
      <c r="AE190" s="37"/>
    </row>
    <row r="191" spans="2:32" ht="4.9000000000000004" customHeight="1">
      <c r="B191" s="47"/>
      <c r="C191" s="8"/>
      <c r="D191" s="4"/>
      <c r="E191" s="4"/>
      <c r="F191" s="4"/>
      <c r="G191" s="4"/>
      <c r="H191" s="4"/>
      <c r="I191" s="4"/>
      <c r="J191" s="4"/>
      <c r="K191" s="9"/>
      <c r="L191" s="8"/>
      <c r="O191" s="527"/>
      <c r="P191" s="527"/>
      <c r="Q191" s="2"/>
      <c r="R191" s="2"/>
      <c r="S191" s="2"/>
      <c r="V191" s="121"/>
      <c r="W191" s="122"/>
      <c r="X191" s="527"/>
      <c r="Y191" s="527"/>
      <c r="Z191" s="40"/>
      <c r="AA191" s="40"/>
      <c r="AB191" s="40"/>
      <c r="AC191" s="40"/>
      <c r="AD191" s="40"/>
      <c r="AE191" s="40"/>
    </row>
    <row r="192" spans="2:32" ht="25.15" customHeight="1">
      <c r="B192" s="528" t="s">
        <v>12</v>
      </c>
      <c r="C192" s="529"/>
      <c r="D192" s="67" t="s">
        <v>3</v>
      </c>
      <c r="E192" s="67" t="str">
        <f>E$12</f>
        <v>신축 비주거-일반건축물</v>
      </c>
      <c r="F192" s="67" t="str">
        <f t="shared" ref="F192:I192" si="64">F$12</f>
        <v>신축 비주거-업무용건축물</v>
      </c>
      <c r="G192" s="67" t="str">
        <f t="shared" si="64"/>
        <v>신축 비주거-학교</v>
      </c>
      <c r="H192" s="67" t="str">
        <f t="shared" si="64"/>
        <v>신축 비주거-판매시설</v>
      </c>
      <c r="I192" s="67" t="str">
        <f t="shared" si="64"/>
        <v>신축 비주거-숙박시설</v>
      </c>
      <c r="J192" s="67" t="s">
        <v>37</v>
      </c>
      <c r="K192" s="530" t="s">
        <v>36</v>
      </c>
      <c r="L192" s="531"/>
      <c r="M192" s="531"/>
      <c r="N192" s="528"/>
      <c r="O192" s="532" t="s">
        <v>132</v>
      </c>
      <c r="P192" s="533"/>
      <c r="Q192" s="66" t="str">
        <f>Q$12</f>
        <v>등급</v>
      </c>
      <c r="R192" s="66" t="str">
        <f>R$12</f>
        <v>배점</v>
      </c>
      <c r="S192" s="66" t="str">
        <f>S$12</f>
        <v>가중치</v>
      </c>
      <c r="T192" s="66" t="str">
        <f>T$12</f>
        <v>평점</v>
      </c>
      <c r="U192" s="66" t="str">
        <f>U$12</f>
        <v>환산점</v>
      </c>
      <c r="V192" s="121"/>
      <c r="W192" s="122"/>
      <c r="X192" s="534" t="s">
        <v>45</v>
      </c>
      <c r="Y192" s="535"/>
      <c r="Z192" s="535"/>
      <c r="AA192" s="130"/>
      <c r="AB192" s="535" t="s">
        <v>133</v>
      </c>
      <c r="AC192" s="535"/>
      <c r="AD192" s="535"/>
      <c r="AE192" s="535"/>
    </row>
    <row r="193" spans="2:32" ht="4.9000000000000004" customHeight="1">
      <c r="B193" s="47"/>
      <c r="C193" s="9"/>
      <c r="D193" s="4"/>
      <c r="E193" s="4"/>
      <c r="F193" s="4"/>
      <c r="G193" s="4"/>
      <c r="H193" s="4"/>
      <c r="I193" s="4"/>
      <c r="J193" s="4"/>
      <c r="K193" s="9"/>
      <c r="L193" s="8"/>
      <c r="O193" s="40"/>
      <c r="P193" s="192"/>
      <c r="Q193" s="2"/>
      <c r="R193" s="2"/>
      <c r="S193" s="2"/>
      <c r="V193" s="121"/>
      <c r="W193" s="122"/>
      <c r="X193" s="51"/>
      <c r="Y193" s="40"/>
      <c r="Z193" s="40"/>
      <c r="AA193" s="40"/>
      <c r="AB193" s="40"/>
      <c r="AC193" s="40"/>
      <c r="AD193" s="40"/>
      <c r="AE193" s="40"/>
    </row>
    <row r="194" spans="2:32" ht="19.899999999999999" hidden="1" customHeight="1">
      <c r="B194" s="546" t="s">
        <v>197</v>
      </c>
      <c r="C194" s="549" t="s">
        <v>200</v>
      </c>
      <c r="D194" s="512" t="str">
        <f>HLOOKUP($J$1,$E$12:$I198,183,FALSE)</f>
        <v>제외</v>
      </c>
      <c r="E194" s="512" t="s">
        <v>212</v>
      </c>
      <c r="F194" s="512" t="s">
        <v>212</v>
      </c>
      <c r="G194" s="512">
        <v>2</v>
      </c>
      <c r="H194" s="512" t="s">
        <v>212</v>
      </c>
      <c r="I194" s="512" t="s">
        <v>212</v>
      </c>
      <c r="J194" s="552" t="s">
        <v>262</v>
      </c>
      <c r="K194" s="90" t="s">
        <v>24</v>
      </c>
      <c r="L194" s="88" t="s">
        <v>4</v>
      </c>
      <c r="M194" s="88" t="s">
        <v>258</v>
      </c>
      <c r="N194" s="89">
        <v>1</v>
      </c>
      <c r="O194" s="555"/>
      <c r="P194" s="198"/>
      <c r="Q194" s="518" t="s">
        <v>338</v>
      </c>
      <c r="R194" s="518" t="str">
        <f t="shared" ref="R194:R214" si="65">D194</f>
        <v>제외</v>
      </c>
      <c r="S194" s="563">
        <f t="shared" ref="S194" si="66">IFERROR(VLOOKUP(Q194,L194:N198,3,FALSE),0)</f>
        <v>0</v>
      </c>
      <c r="T194" s="506">
        <f>IFERROR(+Q194*R194,0)</f>
        <v>0</v>
      </c>
      <c r="U194" s="564">
        <f>ROUND((T194/$D$220)*$J$220,4)</f>
        <v>0</v>
      </c>
      <c r="V194" s="123"/>
      <c r="W194" s="124"/>
      <c r="X194" s="52"/>
      <c r="Y194" s="44"/>
      <c r="Z194" s="44"/>
      <c r="AA194" s="2"/>
      <c r="AB194" s="56"/>
      <c r="AC194" s="56"/>
      <c r="AD194" s="56"/>
      <c r="AE194" s="56"/>
      <c r="AF194" s="48"/>
    </row>
    <row r="195" spans="2:32" ht="19.899999999999999" hidden="1" customHeight="1">
      <c r="B195" s="547"/>
      <c r="C195" s="550"/>
      <c r="D195" s="513"/>
      <c r="E195" s="513"/>
      <c r="F195" s="513"/>
      <c r="G195" s="513"/>
      <c r="H195" s="513"/>
      <c r="I195" s="513"/>
      <c r="J195" s="553"/>
      <c r="K195" s="91" t="s">
        <v>214</v>
      </c>
      <c r="L195" s="14" t="s">
        <v>5</v>
      </c>
      <c r="M195" s="14" t="s">
        <v>259</v>
      </c>
      <c r="N195" s="5">
        <v>0.8</v>
      </c>
      <c r="O195" s="556"/>
      <c r="P195" s="196"/>
      <c r="Q195" s="519"/>
      <c r="R195" s="519"/>
      <c r="S195" s="563"/>
      <c r="T195" s="507"/>
      <c r="U195" s="565"/>
      <c r="V195" s="123"/>
      <c r="W195" s="124"/>
      <c r="X195" s="52"/>
      <c r="Y195" s="44"/>
      <c r="Z195" s="44"/>
      <c r="AA195" s="2"/>
      <c r="AB195" s="56"/>
      <c r="AC195" s="56"/>
      <c r="AD195" s="56"/>
      <c r="AE195" s="56"/>
      <c r="AF195" s="48"/>
    </row>
    <row r="196" spans="2:32" ht="19.899999999999999" hidden="1" customHeight="1">
      <c r="B196" s="547"/>
      <c r="C196" s="550"/>
      <c r="D196" s="513"/>
      <c r="E196" s="513"/>
      <c r="F196" s="513"/>
      <c r="G196" s="513"/>
      <c r="H196" s="513"/>
      <c r="I196" s="513"/>
      <c r="J196" s="553"/>
      <c r="K196" s="91" t="s">
        <v>214</v>
      </c>
      <c r="L196" s="14" t="s">
        <v>6</v>
      </c>
      <c r="M196" s="14" t="s">
        <v>260</v>
      </c>
      <c r="N196" s="5">
        <v>0.6</v>
      </c>
      <c r="O196" s="556"/>
      <c r="P196" s="196"/>
      <c r="Q196" s="519"/>
      <c r="R196" s="519"/>
      <c r="S196" s="563"/>
      <c r="T196" s="507"/>
      <c r="U196" s="565"/>
      <c r="V196" s="125"/>
      <c r="W196" s="126"/>
      <c r="X196" s="52"/>
      <c r="Y196" s="44"/>
      <c r="Z196" s="44"/>
      <c r="AA196" s="2"/>
      <c r="AB196" s="56"/>
      <c r="AC196" s="56"/>
      <c r="AD196" s="56"/>
      <c r="AE196" s="56"/>
      <c r="AF196" s="45"/>
    </row>
    <row r="197" spans="2:32" ht="19.899999999999999" hidden="1" customHeight="1">
      <c r="B197" s="547"/>
      <c r="C197" s="550"/>
      <c r="D197" s="513"/>
      <c r="E197" s="513"/>
      <c r="F197" s="513"/>
      <c r="G197" s="513"/>
      <c r="H197" s="513"/>
      <c r="I197" s="513"/>
      <c r="J197" s="553"/>
      <c r="K197" s="91" t="s">
        <v>214</v>
      </c>
      <c r="L197" s="14" t="s">
        <v>7</v>
      </c>
      <c r="M197" s="14" t="s">
        <v>261</v>
      </c>
      <c r="N197" s="5">
        <v>0.4</v>
      </c>
      <c r="O197" s="556"/>
      <c r="P197" s="196"/>
      <c r="Q197" s="519"/>
      <c r="R197" s="519"/>
      <c r="S197" s="563"/>
      <c r="T197" s="507"/>
      <c r="U197" s="565"/>
      <c r="V197" s="125"/>
      <c r="W197" s="126"/>
      <c r="X197" s="52"/>
      <c r="Y197" s="44"/>
      <c r="Z197" s="44"/>
      <c r="AA197" s="2"/>
      <c r="AB197" s="56"/>
      <c r="AC197" s="56"/>
      <c r="AD197" s="56"/>
      <c r="AE197" s="56"/>
      <c r="AF197" s="45"/>
    </row>
    <row r="198" spans="2:32" ht="19.899999999999999" hidden="1" customHeight="1">
      <c r="B198" s="548"/>
      <c r="C198" s="551"/>
      <c r="D198" s="514"/>
      <c r="E198" s="514"/>
      <c r="F198" s="514"/>
      <c r="G198" s="514"/>
      <c r="H198" s="514"/>
      <c r="I198" s="514"/>
      <c r="J198" s="554"/>
      <c r="K198" s="92"/>
      <c r="L198" s="42"/>
      <c r="M198" s="42"/>
      <c r="N198" s="41"/>
      <c r="O198" s="557"/>
      <c r="P198" s="199"/>
      <c r="Q198" s="520"/>
      <c r="R198" s="520"/>
      <c r="S198" s="563"/>
      <c r="T198" s="508"/>
      <c r="U198" s="566"/>
      <c r="V198" s="125"/>
      <c r="W198" s="126"/>
      <c r="X198" s="52"/>
      <c r="Y198" s="44"/>
      <c r="Z198" s="44"/>
      <c r="AA198" s="2"/>
      <c r="AB198" s="56"/>
      <c r="AC198" s="56"/>
      <c r="AD198" s="56"/>
      <c r="AE198" s="56"/>
      <c r="AF198" s="45"/>
    </row>
    <row r="199" spans="2:32" ht="19.899999999999999" customHeight="1">
      <c r="B199" s="546" t="s">
        <v>93</v>
      </c>
      <c r="C199" s="549" t="s">
        <v>95</v>
      </c>
      <c r="D199" s="512">
        <f>HLOOKUP($J$1,$E$12:$I203,188,FALSE)</f>
        <v>4</v>
      </c>
      <c r="E199" s="512">
        <v>4</v>
      </c>
      <c r="F199" s="512">
        <v>4</v>
      </c>
      <c r="G199" s="512">
        <v>4</v>
      </c>
      <c r="H199" s="512">
        <v>4</v>
      </c>
      <c r="I199" s="512">
        <v>4</v>
      </c>
      <c r="J199" s="552" t="s">
        <v>95</v>
      </c>
      <c r="K199" s="90" t="s">
        <v>24</v>
      </c>
      <c r="L199" s="88" t="s">
        <v>4</v>
      </c>
      <c r="M199" s="88" t="str">
        <f>IF($J$1=$G$12,"25% 이상","20% 이상")</f>
        <v>20% 이상</v>
      </c>
      <c r="N199" s="89">
        <v>1</v>
      </c>
      <c r="O199" s="555"/>
      <c r="P199" s="558" t="e">
        <f>'#1 - 메인 UI'!#REF!</f>
        <v>#REF!</v>
      </c>
      <c r="Q199" s="515" t="e">
        <f>'#1 - 메인 UI'!#REF!</f>
        <v>#REF!</v>
      </c>
      <c r="R199" s="518">
        <f t="shared" ref="R199" si="67">D199</f>
        <v>4</v>
      </c>
      <c r="S199" s="563">
        <f t="shared" ref="S199" si="68">IFERROR(VLOOKUP(Q199,L199:N203,3,FALSE),0)</f>
        <v>0</v>
      </c>
      <c r="T199" s="506">
        <f>IFERROR(+R199*S199,0)</f>
        <v>0</v>
      </c>
      <c r="U199" s="564">
        <f>ROUND((T199/$D$220)*$J$220,4)</f>
        <v>0</v>
      </c>
      <c r="V199" s="123"/>
      <c r="W199" s="124"/>
      <c r="X199" s="52"/>
      <c r="Y199" s="44"/>
      <c r="Z199" s="44"/>
      <c r="AA199" s="2"/>
      <c r="AB199" s="44"/>
      <c r="AC199" s="44"/>
      <c r="AD199" s="44"/>
      <c r="AE199" s="44"/>
      <c r="AF199" s="48"/>
    </row>
    <row r="200" spans="2:32" ht="19.899999999999999" customHeight="1">
      <c r="B200" s="547"/>
      <c r="C200" s="550"/>
      <c r="D200" s="513"/>
      <c r="E200" s="513"/>
      <c r="F200" s="513"/>
      <c r="G200" s="513"/>
      <c r="H200" s="513"/>
      <c r="I200" s="513"/>
      <c r="J200" s="553"/>
      <c r="K200" s="91" t="s">
        <v>214</v>
      </c>
      <c r="L200" s="14" t="s">
        <v>5</v>
      </c>
      <c r="M200" s="14" t="str">
        <f>IF($J$1=$G$12,"20% 이상","15% 이상")</f>
        <v>15% 이상</v>
      </c>
      <c r="N200" s="5">
        <v>0.8</v>
      </c>
      <c r="O200" s="556"/>
      <c r="P200" s="559"/>
      <c r="Q200" s="516"/>
      <c r="R200" s="519"/>
      <c r="S200" s="563"/>
      <c r="T200" s="507"/>
      <c r="U200" s="565"/>
      <c r="V200" s="123"/>
      <c r="W200" s="124"/>
      <c r="X200" s="52"/>
      <c r="Y200" s="44"/>
      <c r="Z200" s="44"/>
      <c r="AA200" s="2"/>
      <c r="AB200" s="44"/>
      <c r="AC200" s="44"/>
      <c r="AD200" s="44"/>
      <c r="AE200" s="44"/>
      <c r="AF200" s="48"/>
    </row>
    <row r="201" spans="2:32" ht="19.899999999999999" customHeight="1">
      <c r="B201" s="547"/>
      <c r="C201" s="550"/>
      <c r="D201" s="513"/>
      <c r="E201" s="513"/>
      <c r="F201" s="513"/>
      <c r="G201" s="513"/>
      <c r="H201" s="513"/>
      <c r="I201" s="513"/>
      <c r="J201" s="553"/>
      <c r="K201" s="91" t="s">
        <v>214</v>
      </c>
      <c r="L201" s="14" t="s">
        <v>6</v>
      </c>
      <c r="M201" s="14" t="str">
        <f>IF($J$1=$G$12,"15% 이상","10% 이상")</f>
        <v>10% 이상</v>
      </c>
      <c r="N201" s="5">
        <v>0.6</v>
      </c>
      <c r="O201" s="556"/>
      <c r="P201" s="559"/>
      <c r="Q201" s="516"/>
      <c r="R201" s="519"/>
      <c r="S201" s="563"/>
      <c r="T201" s="507"/>
      <c r="U201" s="565"/>
      <c r="V201" s="125"/>
      <c r="W201" s="126"/>
      <c r="X201" s="52"/>
      <c r="Y201" s="44"/>
      <c r="Z201" s="44"/>
      <c r="AA201" s="2"/>
      <c r="AB201" s="44"/>
      <c r="AC201" s="44"/>
      <c r="AD201" s="44"/>
      <c r="AE201" s="44"/>
      <c r="AF201" s="45"/>
    </row>
    <row r="202" spans="2:32" ht="19.899999999999999" customHeight="1">
      <c r="B202" s="547"/>
      <c r="C202" s="550"/>
      <c r="D202" s="513"/>
      <c r="E202" s="513"/>
      <c r="F202" s="513"/>
      <c r="G202" s="513"/>
      <c r="H202" s="513"/>
      <c r="I202" s="513"/>
      <c r="J202" s="553"/>
      <c r="K202" s="91" t="s">
        <v>214</v>
      </c>
      <c r="L202" s="14" t="s">
        <v>7</v>
      </c>
      <c r="M202" s="14" t="str">
        <f>IF($J$1=$G$12,"10% 이상","5% 이상")</f>
        <v>5% 이상</v>
      </c>
      <c r="N202" s="5">
        <v>0.3</v>
      </c>
      <c r="O202" s="556"/>
      <c r="P202" s="559"/>
      <c r="Q202" s="516"/>
      <c r="R202" s="519"/>
      <c r="S202" s="563"/>
      <c r="T202" s="507"/>
      <c r="U202" s="565"/>
      <c r="V202" s="125"/>
      <c r="W202" s="126"/>
      <c r="X202" s="52"/>
      <c r="Y202" s="44"/>
      <c r="Z202" s="44"/>
      <c r="AA202" s="2"/>
      <c r="AB202" s="44"/>
      <c r="AC202" s="44"/>
      <c r="AD202" s="44"/>
      <c r="AE202" s="44"/>
      <c r="AF202" s="45"/>
    </row>
    <row r="203" spans="2:32" ht="31.15" customHeight="1">
      <c r="B203" s="548"/>
      <c r="C203" s="551"/>
      <c r="D203" s="514"/>
      <c r="E203" s="514"/>
      <c r="F203" s="514"/>
      <c r="G203" s="514"/>
      <c r="H203" s="514"/>
      <c r="I203" s="514"/>
      <c r="J203" s="554"/>
      <c r="K203" s="92"/>
      <c r="L203" s="42" t="str">
        <f>IF($J$1=$G$12,"5급","-")</f>
        <v>-</v>
      </c>
      <c r="M203" s="42" t="str">
        <f>IF($J$1=$G$12,"5% 이상","-")</f>
        <v>-</v>
      </c>
      <c r="N203" s="41" t="str">
        <f>IF($J$1=$G$12,0.1,"-")</f>
        <v>-</v>
      </c>
      <c r="O203" s="557"/>
      <c r="P203" s="560"/>
      <c r="Q203" s="517"/>
      <c r="R203" s="520"/>
      <c r="S203" s="563"/>
      <c r="T203" s="508"/>
      <c r="U203" s="566"/>
      <c r="V203" s="125"/>
      <c r="W203" s="126"/>
      <c r="X203" s="52"/>
      <c r="Y203" s="44"/>
      <c r="Z203" s="44"/>
      <c r="AA203" s="2"/>
      <c r="AB203" s="56"/>
      <c r="AC203" s="56"/>
      <c r="AD203" s="56"/>
      <c r="AE203" s="56"/>
      <c r="AF203" s="45"/>
    </row>
    <row r="204" spans="2:32" ht="19.899999999999999" customHeight="1">
      <c r="B204" s="546" t="s">
        <v>94</v>
      </c>
      <c r="C204" s="549" t="s">
        <v>96</v>
      </c>
      <c r="D204" s="512">
        <f>HLOOKUP($J$1,$E$12:$I208,193,FALSE)</f>
        <v>6</v>
      </c>
      <c r="E204" s="512">
        <v>6</v>
      </c>
      <c r="F204" s="512">
        <v>6</v>
      </c>
      <c r="G204" s="512">
        <v>6</v>
      </c>
      <c r="H204" s="512">
        <v>6</v>
      </c>
      <c r="I204" s="512">
        <v>6</v>
      </c>
      <c r="J204" s="552" t="s">
        <v>263</v>
      </c>
      <c r="K204" s="90" t="s">
        <v>24</v>
      </c>
      <c r="L204" s="88" t="s">
        <v>4</v>
      </c>
      <c r="M204" s="88" t="str">
        <f>IF($J$1=$G$12,"55% 이상","40% 이상")</f>
        <v>40% 이상</v>
      </c>
      <c r="N204" s="89">
        <v>1</v>
      </c>
      <c r="O204" s="555"/>
      <c r="P204" s="558" t="e">
        <f>'#1 - 메인 UI'!#REF!</f>
        <v>#REF!</v>
      </c>
      <c r="Q204" s="515" t="e">
        <f>'#1 - 메인 UI'!#REF!</f>
        <v>#REF!</v>
      </c>
      <c r="R204" s="518">
        <f t="shared" si="65"/>
        <v>6</v>
      </c>
      <c r="S204" s="563">
        <f t="shared" ref="S204" si="69">IFERROR(VLOOKUP(Q204,L204:N208,3,FALSE),0)</f>
        <v>0</v>
      </c>
      <c r="T204" s="506">
        <f>IFERROR(+R204*S204,0)</f>
        <v>0</v>
      </c>
      <c r="U204" s="564">
        <f t="shared" ref="U204" si="70">ROUND((T204/$D$220)*$J$220,4)</f>
        <v>0</v>
      </c>
      <c r="V204" s="123"/>
      <c r="W204" s="124"/>
      <c r="X204" s="52"/>
      <c r="Y204" s="44"/>
      <c r="Z204" s="44"/>
      <c r="AA204" s="2"/>
      <c r="AB204" s="44"/>
      <c r="AC204" s="44"/>
      <c r="AD204" s="44"/>
      <c r="AE204" s="44"/>
      <c r="AF204" s="48"/>
    </row>
    <row r="205" spans="2:32" ht="19.899999999999999" customHeight="1">
      <c r="B205" s="547"/>
      <c r="C205" s="550"/>
      <c r="D205" s="513"/>
      <c r="E205" s="513"/>
      <c r="F205" s="513"/>
      <c r="G205" s="513"/>
      <c r="H205" s="513"/>
      <c r="I205" s="513"/>
      <c r="J205" s="553"/>
      <c r="K205" s="91" t="s">
        <v>214</v>
      </c>
      <c r="L205" s="14" t="s">
        <v>5</v>
      </c>
      <c r="M205" s="14" t="str">
        <f>IF($J$1=$G$12,"45% 이상","35% 이상")</f>
        <v>35% 이상</v>
      </c>
      <c r="N205" s="5">
        <v>0.8</v>
      </c>
      <c r="O205" s="556"/>
      <c r="P205" s="559"/>
      <c r="Q205" s="516"/>
      <c r="R205" s="519"/>
      <c r="S205" s="563"/>
      <c r="T205" s="507"/>
      <c r="U205" s="565"/>
      <c r="V205" s="123"/>
      <c r="W205" s="124"/>
      <c r="X205" s="52"/>
      <c r="Y205" s="44"/>
      <c r="Z205" s="44"/>
      <c r="AA205" s="2"/>
      <c r="AB205" s="44"/>
      <c r="AC205" s="44"/>
      <c r="AD205" s="44"/>
      <c r="AE205" s="44"/>
      <c r="AF205" s="48"/>
    </row>
    <row r="206" spans="2:32" ht="19.899999999999999" customHeight="1">
      <c r="B206" s="547"/>
      <c r="C206" s="550"/>
      <c r="D206" s="513"/>
      <c r="E206" s="513"/>
      <c r="F206" s="513"/>
      <c r="G206" s="513"/>
      <c r="H206" s="513"/>
      <c r="I206" s="513"/>
      <c r="J206" s="553"/>
      <c r="K206" s="91" t="s">
        <v>214</v>
      </c>
      <c r="L206" s="14" t="s">
        <v>6</v>
      </c>
      <c r="M206" s="14" t="str">
        <f>IF($J$1=$G$12,"35% 이상","30% 이상")</f>
        <v>30% 이상</v>
      </c>
      <c r="N206" s="5">
        <v>0.6</v>
      </c>
      <c r="O206" s="556"/>
      <c r="P206" s="559"/>
      <c r="Q206" s="516"/>
      <c r="R206" s="519"/>
      <c r="S206" s="563"/>
      <c r="T206" s="507"/>
      <c r="U206" s="565"/>
      <c r="V206" s="125"/>
      <c r="W206" s="126"/>
      <c r="X206" s="52"/>
      <c r="Y206" s="44"/>
      <c r="Z206" s="44"/>
      <c r="AA206" s="2"/>
      <c r="AB206" s="44"/>
      <c r="AC206" s="44"/>
      <c r="AD206" s="44"/>
      <c r="AE206" s="44"/>
      <c r="AF206" s="45"/>
    </row>
    <row r="207" spans="2:32" ht="19.899999999999999" customHeight="1">
      <c r="B207" s="547"/>
      <c r="C207" s="550"/>
      <c r="D207" s="513"/>
      <c r="E207" s="513"/>
      <c r="F207" s="513"/>
      <c r="G207" s="513"/>
      <c r="H207" s="513"/>
      <c r="I207" s="513"/>
      <c r="J207" s="553"/>
      <c r="K207" s="91" t="s">
        <v>214</v>
      </c>
      <c r="L207" s="14" t="s">
        <v>7</v>
      </c>
      <c r="M207" s="14" t="str">
        <f>IF($J$1=$G$12,"30% 이상","25% 이상")</f>
        <v>25% 이상</v>
      </c>
      <c r="N207" s="5">
        <f>IF($J$1=$G$12,0.3,0.4)</f>
        <v>0.4</v>
      </c>
      <c r="O207" s="556"/>
      <c r="P207" s="559"/>
      <c r="Q207" s="516"/>
      <c r="R207" s="519"/>
      <c r="S207" s="563"/>
      <c r="T207" s="507"/>
      <c r="U207" s="565"/>
      <c r="V207" s="125"/>
      <c r="W207" s="126"/>
      <c r="X207" s="52"/>
      <c r="Y207" s="44"/>
      <c r="Z207" s="44"/>
      <c r="AA207" s="2"/>
      <c r="AB207" s="44"/>
      <c r="AC207" s="44"/>
      <c r="AD207" s="44"/>
      <c r="AE207" s="44"/>
      <c r="AF207" s="45"/>
    </row>
    <row r="208" spans="2:32" ht="31.15" customHeight="1">
      <c r="B208" s="548"/>
      <c r="C208" s="551"/>
      <c r="D208" s="514"/>
      <c r="E208" s="514"/>
      <c r="F208" s="514"/>
      <c r="G208" s="514"/>
      <c r="H208" s="514"/>
      <c r="I208" s="514"/>
      <c r="J208" s="554"/>
      <c r="K208" s="92"/>
      <c r="L208" s="42" t="str">
        <f>IF($J$1=$G$12,"-","5급")</f>
        <v>5급</v>
      </c>
      <c r="M208" s="42" t="str">
        <f>IF($J$1=$G$12,"-","15% 이상")</f>
        <v>15% 이상</v>
      </c>
      <c r="N208" s="41">
        <f>IF($J$1=$G$12,"-",0.2)</f>
        <v>0.2</v>
      </c>
      <c r="O208" s="557"/>
      <c r="P208" s="560"/>
      <c r="Q208" s="517"/>
      <c r="R208" s="520"/>
      <c r="S208" s="563"/>
      <c r="T208" s="508"/>
      <c r="U208" s="566"/>
      <c r="V208" s="125"/>
      <c r="W208" s="126"/>
      <c r="X208" s="52"/>
      <c r="Y208" s="44"/>
      <c r="Z208" s="44"/>
      <c r="AA208" s="2"/>
      <c r="AB208" s="56"/>
      <c r="AC208" s="56"/>
      <c r="AD208" s="56"/>
      <c r="AE208" s="56"/>
      <c r="AF208" s="45"/>
    </row>
    <row r="209" spans="2:32" ht="19.899999999999999" customHeight="1">
      <c r="B209" s="546" t="s">
        <v>198</v>
      </c>
      <c r="C209" s="549" t="s">
        <v>201</v>
      </c>
      <c r="D209" s="512">
        <f>HLOOKUP($J$1,$E$12:$I213,198,FALSE)</f>
        <v>4</v>
      </c>
      <c r="E209" s="512">
        <v>4</v>
      </c>
      <c r="F209" s="512">
        <v>4</v>
      </c>
      <c r="G209" s="512">
        <v>4</v>
      </c>
      <c r="H209" s="512">
        <v>4</v>
      </c>
      <c r="I209" s="512">
        <v>4</v>
      </c>
      <c r="J209" s="552" t="s">
        <v>268</v>
      </c>
      <c r="K209" s="90" t="s">
        <v>24</v>
      </c>
      <c r="L209" s="88" t="s">
        <v>4</v>
      </c>
      <c r="M209" s="88" t="s">
        <v>266</v>
      </c>
      <c r="N209" s="89">
        <v>1</v>
      </c>
      <c r="O209" s="555"/>
      <c r="P209" s="558" t="e">
        <f>'#1 - 메인 UI'!#REF!</f>
        <v>#REF!</v>
      </c>
      <c r="Q209" s="515" t="e">
        <f>'#1 - 메인 UI'!#REF!</f>
        <v>#REF!</v>
      </c>
      <c r="R209" s="518">
        <f t="shared" ref="R209" si="71">D209</f>
        <v>4</v>
      </c>
      <c r="S209" s="563">
        <f t="shared" ref="S209" si="72">IFERROR(VLOOKUP(Q209,L209:N213,3,FALSE),0)</f>
        <v>0</v>
      </c>
      <c r="T209" s="506">
        <f>IFERROR(+R209*S209,0)</f>
        <v>0</v>
      </c>
      <c r="U209" s="564">
        <f t="shared" ref="U209" si="73">ROUND((T209/$D$220)*$J$220,4)</f>
        <v>0</v>
      </c>
      <c r="V209" s="123"/>
      <c r="W209" s="124"/>
      <c r="X209" s="52"/>
      <c r="Y209" s="44"/>
      <c r="Z209" s="44"/>
      <c r="AA209" s="2"/>
      <c r="AB209" s="44"/>
      <c r="AC209" s="44"/>
      <c r="AD209" s="44"/>
      <c r="AE209" s="44"/>
      <c r="AF209" s="48"/>
    </row>
    <row r="210" spans="2:32" ht="19.899999999999999" customHeight="1">
      <c r="B210" s="547"/>
      <c r="C210" s="550"/>
      <c r="D210" s="513"/>
      <c r="E210" s="513"/>
      <c r="F210" s="513"/>
      <c r="G210" s="513"/>
      <c r="H210" s="513"/>
      <c r="I210" s="513"/>
      <c r="J210" s="553"/>
      <c r="K210" s="91" t="s">
        <v>214</v>
      </c>
      <c r="L210" s="14" t="s">
        <v>5</v>
      </c>
      <c r="M210" s="14" t="s">
        <v>265</v>
      </c>
      <c r="N210" s="5">
        <v>0.8</v>
      </c>
      <c r="O210" s="556"/>
      <c r="P210" s="559"/>
      <c r="Q210" s="516"/>
      <c r="R210" s="519"/>
      <c r="S210" s="563"/>
      <c r="T210" s="507"/>
      <c r="U210" s="565"/>
      <c r="V210" s="123"/>
      <c r="W210" s="124"/>
      <c r="X210" s="52"/>
      <c r="Y210" s="44"/>
      <c r="Z210" s="44"/>
      <c r="AA210" s="2"/>
      <c r="AB210" s="44"/>
      <c r="AC210" s="44"/>
      <c r="AD210" s="44"/>
      <c r="AE210" s="44"/>
      <c r="AF210" s="48"/>
    </row>
    <row r="211" spans="2:32" ht="19.899999999999999" customHeight="1">
      <c r="B211" s="547"/>
      <c r="C211" s="550"/>
      <c r="D211" s="513"/>
      <c r="E211" s="513"/>
      <c r="F211" s="513"/>
      <c r="G211" s="513"/>
      <c r="H211" s="513"/>
      <c r="I211" s="513"/>
      <c r="J211" s="553"/>
      <c r="K211" s="91" t="s">
        <v>214</v>
      </c>
      <c r="L211" s="14" t="s">
        <v>6</v>
      </c>
      <c r="M211" s="14" t="s">
        <v>264</v>
      </c>
      <c r="N211" s="5">
        <v>0.6</v>
      </c>
      <c r="O211" s="556"/>
      <c r="P211" s="559"/>
      <c r="Q211" s="516"/>
      <c r="R211" s="519"/>
      <c r="S211" s="563"/>
      <c r="T211" s="507"/>
      <c r="U211" s="565"/>
      <c r="V211" s="125"/>
      <c r="W211" s="126"/>
      <c r="X211" s="52"/>
      <c r="Y211" s="44"/>
      <c r="Z211" s="44"/>
      <c r="AA211" s="2"/>
      <c r="AB211" s="44"/>
      <c r="AC211" s="44"/>
      <c r="AD211" s="44"/>
      <c r="AE211" s="44"/>
      <c r="AF211" s="45"/>
    </row>
    <row r="212" spans="2:32" ht="19.899999999999999" customHeight="1">
      <c r="B212" s="547"/>
      <c r="C212" s="550"/>
      <c r="D212" s="513"/>
      <c r="E212" s="513"/>
      <c r="F212" s="513"/>
      <c r="G212" s="513"/>
      <c r="H212" s="513"/>
      <c r="I212" s="513"/>
      <c r="J212" s="553"/>
      <c r="K212" s="91" t="s">
        <v>214</v>
      </c>
      <c r="L212" s="14" t="s">
        <v>7</v>
      </c>
      <c r="M212" s="14" t="s">
        <v>267</v>
      </c>
      <c r="N212" s="5">
        <v>0.4</v>
      </c>
      <c r="O212" s="556"/>
      <c r="P212" s="559"/>
      <c r="Q212" s="516"/>
      <c r="R212" s="519"/>
      <c r="S212" s="563"/>
      <c r="T212" s="507"/>
      <c r="U212" s="565"/>
      <c r="V212" s="125"/>
      <c r="W212" s="126"/>
      <c r="X212" s="52"/>
      <c r="Y212" s="44"/>
      <c r="Z212" s="44"/>
      <c r="AA212" s="2"/>
      <c r="AB212" s="44"/>
      <c r="AC212" s="44"/>
      <c r="AD212" s="44"/>
      <c r="AE212" s="44"/>
      <c r="AF212" s="45"/>
    </row>
    <row r="213" spans="2:32" ht="31.15" customHeight="1">
      <c r="B213" s="548"/>
      <c r="C213" s="551"/>
      <c r="D213" s="514"/>
      <c r="E213" s="514"/>
      <c r="F213" s="514"/>
      <c r="G213" s="514"/>
      <c r="H213" s="514"/>
      <c r="I213" s="514"/>
      <c r="J213" s="554"/>
      <c r="K213" s="92"/>
      <c r="L213" s="42"/>
      <c r="M213" s="42"/>
      <c r="N213" s="41"/>
      <c r="O213" s="557"/>
      <c r="P213" s="560"/>
      <c r="Q213" s="517"/>
      <c r="R213" s="520"/>
      <c r="S213" s="563"/>
      <c r="T213" s="508"/>
      <c r="U213" s="566"/>
      <c r="V213" s="125"/>
      <c r="W213" s="126"/>
      <c r="X213" s="52"/>
      <c r="Y213" s="44"/>
      <c r="Z213" s="44"/>
      <c r="AA213" s="2"/>
      <c r="AB213" s="56"/>
      <c r="AC213" s="56"/>
      <c r="AD213" s="56"/>
      <c r="AE213" s="56"/>
      <c r="AF213" s="45"/>
    </row>
    <row r="214" spans="2:32" ht="19.899999999999999" hidden="1" customHeight="1">
      <c r="B214" s="546" t="s">
        <v>199</v>
      </c>
      <c r="C214" s="549" t="s">
        <v>202</v>
      </c>
      <c r="D214" s="512" t="str">
        <f>HLOOKUP($J$1,$E$12:$I218,203,FALSE)</f>
        <v>제외</v>
      </c>
      <c r="E214" s="512" t="s">
        <v>212</v>
      </c>
      <c r="F214" s="512" t="s">
        <v>212</v>
      </c>
      <c r="G214" s="512">
        <v>1</v>
      </c>
      <c r="H214" s="512" t="s">
        <v>212</v>
      </c>
      <c r="I214" s="512" t="s">
        <v>212</v>
      </c>
      <c r="J214" s="567" t="s">
        <v>202</v>
      </c>
      <c r="K214" s="90" t="s">
        <v>24</v>
      </c>
      <c r="L214" s="88" t="s">
        <v>4</v>
      </c>
      <c r="M214" s="88" t="s">
        <v>269</v>
      </c>
      <c r="N214" s="89">
        <v>1</v>
      </c>
      <c r="O214" s="555"/>
      <c r="P214" s="198"/>
      <c r="Q214" s="518" t="s">
        <v>338</v>
      </c>
      <c r="R214" s="518" t="str">
        <f t="shared" si="65"/>
        <v>제외</v>
      </c>
      <c r="S214" s="563">
        <f t="shared" ref="S214" si="74">IFERROR(VLOOKUP(Q214,L214:N218,3,FALSE),0)</f>
        <v>0</v>
      </c>
      <c r="T214" s="506">
        <f>IFERROR(+Q214*R214,0)</f>
        <v>0</v>
      </c>
      <c r="U214" s="564">
        <f>ROUND((T214/$D$220)*$J$220,4)</f>
        <v>0</v>
      </c>
      <c r="V214" s="123"/>
      <c r="W214" s="124"/>
      <c r="X214" s="52"/>
      <c r="Y214" s="44"/>
      <c r="Z214" s="44"/>
      <c r="AA214" s="2"/>
      <c r="AB214" s="44"/>
      <c r="AC214" s="44"/>
      <c r="AD214" s="44"/>
      <c r="AE214" s="44"/>
      <c r="AF214" s="48"/>
    </row>
    <row r="215" spans="2:32" ht="19.899999999999999" hidden="1" customHeight="1">
      <c r="B215" s="547"/>
      <c r="C215" s="550"/>
      <c r="D215" s="513"/>
      <c r="E215" s="513"/>
      <c r="F215" s="513"/>
      <c r="G215" s="513"/>
      <c r="H215" s="513"/>
      <c r="I215" s="513"/>
      <c r="J215" s="568"/>
      <c r="K215" s="91" t="s">
        <v>214</v>
      </c>
      <c r="L215" s="14" t="s">
        <v>5</v>
      </c>
      <c r="M215" s="14" t="s">
        <v>270</v>
      </c>
      <c r="N215" s="5">
        <v>0.5</v>
      </c>
      <c r="O215" s="556"/>
      <c r="P215" s="196"/>
      <c r="Q215" s="519"/>
      <c r="R215" s="519"/>
      <c r="S215" s="563"/>
      <c r="T215" s="507"/>
      <c r="U215" s="565"/>
      <c r="V215" s="123"/>
      <c r="W215" s="124"/>
      <c r="X215" s="52"/>
      <c r="Y215" s="44"/>
      <c r="Z215" s="44"/>
      <c r="AA215" s="2"/>
      <c r="AB215" s="44"/>
      <c r="AC215" s="44"/>
      <c r="AD215" s="44"/>
      <c r="AE215" s="44"/>
      <c r="AF215" s="48"/>
    </row>
    <row r="216" spans="2:32" ht="19.899999999999999" hidden="1" customHeight="1">
      <c r="B216" s="547"/>
      <c r="C216" s="550"/>
      <c r="D216" s="513"/>
      <c r="E216" s="513"/>
      <c r="F216" s="513"/>
      <c r="G216" s="513"/>
      <c r="H216" s="513"/>
      <c r="I216" s="513"/>
      <c r="J216" s="568"/>
      <c r="K216" s="91"/>
      <c r="O216" s="556"/>
      <c r="P216" s="196"/>
      <c r="Q216" s="519"/>
      <c r="R216" s="519"/>
      <c r="S216" s="563"/>
      <c r="T216" s="507"/>
      <c r="U216" s="565"/>
      <c r="V216" s="125"/>
      <c r="W216" s="126"/>
      <c r="X216" s="52"/>
      <c r="Y216" s="44"/>
      <c r="Z216" s="44"/>
      <c r="AA216" s="2"/>
      <c r="AB216" s="56"/>
      <c r="AC216" s="56"/>
      <c r="AD216" s="56"/>
      <c r="AE216" s="56"/>
      <c r="AF216" s="45"/>
    </row>
    <row r="217" spans="2:32" ht="19.899999999999999" hidden="1" customHeight="1">
      <c r="B217" s="547"/>
      <c r="C217" s="550"/>
      <c r="D217" s="513"/>
      <c r="E217" s="513"/>
      <c r="F217" s="513"/>
      <c r="G217" s="513"/>
      <c r="H217" s="513"/>
      <c r="I217" s="513"/>
      <c r="J217" s="568"/>
      <c r="K217" s="91"/>
      <c r="O217" s="556"/>
      <c r="P217" s="196"/>
      <c r="Q217" s="519"/>
      <c r="R217" s="519"/>
      <c r="S217" s="563"/>
      <c r="T217" s="507"/>
      <c r="U217" s="565"/>
      <c r="V217" s="125"/>
      <c r="W217" s="126"/>
      <c r="X217" s="52"/>
      <c r="Y217" s="44"/>
      <c r="Z217" s="44"/>
      <c r="AA217" s="2"/>
      <c r="AB217" s="56"/>
      <c r="AC217" s="56"/>
      <c r="AD217" s="56"/>
      <c r="AE217" s="56"/>
      <c r="AF217" s="45"/>
    </row>
    <row r="218" spans="2:32" ht="19.899999999999999" hidden="1" customHeight="1">
      <c r="B218" s="548"/>
      <c r="C218" s="551"/>
      <c r="D218" s="514"/>
      <c r="E218" s="514"/>
      <c r="F218" s="514"/>
      <c r="G218" s="514"/>
      <c r="H218" s="514"/>
      <c r="I218" s="514"/>
      <c r="J218" s="569"/>
      <c r="K218" s="92"/>
      <c r="L218" s="42"/>
      <c r="M218" s="42"/>
      <c r="N218" s="41"/>
      <c r="O218" s="557"/>
      <c r="P218" s="199"/>
      <c r="Q218" s="520"/>
      <c r="R218" s="520"/>
      <c r="S218" s="563"/>
      <c r="T218" s="508"/>
      <c r="U218" s="566"/>
      <c r="V218" s="125"/>
      <c r="W218" s="126"/>
      <c r="X218" s="52"/>
      <c r="Y218" s="44"/>
      <c r="Z218" s="44"/>
      <c r="AA218" s="2"/>
      <c r="AB218" s="56"/>
      <c r="AC218" s="56"/>
      <c r="AD218" s="56"/>
      <c r="AE218" s="56"/>
      <c r="AF218" s="45"/>
    </row>
    <row r="219" spans="2:32" ht="4.9000000000000004" customHeight="1">
      <c r="B219" s="81"/>
      <c r="C219" s="82"/>
      <c r="D219" s="83"/>
      <c r="E219" s="83"/>
      <c r="F219" s="83"/>
      <c r="G219" s="83"/>
      <c r="H219" s="83"/>
      <c r="I219" s="83"/>
      <c r="J219" s="84"/>
      <c r="K219" s="3"/>
      <c r="O219" s="68"/>
      <c r="P219" s="196"/>
      <c r="Q219" s="85"/>
      <c r="R219" s="85"/>
      <c r="S219" s="85"/>
      <c r="T219" s="86"/>
      <c r="U219" s="86"/>
      <c r="V219" s="125"/>
      <c r="W219" s="126"/>
      <c r="X219" s="52"/>
      <c r="Y219" s="44"/>
      <c r="Z219" s="44"/>
      <c r="AA219" s="2"/>
      <c r="AB219" s="43"/>
      <c r="AC219" s="43"/>
      <c r="AD219" s="43"/>
      <c r="AE219" s="43"/>
      <c r="AF219" s="45"/>
    </row>
    <row r="220" spans="2:32" ht="25.35" customHeight="1">
      <c r="B220" s="561" t="s">
        <v>52</v>
      </c>
      <c r="C220" s="561"/>
      <c r="D220" s="73">
        <f>SUM(D194:D218)</f>
        <v>14</v>
      </c>
      <c r="E220" s="73">
        <f t="shared" ref="E220:I220" si="75">SUM(E194:E218)</f>
        <v>14</v>
      </c>
      <c r="F220" s="73">
        <f t="shared" si="75"/>
        <v>14</v>
      </c>
      <c r="G220" s="73">
        <f t="shared" si="75"/>
        <v>17</v>
      </c>
      <c r="H220" s="73">
        <f t="shared" si="75"/>
        <v>14</v>
      </c>
      <c r="I220" s="73">
        <f t="shared" si="75"/>
        <v>14</v>
      </c>
      <c r="J220" s="110">
        <v>10</v>
      </c>
      <c r="K220" s="72"/>
      <c r="L220" s="75"/>
      <c r="M220" s="76"/>
      <c r="N220" s="77"/>
      <c r="O220" s="74"/>
      <c r="P220" s="197"/>
      <c r="Q220" s="80"/>
      <c r="R220" s="80"/>
      <c r="S220" s="80"/>
      <c r="T220" s="118">
        <f>ROUND(SUM(T199:T213),2)</f>
        <v>0</v>
      </c>
      <c r="U220" s="115">
        <f>ROUND(SUM(U199:U213),2)</f>
        <v>0</v>
      </c>
      <c r="V220" s="121"/>
      <c r="W220" s="122"/>
      <c r="X220" s="95"/>
      <c r="Y220" s="97"/>
      <c r="Z220" s="78"/>
      <c r="AA220" s="78"/>
      <c r="AB220" s="78"/>
      <c r="AC220" s="78"/>
      <c r="AD220" s="78"/>
      <c r="AE220" s="78"/>
    </row>
    <row r="221" spans="2:32" ht="19.899999999999999" customHeight="1">
      <c r="V221" s="121"/>
      <c r="W221" s="122"/>
    </row>
    <row r="222" spans="2:32" ht="31.5">
      <c r="B222" s="175" t="s">
        <v>97</v>
      </c>
      <c r="C222" s="39" t="s">
        <v>98</v>
      </c>
      <c r="D222" s="4"/>
      <c r="E222" s="4"/>
      <c r="F222" s="4"/>
      <c r="G222" s="4"/>
      <c r="H222" s="4"/>
      <c r="I222" s="4"/>
      <c r="J222" s="4"/>
      <c r="K222" s="3"/>
      <c r="O222" s="525"/>
      <c r="P222" s="526"/>
      <c r="Q222" s="116">
        <f>U277</f>
        <v>9.75</v>
      </c>
      <c r="R222" s="112"/>
      <c r="S222" s="112"/>
      <c r="T222" s="113" t="s">
        <v>23</v>
      </c>
      <c r="U222" s="114">
        <f>J277</f>
        <v>18</v>
      </c>
      <c r="V222" s="121"/>
      <c r="W222" s="122"/>
      <c r="X222" s="562"/>
      <c r="Y222" s="562"/>
      <c r="Z222" s="37"/>
      <c r="AA222" s="37"/>
      <c r="AB222" s="37"/>
      <c r="AC222" s="37"/>
      <c r="AD222" s="37"/>
      <c r="AE222" s="37"/>
    </row>
    <row r="223" spans="2:32" ht="4.9000000000000004" customHeight="1">
      <c r="B223" s="47"/>
      <c r="C223" s="8"/>
      <c r="D223" s="4"/>
      <c r="E223" s="4"/>
      <c r="F223" s="4"/>
      <c r="G223" s="4"/>
      <c r="H223" s="4"/>
      <c r="I223" s="4"/>
      <c r="J223" s="4"/>
      <c r="K223" s="9"/>
      <c r="L223" s="8"/>
      <c r="O223" s="527"/>
      <c r="P223" s="527"/>
      <c r="Q223" s="2"/>
      <c r="R223" s="2"/>
      <c r="S223" s="2"/>
      <c r="V223" s="121"/>
      <c r="W223" s="122"/>
      <c r="X223" s="527"/>
      <c r="Y223" s="527"/>
      <c r="Z223" s="40"/>
      <c r="AA223" s="40"/>
      <c r="AB223" s="40"/>
      <c r="AC223" s="40"/>
      <c r="AD223" s="40"/>
      <c r="AE223" s="40"/>
    </row>
    <row r="224" spans="2:32" ht="25.15" customHeight="1">
      <c r="B224" s="528" t="s">
        <v>12</v>
      </c>
      <c r="C224" s="529"/>
      <c r="D224" s="67" t="s">
        <v>3</v>
      </c>
      <c r="E224" s="67" t="str">
        <f>E$12</f>
        <v>신축 비주거-일반건축물</v>
      </c>
      <c r="F224" s="67" t="str">
        <f t="shared" ref="F224:I224" si="76">F$12</f>
        <v>신축 비주거-업무용건축물</v>
      </c>
      <c r="G224" s="67" t="str">
        <f t="shared" si="76"/>
        <v>신축 비주거-학교</v>
      </c>
      <c r="H224" s="67" t="str">
        <f t="shared" si="76"/>
        <v>신축 비주거-판매시설</v>
      </c>
      <c r="I224" s="67" t="str">
        <f t="shared" si="76"/>
        <v>신축 비주거-숙박시설</v>
      </c>
      <c r="J224" s="67" t="s">
        <v>37</v>
      </c>
      <c r="K224" s="530" t="s">
        <v>36</v>
      </c>
      <c r="L224" s="531"/>
      <c r="M224" s="531"/>
      <c r="N224" s="528"/>
      <c r="O224" s="532" t="s">
        <v>132</v>
      </c>
      <c r="P224" s="533"/>
      <c r="Q224" s="66" t="str">
        <f>Q$12</f>
        <v>등급</v>
      </c>
      <c r="R224" s="66" t="str">
        <f>R$12</f>
        <v>배점</v>
      </c>
      <c r="S224" s="66" t="str">
        <f>S$12</f>
        <v>가중치</v>
      </c>
      <c r="T224" s="66" t="str">
        <f>T$12</f>
        <v>평점</v>
      </c>
      <c r="U224" s="66" t="str">
        <f>U$12</f>
        <v>환산점</v>
      </c>
      <c r="V224" s="121"/>
      <c r="W224" s="122"/>
      <c r="X224" s="534" t="s">
        <v>45</v>
      </c>
      <c r="Y224" s="535"/>
      <c r="Z224" s="535"/>
      <c r="AA224" s="130"/>
      <c r="AB224" s="535" t="s">
        <v>133</v>
      </c>
      <c r="AC224" s="535"/>
      <c r="AD224" s="535"/>
      <c r="AE224" s="535"/>
    </row>
    <row r="225" spans="2:34" ht="4.9000000000000004" customHeight="1" thickBot="1">
      <c r="B225" s="47"/>
      <c r="C225" s="9"/>
      <c r="D225" s="4"/>
      <c r="E225" s="4"/>
      <c r="F225" s="4"/>
      <c r="G225" s="4"/>
      <c r="H225" s="4"/>
      <c r="I225" s="4"/>
      <c r="J225" s="4"/>
      <c r="K225" s="9"/>
      <c r="L225" s="8"/>
      <c r="O225" s="40"/>
      <c r="P225" s="192"/>
      <c r="Q225" s="2"/>
      <c r="R225" s="2"/>
      <c r="S225" s="2"/>
      <c r="V225" s="121"/>
      <c r="W225" s="122"/>
      <c r="X225" s="51"/>
      <c r="Y225" s="40"/>
      <c r="Z225" s="40"/>
      <c r="AA225" s="40"/>
      <c r="AB225" s="40"/>
      <c r="AC225" s="40"/>
      <c r="AD225" s="40"/>
      <c r="AE225" s="40"/>
    </row>
    <row r="226" spans="2:34" ht="19.899999999999999" customHeight="1" thickBot="1">
      <c r="B226" s="546" t="s">
        <v>99</v>
      </c>
      <c r="C226" s="549" t="s">
        <v>100</v>
      </c>
      <c r="D226" s="512">
        <f>HLOOKUP($J$1,$E$12:$I230,215,FALSE)</f>
        <v>3</v>
      </c>
      <c r="E226" s="512">
        <v>3</v>
      </c>
      <c r="F226" s="512">
        <v>3</v>
      </c>
      <c r="G226" s="512">
        <v>3</v>
      </c>
      <c r="H226" s="512">
        <v>3</v>
      </c>
      <c r="I226" s="512">
        <v>3</v>
      </c>
      <c r="J226" s="552" t="s">
        <v>365</v>
      </c>
      <c r="K226" s="90" t="s">
        <v>24</v>
      </c>
      <c r="L226" s="579" t="s">
        <v>368</v>
      </c>
      <c r="M226" s="579"/>
      <c r="N226" s="582">
        <v>3</v>
      </c>
      <c r="O226" s="555"/>
      <c r="P226" s="558" t="s">
        <v>371</v>
      </c>
      <c r="Q226" s="576" t="s">
        <v>366</v>
      </c>
      <c r="R226" s="518">
        <f t="shared" ref="R226" si="77">D226</f>
        <v>3</v>
      </c>
      <c r="S226" s="563" t="s">
        <v>338</v>
      </c>
      <c r="T226" s="506">
        <f>N226</f>
        <v>3</v>
      </c>
      <c r="U226" s="564">
        <f>ROUND((T226/$D$277)*$J$277,4)</f>
        <v>4.5</v>
      </c>
      <c r="V226" s="123"/>
      <c r="W226" s="124"/>
      <c r="X226" s="71" t="s">
        <v>418</v>
      </c>
      <c r="Y226" s="69" t="e">
        <f>'#1 - 메인 UI'!#REF!</f>
        <v>#REF!</v>
      </c>
      <c r="Z226" s="70" t="e">
        <f>'#1 - 메인 UI'!#REF!</f>
        <v>#REF!</v>
      </c>
      <c r="AA226" s="134" t="e">
        <f>VLOOKUP(Z226,데이터유효성!$B$2:$C$5,2,FALSE)</f>
        <v>#REF!</v>
      </c>
      <c r="AB226" s="49">
        <v>0.25</v>
      </c>
      <c r="AC226" s="49">
        <v>0.5</v>
      </c>
      <c r="AD226" s="49">
        <v>0.75</v>
      </c>
      <c r="AE226" s="49">
        <v>1</v>
      </c>
      <c r="AF226" s="48"/>
      <c r="AH226" s="2" t="s">
        <v>380</v>
      </c>
    </row>
    <row r="227" spans="2:34" ht="19.899999999999999" customHeight="1">
      <c r="B227" s="547"/>
      <c r="C227" s="550"/>
      <c r="D227" s="513"/>
      <c r="E227" s="513"/>
      <c r="F227" s="513"/>
      <c r="G227" s="513"/>
      <c r="H227" s="513"/>
      <c r="I227" s="513"/>
      <c r="J227" s="553"/>
      <c r="K227" s="91"/>
      <c r="L227" s="580"/>
      <c r="M227" s="580"/>
      <c r="N227" s="583"/>
      <c r="O227" s="556"/>
      <c r="P227" s="559"/>
      <c r="Q227" s="577"/>
      <c r="R227" s="519"/>
      <c r="S227" s="563"/>
      <c r="T227" s="507"/>
      <c r="U227" s="565"/>
      <c r="V227" s="123"/>
      <c r="W227" s="124"/>
      <c r="X227" s="52"/>
      <c r="Y227" s="44"/>
      <c r="Z227" s="44"/>
      <c r="AA227" s="2"/>
      <c r="AB227" s="44"/>
      <c r="AC227" s="44"/>
      <c r="AD227" s="44"/>
      <c r="AE227" s="44"/>
      <c r="AF227" s="48"/>
    </row>
    <row r="228" spans="2:34" ht="19.899999999999999" customHeight="1">
      <c r="B228" s="547"/>
      <c r="C228" s="550"/>
      <c r="D228" s="513"/>
      <c r="E228" s="513"/>
      <c r="F228" s="513"/>
      <c r="G228" s="513"/>
      <c r="H228" s="513"/>
      <c r="I228" s="513"/>
      <c r="J228" s="553"/>
      <c r="K228" s="91"/>
      <c r="L228" s="580"/>
      <c r="M228" s="580"/>
      <c r="N228" s="583"/>
      <c r="O228" s="556"/>
      <c r="P228" s="559"/>
      <c r="Q228" s="577"/>
      <c r="R228" s="519"/>
      <c r="S228" s="563"/>
      <c r="T228" s="507"/>
      <c r="U228" s="565"/>
      <c r="V228" s="125"/>
      <c r="W228" s="126"/>
      <c r="X228" s="52"/>
      <c r="Y228" s="44"/>
      <c r="Z228" s="44"/>
      <c r="AA228" s="2"/>
      <c r="AB228" s="44"/>
      <c r="AC228" s="44"/>
      <c r="AD228" s="44"/>
      <c r="AE228" s="44"/>
      <c r="AF228" s="45"/>
    </row>
    <row r="229" spans="2:34" ht="19.899999999999999" customHeight="1">
      <c r="B229" s="547"/>
      <c r="C229" s="550"/>
      <c r="D229" s="513"/>
      <c r="E229" s="513"/>
      <c r="F229" s="513"/>
      <c r="G229" s="513"/>
      <c r="H229" s="513"/>
      <c r="I229" s="513"/>
      <c r="J229" s="553"/>
      <c r="K229" s="91"/>
      <c r="L229" s="580"/>
      <c r="M229" s="580"/>
      <c r="N229" s="583"/>
      <c r="O229" s="556"/>
      <c r="P229" s="559"/>
      <c r="Q229" s="577"/>
      <c r="R229" s="519"/>
      <c r="S229" s="563"/>
      <c r="T229" s="507"/>
      <c r="U229" s="565"/>
      <c r="V229" s="125"/>
      <c r="W229" s="126"/>
      <c r="X229" s="52"/>
      <c r="Y229" s="44"/>
      <c r="Z229" s="44"/>
      <c r="AA229" s="2"/>
      <c r="AB229" s="44"/>
      <c r="AC229" s="44"/>
      <c r="AD229" s="44"/>
      <c r="AE229" s="44"/>
      <c r="AF229" s="45"/>
    </row>
    <row r="230" spans="2:34" ht="51" customHeight="1">
      <c r="B230" s="548"/>
      <c r="C230" s="551"/>
      <c r="D230" s="514"/>
      <c r="E230" s="514"/>
      <c r="F230" s="514"/>
      <c r="G230" s="514"/>
      <c r="H230" s="514"/>
      <c r="I230" s="514"/>
      <c r="J230" s="554"/>
      <c r="K230" s="92"/>
      <c r="L230" s="581"/>
      <c r="M230" s="581"/>
      <c r="N230" s="584"/>
      <c r="O230" s="557"/>
      <c r="P230" s="560"/>
      <c r="Q230" s="578"/>
      <c r="R230" s="520"/>
      <c r="S230" s="563"/>
      <c r="T230" s="508"/>
      <c r="U230" s="566"/>
      <c r="V230" s="125"/>
      <c r="W230" s="126"/>
      <c r="X230" s="52"/>
      <c r="Y230" s="44"/>
      <c r="Z230" s="44"/>
      <c r="AA230" s="2"/>
      <c r="AB230" s="56"/>
      <c r="AC230" s="56"/>
      <c r="AD230" s="56"/>
      <c r="AE230" s="56"/>
      <c r="AF230" s="45"/>
    </row>
    <row r="231" spans="2:34" ht="19.899999999999999" customHeight="1">
      <c r="B231" s="546" t="s">
        <v>101</v>
      </c>
      <c r="C231" s="549" t="s">
        <v>102</v>
      </c>
      <c r="D231" s="512">
        <f>HLOOKUP($J$1,$E$12:$I235,220,FALSE)</f>
        <v>2</v>
      </c>
      <c r="E231" s="512">
        <v>2</v>
      </c>
      <c r="F231" s="512">
        <v>2</v>
      </c>
      <c r="G231" s="512">
        <v>2</v>
      </c>
      <c r="H231" s="512">
        <v>2</v>
      </c>
      <c r="I231" s="512">
        <v>2</v>
      </c>
      <c r="J231" s="552" t="s">
        <v>275</v>
      </c>
      <c r="K231" s="90" t="s">
        <v>24</v>
      </c>
      <c r="L231" s="88" t="s">
        <v>4</v>
      </c>
      <c r="M231" s="88" t="s">
        <v>272</v>
      </c>
      <c r="N231" s="89">
        <v>1</v>
      </c>
      <c r="O231" s="555"/>
      <c r="P231" s="558" t="s">
        <v>347</v>
      </c>
      <c r="Q231" s="515" t="s">
        <v>338</v>
      </c>
      <c r="R231" s="518">
        <f t="shared" ref="R231" si="78">D231</f>
        <v>2</v>
      </c>
      <c r="S231" s="563">
        <f t="shared" ref="S231" si="79">IFERROR(VLOOKUP(Q231,L231:N235,3,FALSE),0)</f>
        <v>0</v>
      </c>
      <c r="T231" s="506">
        <f>IFERROR(+R231*S231,0)</f>
        <v>0</v>
      </c>
      <c r="U231" s="564">
        <f t="shared" ref="U231" si="80">ROUND((T231/$D$277)*$J$277,4)</f>
        <v>0</v>
      </c>
      <c r="V231" s="123"/>
      <c r="W231" s="124"/>
      <c r="X231" s="52"/>
      <c r="Y231" s="44"/>
      <c r="Z231" s="44"/>
      <c r="AA231" s="2"/>
      <c r="AB231" s="44"/>
      <c r="AC231" s="44"/>
      <c r="AD231" s="44"/>
      <c r="AE231" s="44"/>
      <c r="AF231" s="48"/>
    </row>
    <row r="232" spans="2:34" ht="19.899999999999999" customHeight="1">
      <c r="B232" s="547"/>
      <c r="C232" s="550"/>
      <c r="D232" s="513"/>
      <c r="E232" s="513"/>
      <c r="F232" s="513"/>
      <c r="G232" s="513"/>
      <c r="H232" s="513"/>
      <c r="I232" s="513"/>
      <c r="J232" s="553"/>
      <c r="K232" s="91" t="s">
        <v>214</v>
      </c>
      <c r="L232" s="14" t="s">
        <v>5</v>
      </c>
      <c r="M232" s="14" t="s">
        <v>273</v>
      </c>
      <c r="N232" s="5">
        <v>0.8</v>
      </c>
      <c r="O232" s="556"/>
      <c r="P232" s="559"/>
      <c r="Q232" s="516"/>
      <c r="R232" s="519"/>
      <c r="S232" s="563"/>
      <c r="T232" s="507"/>
      <c r="U232" s="565"/>
      <c r="V232" s="123"/>
      <c r="W232" s="124"/>
      <c r="X232" s="52"/>
      <c r="Y232" s="44"/>
      <c r="Z232" s="44"/>
      <c r="AA232" s="2"/>
      <c r="AB232" s="44"/>
      <c r="AC232" s="44"/>
      <c r="AD232" s="44"/>
      <c r="AE232" s="44"/>
      <c r="AF232" s="48"/>
    </row>
    <row r="233" spans="2:34" ht="19.899999999999999" customHeight="1">
      <c r="B233" s="547"/>
      <c r="C233" s="550"/>
      <c r="D233" s="513"/>
      <c r="E233" s="513"/>
      <c r="F233" s="513"/>
      <c r="G233" s="513"/>
      <c r="H233" s="513"/>
      <c r="I233" s="513"/>
      <c r="J233" s="553"/>
      <c r="K233" s="91" t="s">
        <v>214</v>
      </c>
      <c r="L233" s="14" t="s">
        <v>6</v>
      </c>
      <c r="M233" s="14" t="s">
        <v>274</v>
      </c>
      <c r="N233" s="5">
        <v>0.6</v>
      </c>
      <c r="O233" s="556"/>
      <c r="P233" s="559"/>
      <c r="Q233" s="516"/>
      <c r="R233" s="519"/>
      <c r="S233" s="563"/>
      <c r="T233" s="507"/>
      <c r="U233" s="565"/>
      <c r="V233" s="125"/>
      <c r="W233" s="126"/>
      <c r="X233" s="52"/>
      <c r="Y233" s="44"/>
      <c r="Z233" s="44"/>
      <c r="AA233" s="2"/>
      <c r="AB233" s="44"/>
      <c r="AC233" s="44"/>
      <c r="AD233" s="44"/>
      <c r="AE233" s="44"/>
      <c r="AF233" s="45"/>
    </row>
    <row r="234" spans="2:34" ht="19.899999999999999" customHeight="1">
      <c r="B234" s="547"/>
      <c r="C234" s="550"/>
      <c r="D234" s="513"/>
      <c r="E234" s="513"/>
      <c r="F234" s="513"/>
      <c r="G234" s="513"/>
      <c r="H234" s="513"/>
      <c r="I234" s="513"/>
      <c r="J234" s="553"/>
      <c r="K234" s="91" t="s">
        <v>214</v>
      </c>
      <c r="L234" s="14" t="s">
        <v>7</v>
      </c>
      <c r="M234" s="14" t="s">
        <v>271</v>
      </c>
      <c r="N234" s="5">
        <v>0.4</v>
      </c>
      <c r="O234" s="556"/>
      <c r="P234" s="559"/>
      <c r="Q234" s="516"/>
      <c r="R234" s="519"/>
      <c r="S234" s="563"/>
      <c r="T234" s="507"/>
      <c r="U234" s="565"/>
      <c r="V234" s="125"/>
      <c r="W234" s="126"/>
      <c r="X234" s="52"/>
      <c r="Y234" s="44"/>
      <c r="Z234" s="44"/>
      <c r="AA234" s="2"/>
      <c r="AB234" s="44"/>
      <c r="AC234" s="44"/>
      <c r="AD234" s="44"/>
      <c r="AE234" s="44"/>
      <c r="AF234" s="45"/>
    </row>
    <row r="235" spans="2:34" ht="51" customHeight="1" thickBot="1">
      <c r="B235" s="548"/>
      <c r="C235" s="551"/>
      <c r="D235" s="514"/>
      <c r="E235" s="514"/>
      <c r="F235" s="514"/>
      <c r="G235" s="514"/>
      <c r="H235" s="514"/>
      <c r="I235" s="514"/>
      <c r="J235" s="554"/>
      <c r="K235" s="92"/>
      <c r="L235" s="42"/>
      <c r="M235" s="42"/>
      <c r="N235" s="41"/>
      <c r="O235" s="557"/>
      <c r="P235" s="560"/>
      <c r="Q235" s="517"/>
      <c r="R235" s="520"/>
      <c r="S235" s="563"/>
      <c r="T235" s="508"/>
      <c r="U235" s="566"/>
      <c r="V235" s="125"/>
      <c r="W235" s="126"/>
      <c r="X235" s="52"/>
      <c r="Y235" s="44"/>
      <c r="Z235" s="44"/>
      <c r="AA235" s="2"/>
      <c r="AB235" s="56"/>
      <c r="AC235" s="56"/>
      <c r="AD235" s="56"/>
      <c r="AE235" s="56"/>
      <c r="AF235" s="45"/>
    </row>
    <row r="236" spans="2:34" ht="19.899999999999999" customHeight="1" thickBot="1">
      <c r="B236" s="546" t="s">
        <v>103</v>
      </c>
      <c r="C236" s="549" t="s">
        <v>206</v>
      </c>
      <c r="D236" s="512">
        <f>HLOOKUP($J$1,$E$12:$I240,225,FALSE)</f>
        <v>2</v>
      </c>
      <c r="E236" s="512">
        <v>2</v>
      </c>
      <c r="F236" s="512">
        <v>2</v>
      </c>
      <c r="G236" s="512">
        <v>2</v>
      </c>
      <c r="H236" s="512">
        <v>2</v>
      </c>
      <c r="I236" s="512">
        <v>2</v>
      </c>
      <c r="J236" s="552" t="s">
        <v>276</v>
      </c>
      <c r="K236" s="90" t="s">
        <v>24</v>
      </c>
      <c r="L236" s="88" t="s">
        <v>4</v>
      </c>
      <c r="M236" s="88" t="s">
        <v>277</v>
      </c>
      <c r="N236" s="89">
        <v>1</v>
      </c>
      <c r="O236" s="555"/>
      <c r="P236" s="558" t="s">
        <v>367</v>
      </c>
      <c r="Q236" s="515" t="s">
        <v>5</v>
      </c>
      <c r="R236" s="518">
        <f t="shared" ref="R236:R246" si="81">D236</f>
        <v>2</v>
      </c>
      <c r="S236" s="563">
        <f t="shared" ref="S236" si="82">IFERROR(VLOOKUP(Q236,L236:N240,3,FALSE),0)</f>
        <v>0.5</v>
      </c>
      <c r="T236" s="506">
        <f>IFERROR(+R236*S236,0)</f>
        <v>1</v>
      </c>
      <c r="U236" s="564">
        <f t="shared" ref="U236" si="83">ROUND((T236/$D$277)*$J$277,4)</f>
        <v>1.5</v>
      </c>
      <c r="V236" s="123"/>
      <c r="W236" s="124"/>
      <c r="X236" s="71" t="s">
        <v>419</v>
      </c>
      <c r="Y236" s="69" t="e">
        <f>'#1 - 메인 UI'!#REF!</f>
        <v>#REF!</v>
      </c>
      <c r="Z236" s="70" t="e">
        <f>'#1 - 메인 UI'!#REF!</f>
        <v>#REF!</v>
      </c>
      <c r="AA236" s="134" t="e">
        <f>VLOOKUP(Z236,데이터유효성!$B$2:$C$5,2,FALSE)</f>
        <v>#REF!</v>
      </c>
      <c r="AB236" s="49">
        <v>0.25</v>
      </c>
      <c r="AC236" s="49">
        <v>0.5</v>
      </c>
      <c r="AD236" s="49">
        <v>0.75</v>
      </c>
      <c r="AE236" s="49">
        <v>1</v>
      </c>
      <c r="AF236" s="48"/>
      <c r="AH236" s="2" t="s">
        <v>381</v>
      </c>
    </row>
    <row r="237" spans="2:34" ht="19.899999999999999" customHeight="1" thickBot="1">
      <c r="B237" s="547"/>
      <c r="C237" s="550"/>
      <c r="D237" s="513"/>
      <c r="E237" s="513"/>
      <c r="F237" s="513"/>
      <c r="G237" s="513"/>
      <c r="H237" s="513"/>
      <c r="I237" s="513"/>
      <c r="J237" s="553"/>
      <c r="K237" s="91" t="s">
        <v>214</v>
      </c>
      <c r="L237" s="14" t="s">
        <v>5</v>
      </c>
      <c r="M237" s="14" t="s">
        <v>152</v>
      </c>
      <c r="N237" s="5">
        <v>0.5</v>
      </c>
      <c r="O237" s="556"/>
      <c r="P237" s="559"/>
      <c r="Q237" s="516"/>
      <c r="R237" s="519"/>
      <c r="S237" s="563"/>
      <c r="T237" s="507"/>
      <c r="U237" s="565"/>
      <c r="V237" s="123"/>
      <c r="W237" s="124"/>
      <c r="X237" s="71" t="s">
        <v>420</v>
      </c>
      <c r="Y237" s="69" t="e">
        <f>'#1 - 메인 UI'!#REF!</f>
        <v>#REF!</v>
      </c>
      <c r="Z237" s="70" t="e">
        <f>'#1 - 메인 UI'!#REF!</f>
        <v>#REF!</v>
      </c>
      <c r="AA237" s="134" t="e">
        <f>VLOOKUP(Z237,데이터유효성!$B$2:$C$5,2,FALSE)</f>
        <v>#REF!</v>
      </c>
      <c r="AB237" s="49">
        <v>0.25</v>
      </c>
      <c r="AC237" s="49">
        <v>0.5</v>
      </c>
      <c r="AD237" s="49">
        <v>0.75</v>
      </c>
      <c r="AE237" s="49">
        <v>1</v>
      </c>
      <c r="AF237" s="48"/>
      <c r="AH237" s="2" t="s">
        <v>382</v>
      </c>
    </row>
    <row r="238" spans="2:34" ht="19.899999999999999" customHeight="1">
      <c r="B238" s="547"/>
      <c r="C238" s="550"/>
      <c r="D238" s="513"/>
      <c r="E238" s="513"/>
      <c r="F238" s="513"/>
      <c r="G238" s="513"/>
      <c r="H238" s="513"/>
      <c r="I238" s="513"/>
      <c r="J238" s="553"/>
      <c r="K238" s="91"/>
      <c r="O238" s="556"/>
      <c r="P238" s="559"/>
      <c r="Q238" s="516"/>
      <c r="R238" s="519"/>
      <c r="S238" s="563"/>
      <c r="T238" s="507"/>
      <c r="U238" s="565"/>
      <c r="V238" s="125"/>
      <c r="W238" s="126"/>
      <c r="X238" s="52"/>
      <c r="Y238" s="44"/>
      <c r="Z238" s="44"/>
      <c r="AA238" s="2"/>
      <c r="AB238" s="44"/>
      <c r="AC238" s="44"/>
      <c r="AD238" s="44"/>
      <c r="AE238" s="44"/>
      <c r="AF238" s="45"/>
    </row>
    <row r="239" spans="2:34" ht="19.899999999999999" customHeight="1">
      <c r="B239" s="547"/>
      <c r="C239" s="550"/>
      <c r="D239" s="513"/>
      <c r="E239" s="513"/>
      <c r="F239" s="513"/>
      <c r="G239" s="513"/>
      <c r="H239" s="513"/>
      <c r="I239" s="513"/>
      <c r="J239" s="553"/>
      <c r="K239" s="91"/>
      <c r="O239" s="556"/>
      <c r="P239" s="559"/>
      <c r="Q239" s="516"/>
      <c r="R239" s="519"/>
      <c r="S239" s="563"/>
      <c r="T239" s="507"/>
      <c r="U239" s="565"/>
      <c r="V239" s="125"/>
      <c r="W239" s="126"/>
      <c r="X239" s="52"/>
      <c r="Y239" s="44"/>
      <c r="Z239" s="44"/>
      <c r="AA239" s="2"/>
      <c r="AB239" s="44"/>
      <c r="AC239" s="44"/>
      <c r="AD239" s="44"/>
      <c r="AE239" s="44"/>
      <c r="AF239" s="45"/>
    </row>
    <row r="240" spans="2:34" ht="51" customHeight="1" thickBot="1">
      <c r="B240" s="548"/>
      <c r="C240" s="551"/>
      <c r="D240" s="514"/>
      <c r="E240" s="514"/>
      <c r="F240" s="514"/>
      <c r="G240" s="514"/>
      <c r="H240" s="514"/>
      <c r="I240" s="514"/>
      <c r="J240" s="554"/>
      <c r="K240" s="92"/>
      <c r="L240" s="42"/>
      <c r="M240" s="42"/>
      <c r="N240" s="41"/>
      <c r="O240" s="557"/>
      <c r="P240" s="560"/>
      <c r="Q240" s="517"/>
      <c r="R240" s="520"/>
      <c r="S240" s="563"/>
      <c r="T240" s="508"/>
      <c r="U240" s="566"/>
      <c r="V240" s="125"/>
      <c r="W240" s="126"/>
      <c r="X240" s="52"/>
      <c r="Y240" s="44"/>
      <c r="Z240" s="44"/>
      <c r="AA240" s="2"/>
      <c r="AB240" s="56"/>
      <c r="AC240" s="56"/>
      <c r="AD240" s="56"/>
      <c r="AE240" s="56"/>
      <c r="AF240" s="45"/>
    </row>
    <row r="241" spans="2:34" ht="19.899999999999999" hidden="1" customHeight="1">
      <c r="B241" s="546" t="s">
        <v>104</v>
      </c>
      <c r="C241" s="549" t="s">
        <v>203</v>
      </c>
      <c r="D241" s="512" t="str">
        <f>HLOOKUP($J$1,$E$12:$I245,230,FALSE)</f>
        <v>제외</v>
      </c>
      <c r="E241" s="512" t="s">
        <v>212</v>
      </c>
      <c r="F241" s="512" t="s">
        <v>212</v>
      </c>
      <c r="G241" s="512" t="s">
        <v>212</v>
      </c>
      <c r="H241" s="512">
        <v>2</v>
      </c>
      <c r="I241" s="512" t="s">
        <v>212</v>
      </c>
      <c r="J241" s="552" t="s">
        <v>284</v>
      </c>
      <c r="K241" s="90" t="s">
        <v>24</v>
      </c>
      <c r="L241" s="88" t="s">
        <v>4</v>
      </c>
      <c r="M241" s="88" t="s">
        <v>151</v>
      </c>
      <c r="N241" s="89">
        <v>1</v>
      </c>
      <c r="O241" s="555"/>
      <c r="P241" s="558"/>
      <c r="Q241" s="515" t="s">
        <v>338</v>
      </c>
      <c r="R241" s="518" t="str">
        <f t="shared" ref="R241:R251" si="84">D241</f>
        <v>제외</v>
      </c>
      <c r="S241" s="563">
        <f t="shared" ref="S241" si="85">IFERROR(VLOOKUP(Q241,L241:N245,3,FALSE),0)</f>
        <v>0</v>
      </c>
      <c r="T241" s="506">
        <f>IFERROR(+R241*S241,0)</f>
        <v>0</v>
      </c>
      <c r="U241" s="564">
        <f t="shared" ref="U241" si="86">ROUND((T241/$D$277)*$J$277,4)</f>
        <v>0</v>
      </c>
      <c r="V241" s="123"/>
      <c r="W241" s="124"/>
      <c r="X241" s="52"/>
      <c r="Y241" s="44"/>
      <c r="Z241" s="44"/>
      <c r="AA241" s="2"/>
      <c r="AB241" s="44"/>
      <c r="AC241" s="44"/>
      <c r="AD241" s="44"/>
      <c r="AE241" s="44"/>
      <c r="AF241" s="48"/>
      <c r="AH241" s="2" t="s">
        <v>417</v>
      </c>
    </row>
    <row r="242" spans="2:34" ht="19.899999999999999" hidden="1" customHeight="1">
      <c r="B242" s="547"/>
      <c r="C242" s="550"/>
      <c r="D242" s="513"/>
      <c r="E242" s="513"/>
      <c r="F242" s="513"/>
      <c r="G242" s="513"/>
      <c r="H242" s="513"/>
      <c r="I242" s="513"/>
      <c r="J242" s="553"/>
      <c r="K242" s="91" t="s">
        <v>214</v>
      </c>
      <c r="L242" s="14" t="s">
        <v>5</v>
      </c>
      <c r="M242" s="14" t="s">
        <v>278</v>
      </c>
      <c r="N242" s="5">
        <f>1.7/2</f>
        <v>0.85</v>
      </c>
      <c r="O242" s="556"/>
      <c r="P242" s="559"/>
      <c r="Q242" s="516"/>
      <c r="R242" s="519"/>
      <c r="S242" s="563"/>
      <c r="T242" s="507"/>
      <c r="U242" s="565"/>
      <c r="V242" s="123"/>
      <c r="W242" s="124"/>
      <c r="X242" s="52"/>
      <c r="Y242" s="44"/>
      <c r="Z242" s="44"/>
      <c r="AA242" s="2"/>
      <c r="AB242" s="44"/>
      <c r="AC242" s="44"/>
      <c r="AD242" s="44"/>
      <c r="AE242" s="44"/>
      <c r="AF242" s="48"/>
      <c r="AH242" s="2" t="s">
        <v>379</v>
      </c>
    </row>
    <row r="243" spans="2:34" ht="19.899999999999999" hidden="1" customHeight="1">
      <c r="B243" s="547"/>
      <c r="C243" s="550"/>
      <c r="D243" s="513"/>
      <c r="E243" s="513"/>
      <c r="F243" s="513"/>
      <c r="G243" s="513"/>
      <c r="H243" s="513"/>
      <c r="I243" s="513"/>
      <c r="J243" s="553"/>
      <c r="K243" s="91" t="s">
        <v>214</v>
      </c>
      <c r="L243" s="14" t="s">
        <v>6</v>
      </c>
      <c r="M243" s="14" t="s">
        <v>152</v>
      </c>
      <c r="N243" s="5">
        <v>0.5</v>
      </c>
      <c r="O243" s="556"/>
      <c r="P243" s="559"/>
      <c r="Q243" s="516"/>
      <c r="R243" s="519"/>
      <c r="S243" s="563"/>
      <c r="T243" s="507"/>
      <c r="U243" s="565"/>
      <c r="V243" s="125"/>
      <c r="W243" s="126"/>
      <c r="X243" s="52"/>
      <c r="Y243" s="44"/>
      <c r="Z243" s="44"/>
      <c r="AA243" s="2"/>
      <c r="AB243" s="56"/>
      <c r="AC243" s="56"/>
      <c r="AD243" s="56"/>
      <c r="AE243" s="56"/>
      <c r="AF243" s="45"/>
    </row>
    <row r="244" spans="2:34" ht="19.899999999999999" hidden="1" customHeight="1">
      <c r="B244" s="547"/>
      <c r="C244" s="550"/>
      <c r="D244" s="513"/>
      <c r="E244" s="513"/>
      <c r="F244" s="513"/>
      <c r="G244" s="513"/>
      <c r="H244" s="513"/>
      <c r="I244" s="513"/>
      <c r="J244" s="553"/>
      <c r="K244" s="91" t="s">
        <v>214</v>
      </c>
      <c r="L244" s="14" t="s">
        <v>7</v>
      </c>
      <c r="M244" s="14" t="s">
        <v>279</v>
      </c>
      <c r="N244" s="5">
        <f>0.7/2</f>
        <v>0.35</v>
      </c>
      <c r="O244" s="556"/>
      <c r="P244" s="559"/>
      <c r="Q244" s="516"/>
      <c r="R244" s="519"/>
      <c r="S244" s="563"/>
      <c r="T244" s="507"/>
      <c r="U244" s="565"/>
      <c r="V244" s="125"/>
      <c r="W244" s="126"/>
      <c r="X244" s="52"/>
      <c r="Y244" s="44"/>
      <c r="Z244" s="44"/>
      <c r="AA244" s="2"/>
      <c r="AB244" s="56"/>
      <c r="AC244" s="56"/>
      <c r="AD244" s="56"/>
      <c r="AE244" s="56"/>
      <c r="AF244" s="45"/>
    </row>
    <row r="245" spans="2:34" ht="19.899999999999999" hidden="1" customHeight="1" thickBot="1">
      <c r="B245" s="548"/>
      <c r="C245" s="551"/>
      <c r="D245" s="514"/>
      <c r="E245" s="514"/>
      <c r="F245" s="514"/>
      <c r="G245" s="514"/>
      <c r="H245" s="514"/>
      <c r="I245" s="514"/>
      <c r="J245" s="554"/>
      <c r="K245" s="92"/>
      <c r="L245" s="42"/>
      <c r="M245" s="42"/>
      <c r="N245" s="41"/>
      <c r="O245" s="557"/>
      <c r="P245" s="560"/>
      <c r="Q245" s="517"/>
      <c r="R245" s="520"/>
      <c r="S245" s="563"/>
      <c r="T245" s="508"/>
      <c r="U245" s="566"/>
      <c r="V245" s="125"/>
      <c r="W245" s="126"/>
      <c r="X245" s="52"/>
      <c r="Y245" s="44"/>
      <c r="Z245" s="44"/>
      <c r="AA245" s="2"/>
      <c r="AB245" s="56"/>
      <c r="AC245" s="56"/>
      <c r="AD245" s="56"/>
      <c r="AE245" s="56"/>
      <c r="AF245" s="45"/>
    </row>
    <row r="246" spans="2:34" ht="19.899999999999999" customHeight="1" thickBot="1">
      <c r="B246" s="546" t="s">
        <v>106</v>
      </c>
      <c r="C246" s="549" t="s">
        <v>105</v>
      </c>
      <c r="D246" s="512">
        <f>HLOOKUP($J$1,$E$12:$I250,235,FALSE)</f>
        <v>2</v>
      </c>
      <c r="E246" s="512">
        <v>2</v>
      </c>
      <c r="F246" s="512">
        <v>2</v>
      </c>
      <c r="G246" s="512">
        <v>2</v>
      </c>
      <c r="H246" s="512">
        <v>2</v>
      </c>
      <c r="I246" s="512">
        <v>2</v>
      </c>
      <c r="J246" s="552" t="s">
        <v>346</v>
      </c>
      <c r="K246" s="90" t="s">
        <v>24</v>
      </c>
      <c r="L246" s="88" t="s">
        <v>4</v>
      </c>
      <c r="M246" s="88" t="s">
        <v>280</v>
      </c>
      <c r="N246" s="89">
        <v>1</v>
      </c>
      <c r="O246" s="555"/>
      <c r="P246" s="558" t="s">
        <v>349</v>
      </c>
      <c r="Q246" s="515" t="s">
        <v>4</v>
      </c>
      <c r="R246" s="518">
        <f t="shared" si="81"/>
        <v>2</v>
      </c>
      <c r="S246" s="563">
        <f t="shared" ref="S246" si="87">IFERROR(VLOOKUP(Q246,L246:N250,3,FALSE),0)</f>
        <v>1</v>
      </c>
      <c r="T246" s="506">
        <f>IFERROR(+R246*S246,0)</f>
        <v>2</v>
      </c>
      <c r="U246" s="564">
        <f t="shared" ref="U246" si="88">ROUND((T246/$D$277)*$J$277,4)</f>
        <v>3</v>
      </c>
      <c r="V246" s="123"/>
      <c r="W246" s="124"/>
      <c r="X246" s="71" t="s">
        <v>421</v>
      </c>
      <c r="Y246" s="69" t="e">
        <f>'#1 - 메인 UI'!#REF!</f>
        <v>#REF!</v>
      </c>
      <c r="Z246" s="70" t="e">
        <f>'#1 - 메인 UI'!#REF!</f>
        <v>#REF!</v>
      </c>
      <c r="AA246" s="134" t="e">
        <f>VLOOKUP(Z246,데이터유효성!$B$2:$C$5,2,FALSE)</f>
        <v>#REF!</v>
      </c>
      <c r="AB246" s="49">
        <v>0.25</v>
      </c>
      <c r="AC246" s="49">
        <v>0.5</v>
      </c>
      <c r="AD246" s="49">
        <v>0.75</v>
      </c>
      <c r="AE246" s="49">
        <v>1</v>
      </c>
      <c r="AF246" s="48"/>
      <c r="AH246" s="2" t="s">
        <v>383</v>
      </c>
    </row>
    <row r="247" spans="2:34" ht="19.899999999999999" customHeight="1" thickBot="1">
      <c r="B247" s="547"/>
      <c r="C247" s="550"/>
      <c r="D247" s="513"/>
      <c r="E247" s="513"/>
      <c r="F247" s="513"/>
      <c r="G247" s="513"/>
      <c r="H247" s="513"/>
      <c r="I247" s="513"/>
      <c r="J247" s="553"/>
      <c r="K247" s="91" t="s">
        <v>214</v>
      </c>
      <c r="L247" s="14" t="s">
        <v>5</v>
      </c>
      <c r="M247" s="14" t="s">
        <v>8</v>
      </c>
      <c r="N247" s="5">
        <v>0.8</v>
      </c>
      <c r="O247" s="556"/>
      <c r="P247" s="559"/>
      <c r="Q247" s="516"/>
      <c r="R247" s="519"/>
      <c r="S247" s="563"/>
      <c r="T247" s="507"/>
      <c r="U247" s="565"/>
      <c r="V247" s="123"/>
      <c r="W247" s="124"/>
      <c r="X247" s="71" t="s">
        <v>422</v>
      </c>
      <c r="Y247" s="69" t="e">
        <f>'#1 - 메인 UI'!#REF!</f>
        <v>#REF!</v>
      </c>
      <c r="Z247" s="70" t="e">
        <f>'#1 - 메인 UI'!#REF!</f>
        <v>#REF!</v>
      </c>
      <c r="AA247" s="134" t="e">
        <f>VLOOKUP(Z247,데이터유효성!$B$2:$C$5,2,FALSE)</f>
        <v>#REF!</v>
      </c>
      <c r="AB247" s="49">
        <v>0.25</v>
      </c>
      <c r="AC247" s="49">
        <v>0.5</v>
      </c>
      <c r="AD247" s="49">
        <v>0.75</v>
      </c>
      <c r="AE247" s="49">
        <v>1</v>
      </c>
      <c r="AF247" s="48"/>
      <c r="AH247" s="2" t="s">
        <v>384</v>
      </c>
    </row>
    <row r="248" spans="2:34" ht="19.899999999999999" customHeight="1">
      <c r="B248" s="547"/>
      <c r="C248" s="550"/>
      <c r="D248" s="513"/>
      <c r="E248" s="513"/>
      <c r="F248" s="513"/>
      <c r="G248" s="513"/>
      <c r="H248" s="513"/>
      <c r="I248" s="513"/>
      <c r="J248" s="553"/>
      <c r="K248" s="91" t="s">
        <v>214</v>
      </c>
      <c r="L248" s="14" t="s">
        <v>6</v>
      </c>
      <c r="M248" s="14" t="s">
        <v>10</v>
      </c>
      <c r="N248" s="5">
        <v>0.6</v>
      </c>
      <c r="O248" s="556"/>
      <c r="P248" s="559"/>
      <c r="Q248" s="516"/>
      <c r="R248" s="519"/>
      <c r="S248" s="563"/>
      <c r="T248" s="507"/>
      <c r="U248" s="565"/>
      <c r="V248" s="125"/>
      <c r="W248" s="126"/>
      <c r="X248" s="52"/>
      <c r="Y248" s="44"/>
      <c r="Z248" s="44"/>
      <c r="AA248" s="2"/>
      <c r="AB248" s="44"/>
      <c r="AC248" s="44"/>
      <c r="AD248" s="44"/>
      <c r="AE248" s="44"/>
      <c r="AF248" s="45"/>
    </row>
    <row r="249" spans="2:34" ht="19.899999999999999" customHeight="1">
      <c r="B249" s="547"/>
      <c r="C249" s="550"/>
      <c r="D249" s="513"/>
      <c r="E249" s="513"/>
      <c r="F249" s="513"/>
      <c r="G249" s="513"/>
      <c r="H249" s="513"/>
      <c r="I249" s="513"/>
      <c r="J249" s="553"/>
      <c r="K249" s="91" t="s">
        <v>214</v>
      </c>
      <c r="L249" s="14" t="s">
        <v>7</v>
      </c>
      <c r="M249" s="14" t="s">
        <v>281</v>
      </c>
      <c r="N249" s="5">
        <v>0.4</v>
      </c>
      <c r="O249" s="556"/>
      <c r="P249" s="559"/>
      <c r="Q249" s="516"/>
      <c r="R249" s="519"/>
      <c r="S249" s="563"/>
      <c r="T249" s="507"/>
      <c r="U249" s="565"/>
      <c r="V249" s="125"/>
      <c r="W249" s="126"/>
      <c r="X249" s="52"/>
      <c r="Y249" s="44"/>
      <c r="Z249" s="44"/>
      <c r="AA249" s="2"/>
      <c r="AB249" s="44"/>
      <c r="AC249" s="44"/>
      <c r="AD249" s="44"/>
      <c r="AE249" s="44"/>
      <c r="AF249" s="45"/>
    </row>
    <row r="250" spans="2:34" ht="51" customHeight="1">
      <c r="B250" s="548"/>
      <c r="C250" s="551"/>
      <c r="D250" s="514"/>
      <c r="E250" s="514"/>
      <c r="F250" s="514"/>
      <c r="G250" s="514"/>
      <c r="H250" s="514"/>
      <c r="I250" s="514"/>
      <c r="J250" s="554"/>
      <c r="K250" s="92"/>
      <c r="L250" s="42"/>
      <c r="M250" s="42"/>
      <c r="N250" s="41"/>
      <c r="O250" s="557"/>
      <c r="P250" s="560"/>
      <c r="Q250" s="517"/>
      <c r="R250" s="520"/>
      <c r="S250" s="563"/>
      <c r="T250" s="508"/>
      <c r="U250" s="566"/>
      <c r="V250" s="125"/>
      <c r="W250" s="126"/>
      <c r="X250" s="52"/>
      <c r="Y250" s="44"/>
      <c r="Z250" s="44"/>
      <c r="AA250" s="2"/>
      <c r="AB250" s="56"/>
      <c r="AC250" s="56"/>
      <c r="AD250" s="56"/>
      <c r="AE250" s="56"/>
      <c r="AF250" s="45"/>
    </row>
    <row r="251" spans="2:34" ht="19.899999999999999" hidden="1" customHeight="1">
      <c r="B251" s="546" t="s">
        <v>107</v>
      </c>
      <c r="C251" s="549" t="s">
        <v>204</v>
      </c>
      <c r="D251" s="512" t="str">
        <f>HLOOKUP($J$1,$E$12:$I255,240,FALSE)</f>
        <v>제외</v>
      </c>
      <c r="E251" s="512" t="s">
        <v>212</v>
      </c>
      <c r="F251" s="512">
        <v>2</v>
      </c>
      <c r="G251" s="512" t="s">
        <v>212</v>
      </c>
      <c r="H251" s="512" t="s">
        <v>212</v>
      </c>
      <c r="I251" s="512" t="s">
        <v>212</v>
      </c>
      <c r="J251" s="552" t="s">
        <v>348</v>
      </c>
      <c r="K251" s="90" t="s">
        <v>24</v>
      </c>
      <c r="L251" s="88" t="s">
        <v>4</v>
      </c>
      <c r="M251" s="88" t="s">
        <v>282</v>
      </c>
      <c r="N251" s="89">
        <v>1</v>
      </c>
      <c r="O251" s="555"/>
      <c r="P251" s="558"/>
      <c r="Q251" s="515" t="s">
        <v>338</v>
      </c>
      <c r="R251" s="518" t="str">
        <f t="shared" si="84"/>
        <v>제외</v>
      </c>
      <c r="S251" s="563">
        <f t="shared" ref="S251" si="89">IFERROR(VLOOKUP(Q251,L251:N255,3,FALSE),0)</f>
        <v>0</v>
      </c>
      <c r="T251" s="506">
        <f>IFERROR(+R251*S251,0)</f>
        <v>0</v>
      </c>
      <c r="U251" s="564">
        <f t="shared" ref="U251" si="90">ROUND((T251/$D$277)*$J$277,4)</f>
        <v>0</v>
      </c>
      <c r="V251" s="123"/>
      <c r="W251" s="124"/>
      <c r="X251" s="52"/>
      <c r="Y251" s="44"/>
      <c r="Z251" s="44"/>
      <c r="AA251" s="2"/>
      <c r="AB251" s="44"/>
      <c r="AC251" s="44"/>
      <c r="AD251" s="44"/>
      <c r="AE251" s="44"/>
      <c r="AF251" s="48"/>
      <c r="AH251" s="2" t="s">
        <v>417</v>
      </c>
    </row>
    <row r="252" spans="2:34" ht="19.899999999999999" hidden="1" customHeight="1">
      <c r="B252" s="547"/>
      <c r="C252" s="550"/>
      <c r="D252" s="513"/>
      <c r="E252" s="513"/>
      <c r="F252" s="513"/>
      <c r="G252" s="513"/>
      <c r="H252" s="513"/>
      <c r="I252" s="513"/>
      <c r="J252" s="553"/>
      <c r="K252" s="91" t="s">
        <v>214</v>
      </c>
      <c r="L252" s="14" t="s">
        <v>5</v>
      </c>
      <c r="M252" s="14" t="s">
        <v>283</v>
      </c>
      <c r="N252" s="5">
        <v>0.8</v>
      </c>
      <c r="O252" s="556"/>
      <c r="P252" s="559"/>
      <c r="Q252" s="516"/>
      <c r="R252" s="519"/>
      <c r="S252" s="563"/>
      <c r="T252" s="507"/>
      <c r="U252" s="565"/>
      <c r="V252" s="123"/>
      <c r="W252" s="124"/>
      <c r="X252" s="52"/>
      <c r="Y252" s="44"/>
      <c r="Z252" s="44"/>
      <c r="AA252" s="2"/>
      <c r="AB252" s="44"/>
      <c r="AC252" s="44"/>
      <c r="AD252" s="44"/>
      <c r="AE252" s="44"/>
      <c r="AF252" s="48"/>
      <c r="AH252" s="2" t="s">
        <v>379</v>
      </c>
    </row>
    <row r="253" spans="2:34" ht="19.899999999999999" hidden="1" customHeight="1">
      <c r="B253" s="547"/>
      <c r="C253" s="550"/>
      <c r="D253" s="513"/>
      <c r="E253" s="513"/>
      <c r="F253" s="513"/>
      <c r="G253" s="513"/>
      <c r="H253" s="513"/>
      <c r="I253" s="513"/>
      <c r="J253" s="553"/>
      <c r="K253" s="91"/>
      <c r="O253" s="556"/>
      <c r="P253" s="559"/>
      <c r="Q253" s="516"/>
      <c r="R253" s="519"/>
      <c r="S253" s="563"/>
      <c r="T253" s="507"/>
      <c r="U253" s="565"/>
      <c r="V253" s="125"/>
      <c r="W253" s="126"/>
      <c r="X253" s="52"/>
      <c r="Y253" s="44"/>
      <c r="Z253" s="44"/>
      <c r="AA253" s="56"/>
      <c r="AB253" s="56"/>
      <c r="AC253" s="56"/>
      <c r="AD253" s="56"/>
      <c r="AE253" s="56"/>
      <c r="AF253" s="45"/>
    </row>
    <row r="254" spans="2:34" ht="19.899999999999999" hidden="1" customHeight="1">
      <c r="B254" s="547"/>
      <c r="C254" s="550"/>
      <c r="D254" s="513"/>
      <c r="E254" s="513"/>
      <c r="F254" s="513"/>
      <c r="G254" s="513"/>
      <c r="H254" s="513"/>
      <c r="I254" s="513"/>
      <c r="J254" s="553"/>
      <c r="K254" s="91"/>
      <c r="O254" s="556"/>
      <c r="P254" s="559"/>
      <c r="Q254" s="516"/>
      <c r="R254" s="519"/>
      <c r="S254" s="563"/>
      <c r="T254" s="507"/>
      <c r="U254" s="565"/>
      <c r="V254" s="125"/>
      <c r="W254" s="126"/>
      <c r="X254" s="52"/>
      <c r="Y254" s="44"/>
      <c r="Z254" s="44"/>
      <c r="AA254" s="2"/>
      <c r="AB254" s="56"/>
      <c r="AC254" s="56"/>
      <c r="AD254" s="56"/>
      <c r="AE254" s="56"/>
      <c r="AF254" s="45"/>
    </row>
    <row r="255" spans="2:34" ht="19.899999999999999" hidden="1" customHeight="1">
      <c r="B255" s="548"/>
      <c r="C255" s="551"/>
      <c r="D255" s="514"/>
      <c r="E255" s="514"/>
      <c r="F255" s="514"/>
      <c r="G255" s="514"/>
      <c r="H255" s="514"/>
      <c r="I255" s="514"/>
      <c r="J255" s="554"/>
      <c r="K255" s="92"/>
      <c r="L255" s="42"/>
      <c r="M255" s="42"/>
      <c r="N255" s="41"/>
      <c r="O255" s="557"/>
      <c r="P255" s="560"/>
      <c r="Q255" s="517"/>
      <c r="R255" s="520"/>
      <c r="S255" s="563"/>
      <c r="T255" s="508"/>
      <c r="U255" s="566"/>
      <c r="V255" s="125"/>
      <c r="W255" s="126"/>
      <c r="X255" s="52"/>
      <c r="Y255" s="44"/>
      <c r="Z255" s="44"/>
      <c r="AA255" s="2"/>
      <c r="AB255" s="56"/>
      <c r="AC255" s="56"/>
      <c r="AD255" s="56"/>
      <c r="AE255" s="56"/>
      <c r="AF255" s="45"/>
    </row>
    <row r="256" spans="2:34" ht="19.899999999999999" hidden="1" customHeight="1">
      <c r="B256" s="546" t="s">
        <v>108</v>
      </c>
      <c r="C256" s="549" t="s">
        <v>205</v>
      </c>
      <c r="D256" s="512" t="str">
        <f>HLOOKUP($J$1,$E$12:$I260,245,FALSE)</f>
        <v>제외</v>
      </c>
      <c r="E256" s="512" t="s">
        <v>212</v>
      </c>
      <c r="F256" s="512" t="s">
        <v>212</v>
      </c>
      <c r="G256" s="512" t="s">
        <v>212</v>
      </c>
      <c r="H256" s="512" t="s">
        <v>212</v>
      </c>
      <c r="I256" s="512">
        <v>2</v>
      </c>
      <c r="J256" s="552" t="s">
        <v>289</v>
      </c>
      <c r="K256" s="90" t="s">
        <v>24</v>
      </c>
      <c r="L256" s="88" t="s">
        <v>4</v>
      </c>
      <c r="M256" s="88" t="s">
        <v>288</v>
      </c>
      <c r="N256" s="89">
        <v>1</v>
      </c>
      <c r="O256" s="555"/>
      <c r="P256" s="558"/>
      <c r="Q256" s="515" t="s">
        <v>338</v>
      </c>
      <c r="R256" s="518" t="str">
        <f t="shared" ref="R256:R266" si="91">D256</f>
        <v>제외</v>
      </c>
      <c r="S256" s="563">
        <f t="shared" ref="S256" si="92">IFERROR(VLOOKUP(Q256,L256:N260,3,FALSE),0)</f>
        <v>0</v>
      </c>
      <c r="T256" s="506">
        <f>IFERROR(+R256*S256,0)</f>
        <v>0</v>
      </c>
      <c r="U256" s="564">
        <f t="shared" ref="U256" si="93">ROUND((T256/$D$277)*$J$277,4)</f>
        <v>0</v>
      </c>
      <c r="V256" s="123"/>
      <c r="W256" s="124"/>
      <c r="X256" s="52"/>
      <c r="Y256" s="44"/>
      <c r="Z256" s="44"/>
      <c r="AA256" s="2"/>
      <c r="AB256" s="44"/>
      <c r="AC256" s="44"/>
      <c r="AD256" s="44"/>
      <c r="AE256" s="44"/>
      <c r="AF256" s="48"/>
      <c r="AH256" s="2" t="s">
        <v>417</v>
      </c>
    </row>
    <row r="257" spans="2:34" ht="19.899999999999999" hidden="1" customHeight="1">
      <c r="B257" s="547"/>
      <c r="C257" s="550"/>
      <c r="D257" s="513"/>
      <c r="E257" s="513"/>
      <c r="F257" s="513"/>
      <c r="G257" s="513"/>
      <c r="H257" s="513"/>
      <c r="I257" s="513"/>
      <c r="J257" s="553"/>
      <c r="K257" s="91" t="s">
        <v>214</v>
      </c>
      <c r="L257" s="14" t="s">
        <v>5</v>
      </c>
      <c r="M257" s="14" t="s">
        <v>287</v>
      </c>
      <c r="N257" s="5">
        <v>0.8</v>
      </c>
      <c r="O257" s="556"/>
      <c r="P257" s="559"/>
      <c r="Q257" s="516"/>
      <c r="R257" s="519"/>
      <c r="S257" s="563"/>
      <c r="T257" s="507"/>
      <c r="U257" s="565"/>
      <c r="V257" s="123"/>
      <c r="W257" s="124"/>
      <c r="X257" s="52"/>
      <c r="Y257" s="44"/>
      <c r="Z257" s="44"/>
      <c r="AA257" s="2"/>
      <c r="AB257" s="44"/>
      <c r="AC257" s="44"/>
      <c r="AD257" s="44"/>
      <c r="AE257" s="44"/>
      <c r="AF257" s="48"/>
      <c r="AH257" s="2" t="s">
        <v>379</v>
      </c>
    </row>
    <row r="258" spans="2:34" ht="19.899999999999999" hidden="1" customHeight="1">
      <c r="B258" s="547"/>
      <c r="C258" s="550"/>
      <c r="D258" s="513"/>
      <c r="E258" s="513"/>
      <c r="F258" s="513"/>
      <c r="G258" s="513"/>
      <c r="H258" s="513"/>
      <c r="I258" s="513"/>
      <c r="J258" s="553"/>
      <c r="K258" s="91" t="s">
        <v>214</v>
      </c>
      <c r="L258" s="14" t="s">
        <v>6</v>
      </c>
      <c r="M258" s="14" t="s">
        <v>286</v>
      </c>
      <c r="N258" s="5">
        <v>0.6</v>
      </c>
      <c r="O258" s="556"/>
      <c r="P258" s="559"/>
      <c r="Q258" s="516"/>
      <c r="R258" s="519"/>
      <c r="S258" s="563"/>
      <c r="T258" s="507"/>
      <c r="U258" s="565"/>
      <c r="V258" s="125"/>
      <c r="W258" s="126"/>
      <c r="X258" s="52"/>
      <c r="Y258" s="44"/>
      <c r="Z258" s="44"/>
      <c r="AA258" s="2"/>
      <c r="AB258" s="56"/>
      <c r="AC258" s="56"/>
      <c r="AD258" s="56"/>
      <c r="AE258" s="56"/>
      <c r="AF258" s="45"/>
    </row>
    <row r="259" spans="2:34" ht="19.899999999999999" hidden="1" customHeight="1">
      <c r="B259" s="547"/>
      <c r="C259" s="550"/>
      <c r="D259" s="513"/>
      <c r="E259" s="513"/>
      <c r="F259" s="513"/>
      <c r="G259" s="513"/>
      <c r="H259" s="513"/>
      <c r="I259" s="513"/>
      <c r="J259" s="553"/>
      <c r="K259" s="91" t="s">
        <v>214</v>
      </c>
      <c r="L259" s="14" t="s">
        <v>7</v>
      </c>
      <c r="M259" s="14" t="s">
        <v>285</v>
      </c>
      <c r="N259" s="5">
        <v>0.4</v>
      </c>
      <c r="O259" s="556"/>
      <c r="P259" s="559"/>
      <c r="Q259" s="516"/>
      <c r="R259" s="519"/>
      <c r="S259" s="563"/>
      <c r="T259" s="507"/>
      <c r="U259" s="565"/>
      <c r="V259" s="125"/>
      <c r="W259" s="126"/>
      <c r="X259" s="52"/>
      <c r="Y259" s="44"/>
      <c r="Z259" s="44"/>
      <c r="AA259" s="2"/>
      <c r="AB259" s="56"/>
      <c r="AC259" s="56"/>
      <c r="AD259" s="56"/>
      <c r="AE259" s="56"/>
      <c r="AF259" s="45"/>
    </row>
    <row r="260" spans="2:34" ht="19.899999999999999" hidden="1" customHeight="1">
      <c r="B260" s="548"/>
      <c r="C260" s="551"/>
      <c r="D260" s="514"/>
      <c r="E260" s="514"/>
      <c r="F260" s="514"/>
      <c r="G260" s="514"/>
      <c r="H260" s="514"/>
      <c r="I260" s="514"/>
      <c r="J260" s="554"/>
      <c r="K260" s="92"/>
      <c r="L260" s="42"/>
      <c r="M260" s="42"/>
      <c r="N260" s="41"/>
      <c r="O260" s="557"/>
      <c r="P260" s="560"/>
      <c r="Q260" s="517"/>
      <c r="R260" s="520"/>
      <c r="S260" s="563"/>
      <c r="T260" s="508"/>
      <c r="U260" s="566"/>
      <c r="V260" s="125"/>
      <c r="W260" s="126"/>
      <c r="X260" s="52"/>
      <c r="Y260" s="44"/>
      <c r="Z260" s="44"/>
      <c r="AA260" s="2"/>
      <c r="AB260" s="56"/>
      <c r="AC260" s="56"/>
      <c r="AD260" s="56"/>
      <c r="AE260" s="56"/>
      <c r="AF260" s="45"/>
    </row>
    <row r="261" spans="2:34" ht="19.899999999999999" customHeight="1">
      <c r="B261" s="546" t="s">
        <v>109</v>
      </c>
      <c r="C261" s="549" t="s">
        <v>110</v>
      </c>
      <c r="D261" s="512">
        <f>HLOOKUP($J$1,$E$12:$I265,250,FALSE)</f>
        <v>2</v>
      </c>
      <c r="E261" s="512">
        <v>2</v>
      </c>
      <c r="F261" s="512">
        <v>2</v>
      </c>
      <c r="G261" s="512">
        <v>2</v>
      </c>
      <c r="H261" s="512">
        <v>2</v>
      </c>
      <c r="I261" s="512">
        <v>2</v>
      </c>
      <c r="J261" s="552" t="s">
        <v>294</v>
      </c>
      <c r="K261" s="90" t="s">
        <v>24</v>
      </c>
      <c r="L261" s="88" t="s">
        <v>4</v>
      </c>
      <c r="M261" s="88" t="s">
        <v>290</v>
      </c>
      <c r="N261" s="89">
        <v>1</v>
      </c>
      <c r="O261" s="555"/>
      <c r="P261" s="558" t="e">
        <f>'#1 - 메인 UI'!#REF!</f>
        <v>#REF!</v>
      </c>
      <c r="Q261" s="515" t="e">
        <f>'#1 - 메인 UI'!#REF!</f>
        <v>#REF!</v>
      </c>
      <c r="R261" s="518">
        <f t="shared" ref="R261" si="94">D261</f>
        <v>2</v>
      </c>
      <c r="S261" s="563">
        <f t="shared" ref="S261" si="95">IFERROR(VLOOKUP(Q261,L261:N265,3,FALSE),0)</f>
        <v>0</v>
      </c>
      <c r="T261" s="506">
        <f>IFERROR(+R261*S261,0)</f>
        <v>0</v>
      </c>
      <c r="U261" s="564">
        <f t="shared" ref="U261" si="96">ROUND((T261/$D$277)*$J$277,4)</f>
        <v>0</v>
      </c>
      <c r="V261" s="123"/>
      <c r="W261" s="124"/>
      <c r="X261" s="52"/>
      <c r="Y261" s="44"/>
      <c r="Z261" s="44"/>
      <c r="AA261" s="2"/>
      <c r="AB261" s="44"/>
      <c r="AC261" s="44"/>
      <c r="AD261" s="44"/>
      <c r="AE261" s="44"/>
      <c r="AF261" s="48"/>
    </row>
    <row r="262" spans="2:34" ht="19.899999999999999" customHeight="1">
      <c r="B262" s="547"/>
      <c r="C262" s="550"/>
      <c r="D262" s="513"/>
      <c r="E262" s="513"/>
      <c r="F262" s="513"/>
      <c r="G262" s="513"/>
      <c r="H262" s="513"/>
      <c r="I262" s="513"/>
      <c r="J262" s="553"/>
      <c r="K262" s="91" t="s">
        <v>214</v>
      </c>
      <c r="L262" s="14" t="s">
        <v>5</v>
      </c>
      <c r="M262" s="14" t="s">
        <v>291</v>
      </c>
      <c r="N262" s="5">
        <v>0.8</v>
      </c>
      <c r="O262" s="556"/>
      <c r="P262" s="559"/>
      <c r="Q262" s="516"/>
      <c r="R262" s="519"/>
      <c r="S262" s="563"/>
      <c r="T262" s="507"/>
      <c r="U262" s="565"/>
      <c r="V262" s="123"/>
      <c r="W262" s="124"/>
      <c r="X262" s="52"/>
      <c r="Y262" s="44"/>
      <c r="Z262" s="44"/>
      <c r="AA262" s="2"/>
      <c r="AB262" s="44"/>
      <c r="AC262" s="44"/>
      <c r="AD262" s="44"/>
      <c r="AE262" s="44"/>
      <c r="AF262" s="48"/>
    </row>
    <row r="263" spans="2:34" ht="19.899999999999999" customHeight="1">
      <c r="B263" s="547"/>
      <c r="C263" s="550"/>
      <c r="D263" s="513"/>
      <c r="E263" s="513"/>
      <c r="F263" s="513"/>
      <c r="G263" s="513"/>
      <c r="H263" s="513"/>
      <c r="I263" s="513"/>
      <c r="J263" s="553"/>
      <c r="K263" s="91" t="s">
        <v>214</v>
      </c>
      <c r="L263" s="14" t="s">
        <v>6</v>
      </c>
      <c r="M263" s="14" t="s">
        <v>292</v>
      </c>
      <c r="N263" s="5">
        <v>0.6</v>
      </c>
      <c r="O263" s="556"/>
      <c r="P263" s="559"/>
      <c r="Q263" s="516"/>
      <c r="R263" s="519"/>
      <c r="S263" s="563"/>
      <c r="T263" s="507"/>
      <c r="U263" s="565"/>
      <c r="V263" s="125"/>
      <c r="W263" s="126"/>
      <c r="X263" s="52"/>
      <c r="Y263" s="44"/>
      <c r="Z263" s="44"/>
      <c r="AA263" s="2"/>
      <c r="AB263" s="44"/>
      <c r="AC263" s="44"/>
      <c r="AD263" s="44"/>
      <c r="AE263" s="44"/>
      <c r="AF263" s="45"/>
    </row>
    <row r="264" spans="2:34" ht="19.899999999999999" customHeight="1">
      <c r="B264" s="547"/>
      <c r="C264" s="550"/>
      <c r="D264" s="513"/>
      <c r="E264" s="513"/>
      <c r="F264" s="513"/>
      <c r="G264" s="513"/>
      <c r="H264" s="513"/>
      <c r="I264" s="513"/>
      <c r="J264" s="553"/>
      <c r="K264" s="91" t="s">
        <v>214</v>
      </c>
      <c r="L264" s="14" t="s">
        <v>7</v>
      </c>
      <c r="M264" s="14" t="s">
        <v>293</v>
      </c>
      <c r="N264" s="5">
        <v>0.4</v>
      </c>
      <c r="O264" s="556"/>
      <c r="P264" s="559"/>
      <c r="Q264" s="516"/>
      <c r="R264" s="519"/>
      <c r="S264" s="563"/>
      <c r="T264" s="507"/>
      <c r="U264" s="565"/>
      <c r="V264" s="125"/>
      <c r="W264" s="126"/>
      <c r="X264" s="52"/>
      <c r="Y264" s="44"/>
      <c r="Z264" s="44"/>
      <c r="AA264" s="2"/>
      <c r="AB264" s="44"/>
      <c r="AC264" s="44"/>
      <c r="AD264" s="44"/>
      <c r="AE264" s="44"/>
      <c r="AF264" s="45"/>
    </row>
    <row r="265" spans="2:34" ht="51" customHeight="1" thickBot="1">
      <c r="B265" s="548"/>
      <c r="C265" s="551"/>
      <c r="D265" s="514"/>
      <c r="E265" s="514"/>
      <c r="F265" s="514"/>
      <c r="G265" s="514"/>
      <c r="H265" s="514"/>
      <c r="I265" s="514"/>
      <c r="J265" s="554"/>
      <c r="K265" s="92"/>
      <c r="L265" s="42"/>
      <c r="M265" s="42"/>
      <c r="N265" s="41"/>
      <c r="O265" s="557"/>
      <c r="P265" s="560"/>
      <c r="Q265" s="517"/>
      <c r="R265" s="520"/>
      <c r="S265" s="563"/>
      <c r="T265" s="508"/>
      <c r="U265" s="566"/>
      <c r="V265" s="125"/>
      <c r="W265" s="126"/>
      <c r="X265" s="52"/>
      <c r="Y265" s="44"/>
      <c r="Z265" s="44"/>
      <c r="AA265" s="2"/>
      <c r="AB265" s="56"/>
      <c r="AC265" s="56"/>
      <c r="AD265" s="56"/>
      <c r="AE265" s="56"/>
      <c r="AF265" s="45"/>
    </row>
    <row r="266" spans="2:34" ht="19.899999999999999" hidden="1" customHeight="1">
      <c r="B266" s="546" t="s">
        <v>111</v>
      </c>
      <c r="C266" s="549" t="s">
        <v>207</v>
      </c>
      <c r="D266" s="512" t="str">
        <f>HLOOKUP($J$1,$E$12:$I270,255,FALSE)</f>
        <v>제외</v>
      </c>
      <c r="E266" s="512" t="s">
        <v>212</v>
      </c>
      <c r="F266" s="512" t="s">
        <v>212</v>
      </c>
      <c r="G266" s="512">
        <v>2</v>
      </c>
      <c r="H266" s="512" t="s">
        <v>212</v>
      </c>
      <c r="I266" s="512" t="s">
        <v>212</v>
      </c>
      <c r="J266" s="552" t="s">
        <v>295</v>
      </c>
      <c r="K266" s="90" t="s">
        <v>24</v>
      </c>
      <c r="L266" s="88" t="s">
        <v>4</v>
      </c>
      <c r="M266" s="88" t="s">
        <v>296</v>
      </c>
      <c r="N266" s="89">
        <v>1</v>
      </c>
      <c r="O266" s="555"/>
      <c r="P266" s="193"/>
      <c r="Q266" s="515" t="s">
        <v>338</v>
      </c>
      <c r="R266" s="518" t="str">
        <f t="shared" si="91"/>
        <v>제외</v>
      </c>
      <c r="S266" s="563">
        <f t="shared" ref="S266" si="97">IFERROR(VLOOKUP(Q266,L266:N270,3,FALSE),0)</f>
        <v>0</v>
      </c>
      <c r="T266" s="506">
        <f>IFERROR(+R266*S266,0)</f>
        <v>0</v>
      </c>
      <c r="U266" s="564">
        <f t="shared" ref="U266" si="98">ROUND((T266/$D$277)*$J$277,4)</f>
        <v>0</v>
      </c>
      <c r="V266" s="123"/>
      <c r="W266" s="124"/>
      <c r="X266" s="52"/>
      <c r="Y266" s="44"/>
      <c r="Z266" s="44"/>
      <c r="AA266" s="2"/>
      <c r="AB266" s="44"/>
      <c r="AC266" s="44"/>
      <c r="AD266" s="44"/>
      <c r="AE266" s="44"/>
      <c r="AF266" s="48"/>
    </row>
    <row r="267" spans="2:34" ht="19.899999999999999" hidden="1" customHeight="1">
      <c r="B267" s="547"/>
      <c r="C267" s="550"/>
      <c r="D267" s="513"/>
      <c r="E267" s="513"/>
      <c r="F267" s="513"/>
      <c r="G267" s="513"/>
      <c r="H267" s="513"/>
      <c r="I267" s="513"/>
      <c r="J267" s="553"/>
      <c r="K267" s="91" t="s">
        <v>214</v>
      </c>
      <c r="L267" s="14" t="s">
        <v>5</v>
      </c>
      <c r="M267" s="14" t="s">
        <v>297</v>
      </c>
      <c r="N267" s="5">
        <v>0.8</v>
      </c>
      <c r="O267" s="556"/>
      <c r="P267" s="194"/>
      <c r="Q267" s="516"/>
      <c r="R267" s="519"/>
      <c r="S267" s="563"/>
      <c r="T267" s="507"/>
      <c r="U267" s="565"/>
      <c r="V267" s="123"/>
      <c r="W267" s="124"/>
      <c r="X267" s="52"/>
      <c r="Y267" s="44"/>
      <c r="Z267" s="44"/>
      <c r="AA267" s="2"/>
      <c r="AB267" s="44"/>
      <c r="AC267" s="44"/>
      <c r="AD267" s="44"/>
      <c r="AE267" s="44"/>
      <c r="AF267" s="48"/>
    </row>
    <row r="268" spans="2:34" ht="19.899999999999999" hidden="1" customHeight="1">
      <c r="B268" s="547"/>
      <c r="C268" s="550"/>
      <c r="D268" s="513"/>
      <c r="E268" s="513"/>
      <c r="F268" s="513"/>
      <c r="G268" s="513"/>
      <c r="H268" s="513"/>
      <c r="I268" s="513"/>
      <c r="J268" s="553"/>
      <c r="K268" s="91" t="s">
        <v>214</v>
      </c>
      <c r="L268" s="14" t="s">
        <v>6</v>
      </c>
      <c r="M268" s="14" t="s">
        <v>298</v>
      </c>
      <c r="N268" s="5">
        <v>0.6</v>
      </c>
      <c r="O268" s="556"/>
      <c r="P268" s="194"/>
      <c r="Q268" s="516"/>
      <c r="R268" s="519"/>
      <c r="S268" s="563"/>
      <c r="T268" s="507"/>
      <c r="U268" s="565"/>
      <c r="V268" s="125"/>
      <c r="W268" s="126"/>
      <c r="X268" s="52"/>
      <c r="Y268" s="44"/>
      <c r="Z268" s="44"/>
      <c r="AA268" s="2"/>
      <c r="AB268" s="44"/>
      <c r="AC268" s="44"/>
      <c r="AD268" s="44"/>
      <c r="AE268" s="44"/>
      <c r="AF268" s="45"/>
    </row>
    <row r="269" spans="2:34" ht="19.899999999999999" hidden="1" customHeight="1">
      <c r="B269" s="547"/>
      <c r="C269" s="550"/>
      <c r="D269" s="513"/>
      <c r="E269" s="513"/>
      <c r="F269" s="513"/>
      <c r="G269" s="513"/>
      <c r="H269" s="513"/>
      <c r="I269" s="513"/>
      <c r="J269" s="553"/>
      <c r="K269" s="91" t="s">
        <v>214</v>
      </c>
      <c r="L269" s="14" t="s">
        <v>7</v>
      </c>
      <c r="M269" s="14" t="s">
        <v>299</v>
      </c>
      <c r="N269" s="5">
        <v>0.4</v>
      </c>
      <c r="O269" s="556"/>
      <c r="P269" s="194"/>
      <c r="Q269" s="516"/>
      <c r="R269" s="519"/>
      <c r="S269" s="563"/>
      <c r="T269" s="507"/>
      <c r="U269" s="565"/>
      <c r="V269" s="125"/>
      <c r="W269" s="126"/>
      <c r="X269" s="52"/>
      <c r="Y269" s="44"/>
      <c r="Z269" s="44"/>
      <c r="AA269" s="2"/>
      <c r="AB269" s="44"/>
      <c r="AC269" s="44"/>
      <c r="AD269" s="44"/>
      <c r="AE269" s="44"/>
      <c r="AF269" s="45"/>
    </row>
    <row r="270" spans="2:34" ht="19.899999999999999" hidden="1" customHeight="1" thickBot="1">
      <c r="B270" s="548"/>
      <c r="C270" s="551"/>
      <c r="D270" s="514"/>
      <c r="E270" s="514"/>
      <c r="F270" s="514"/>
      <c r="G270" s="514"/>
      <c r="H270" s="514"/>
      <c r="I270" s="514"/>
      <c r="J270" s="554"/>
      <c r="K270" s="92"/>
      <c r="L270" s="42"/>
      <c r="M270" s="42"/>
      <c r="N270" s="41"/>
      <c r="O270" s="557"/>
      <c r="P270" s="195"/>
      <c r="Q270" s="517"/>
      <c r="R270" s="520"/>
      <c r="S270" s="563"/>
      <c r="T270" s="508"/>
      <c r="U270" s="566"/>
      <c r="V270" s="125"/>
      <c r="W270" s="126"/>
      <c r="X270" s="52"/>
      <c r="Y270" s="44"/>
      <c r="Z270" s="44"/>
      <c r="AA270" s="2"/>
      <c r="AB270" s="56"/>
      <c r="AC270" s="56"/>
      <c r="AD270" s="56"/>
      <c r="AE270" s="56"/>
      <c r="AF270" s="45"/>
    </row>
    <row r="271" spans="2:34" ht="19.899999999999999" customHeight="1" thickBot="1">
      <c r="B271" s="546" t="s">
        <v>211</v>
      </c>
      <c r="C271" s="549" t="s">
        <v>208</v>
      </c>
      <c r="D271" s="512">
        <f>HLOOKUP($J$1,$E$12:$I275,260,FALSE)</f>
        <v>1</v>
      </c>
      <c r="E271" s="512">
        <v>1</v>
      </c>
      <c r="F271" s="512">
        <v>1</v>
      </c>
      <c r="G271" s="512">
        <v>1</v>
      </c>
      <c r="H271" s="512">
        <v>1</v>
      </c>
      <c r="I271" s="512">
        <v>1</v>
      </c>
      <c r="J271" s="552" t="s">
        <v>300</v>
      </c>
      <c r="K271" s="90" t="s">
        <v>24</v>
      </c>
      <c r="L271" s="88" t="s">
        <v>4</v>
      </c>
      <c r="M271" s="88" t="s">
        <v>447</v>
      </c>
      <c r="N271" s="89">
        <v>1</v>
      </c>
      <c r="O271" s="555"/>
      <c r="P271" s="558" t="s">
        <v>369</v>
      </c>
      <c r="Q271" s="515" t="s">
        <v>5</v>
      </c>
      <c r="R271" s="518">
        <f t="shared" ref="R271" si="99">D271</f>
        <v>1</v>
      </c>
      <c r="S271" s="563">
        <f t="shared" ref="S271" si="100">IFERROR(VLOOKUP(Q271,L271:N275,3,FALSE),0)</f>
        <v>0.5</v>
      </c>
      <c r="T271" s="506">
        <f>IFERROR(+R271*S271,0)</f>
        <v>0.5</v>
      </c>
      <c r="U271" s="564">
        <f t="shared" ref="U271" si="101">ROUND((T271/$D$277)*$J$277,4)</f>
        <v>0.75</v>
      </c>
      <c r="V271" s="123"/>
      <c r="W271" s="124"/>
      <c r="X271" s="71" t="s">
        <v>423</v>
      </c>
      <c r="Y271" s="69" t="e">
        <f>'#1 - 메인 UI'!#REF!</f>
        <v>#REF!</v>
      </c>
      <c r="Z271" s="70" t="e">
        <f>'#1 - 메인 UI'!#REF!</f>
        <v>#REF!</v>
      </c>
      <c r="AA271" s="134" t="e">
        <f>VLOOKUP(Z271,데이터유효성!$B$2:$C$5,2,FALSE)</f>
        <v>#REF!</v>
      </c>
      <c r="AB271" s="49">
        <v>0.25</v>
      </c>
      <c r="AC271" s="49">
        <v>0.5</v>
      </c>
      <c r="AD271" s="49">
        <v>0.75</v>
      </c>
      <c r="AE271" s="49">
        <v>1</v>
      </c>
      <c r="AF271" s="48"/>
      <c r="AH271" s="2" t="s">
        <v>385</v>
      </c>
    </row>
    <row r="272" spans="2:34" ht="19.899999999999999" customHeight="1">
      <c r="B272" s="547"/>
      <c r="C272" s="550"/>
      <c r="D272" s="513"/>
      <c r="E272" s="513"/>
      <c r="F272" s="513"/>
      <c r="G272" s="513"/>
      <c r="H272" s="513"/>
      <c r="I272" s="513"/>
      <c r="J272" s="553"/>
      <c r="K272" s="91" t="s">
        <v>214</v>
      </c>
      <c r="L272" s="14" t="s">
        <v>5</v>
      </c>
      <c r="M272" s="14" t="s">
        <v>446</v>
      </c>
      <c r="N272" s="5">
        <v>0.5</v>
      </c>
      <c r="O272" s="556"/>
      <c r="P272" s="559"/>
      <c r="Q272" s="516"/>
      <c r="R272" s="519"/>
      <c r="S272" s="563"/>
      <c r="T272" s="507"/>
      <c r="U272" s="565"/>
      <c r="V272" s="123"/>
      <c r="W272" s="124"/>
      <c r="X272" s="52"/>
      <c r="Y272" s="44"/>
      <c r="Z272" s="44"/>
      <c r="AA272" s="2"/>
      <c r="AB272" s="44"/>
      <c r="AC272" s="44"/>
      <c r="AD272" s="44"/>
      <c r="AE272" s="44"/>
      <c r="AF272" s="48"/>
    </row>
    <row r="273" spans="2:32" ht="19.899999999999999" customHeight="1">
      <c r="B273" s="547"/>
      <c r="C273" s="550"/>
      <c r="D273" s="513"/>
      <c r="E273" s="513"/>
      <c r="F273" s="513"/>
      <c r="G273" s="513"/>
      <c r="H273" s="513"/>
      <c r="I273" s="513"/>
      <c r="J273" s="553"/>
      <c r="K273" s="91"/>
      <c r="O273" s="556"/>
      <c r="P273" s="559"/>
      <c r="Q273" s="516"/>
      <c r="R273" s="519"/>
      <c r="S273" s="563"/>
      <c r="T273" s="507"/>
      <c r="U273" s="565"/>
      <c r="V273" s="125"/>
      <c r="W273" s="126"/>
      <c r="X273" s="52"/>
      <c r="Y273" s="44"/>
      <c r="Z273" s="44"/>
      <c r="AA273" s="2"/>
      <c r="AB273" s="44"/>
      <c r="AC273" s="44"/>
      <c r="AD273" s="44"/>
      <c r="AE273" s="44"/>
      <c r="AF273" s="45"/>
    </row>
    <row r="274" spans="2:32" ht="19.899999999999999" customHeight="1">
      <c r="B274" s="547"/>
      <c r="C274" s="550"/>
      <c r="D274" s="513"/>
      <c r="E274" s="513"/>
      <c r="F274" s="513"/>
      <c r="G274" s="513"/>
      <c r="H274" s="513"/>
      <c r="I274" s="513"/>
      <c r="J274" s="553"/>
      <c r="K274" s="91"/>
      <c r="O274" s="556"/>
      <c r="P274" s="559"/>
      <c r="Q274" s="516"/>
      <c r="R274" s="519"/>
      <c r="S274" s="563"/>
      <c r="T274" s="507"/>
      <c r="U274" s="565"/>
      <c r="V274" s="125"/>
      <c r="W274" s="126"/>
      <c r="X274" s="52"/>
      <c r="Y274" s="44"/>
      <c r="Z274" s="44"/>
      <c r="AA274" s="2"/>
      <c r="AB274" s="44"/>
      <c r="AC274" s="44"/>
      <c r="AD274" s="44"/>
      <c r="AE274" s="44"/>
      <c r="AF274" s="45"/>
    </row>
    <row r="275" spans="2:32" ht="51" customHeight="1">
      <c r="B275" s="548"/>
      <c r="C275" s="551"/>
      <c r="D275" s="514"/>
      <c r="E275" s="514"/>
      <c r="F275" s="514"/>
      <c r="G275" s="514"/>
      <c r="H275" s="514"/>
      <c r="I275" s="514"/>
      <c r="J275" s="554"/>
      <c r="K275" s="92"/>
      <c r="L275" s="42"/>
      <c r="M275" s="42"/>
      <c r="N275" s="41"/>
      <c r="O275" s="557"/>
      <c r="P275" s="560"/>
      <c r="Q275" s="517"/>
      <c r="R275" s="520"/>
      <c r="S275" s="563"/>
      <c r="T275" s="508"/>
      <c r="U275" s="566"/>
      <c r="V275" s="125"/>
      <c r="W275" s="126"/>
      <c r="X275" s="52"/>
      <c r="Y275" s="44"/>
      <c r="Z275" s="44"/>
      <c r="AA275" s="2"/>
      <c r="AB275" s="56"/>
      <c r="AC275" s="56"/>
      <c r="AD275" s="56"/>
      <c r="AE275" s="56"/>
      <c r="AF275" s="45"/>
    </row>
    <row r="276" spans="2:32" ht="4.9000000000000004" customHeight="1">
      <c r="B276" s="81"/>
      <c r="C276" s="82"/>
      <c r="D276" s="83"/>
      <c r="E276" s="83"/>
      <c r="F276" s="83"/>
      <c r="G276" s="83"/>
      <c r="H276" s="83"/>
      <c r="I276" s="83"/>
      <c r="J276" s="84"/>
      <c r="K276" s="3"/>
      <c r="O276" s="68"/>
      <c r="P276" s="196"/>
      <c r="Q276" s="85"/>
      <c r="R276" s="85"/>
      <c r="S276" s="85"/>
      <c r="T276" s="86"/>
      <c r="U276" s="86"/>
      <c r="V276" s="125"/>
      <c r="W276" s="126"/>
      <c r="X276" s="52"/>
      <c r="Y276" s="44"/>
      <c r="Z276" s="44"/>
      <c r="AA276" s="2"/>
      <c r="AB276" s="43"/>
      <c r="AC276" s="43"/>
      <c r="AD276" s="43"/>
      <c r="AE276" s="43"/>
      <c r="AF276" s="45"/>
    </row>
    <row r="277" spans="2:32" ht="25.35" customHeight="1">
      <c r="B277" s="561" t="s">
        <v>52</v>
      </c>
      <c r="C277" s="561"/>
      <c r="D277" s="73">
        <f>SUM(D226:D275)</f>
        <v>12</v>
      </c>
      <c r="E277" s="73">
        <f t="shared" ref="E277:I277" si="102">SUM(E226:E275)</f>
        <v>12</v>
      </c>
      <c r="F277" s="73">
        <f t="shared" si="102"/>
        <v>14</v>
      </c>
      <c r="G277" s="73">
        <f t="shared" si="102"/>
        <v>14</v>
      </c>
      <c r="H277" s="73">
        <f t="shared" si="102"/>
        <v>14</v>
      </c>
      <c r="I277" s="73">
        <f t="shared" si="102"/>
        <v>14</v>
      </c>
      <c r="J277" s="110">
        <v>18</v>
      </c>
      <c r="K277" s="72"/>
      <c r="L277" s="75"/>
      <c r="M277" s="76"/>
      <c r="N277" s="77"/>
      <c r="O277" s="74"/>
      <c r="P277" s="197"/>
      <c r="Q277" s="80"/>
      <c r="R277" s="80"/>
      <c r="S277" s="80"/>
      <c r="T277" s="118">
        <f>ROUND(SUM(T226:T275),2)</f>
        <v>6.5</v>
      </c>
      <c r="U277" s="115">
        <f>ROUND(SUM(U226:U275),2)</f>
        <v>9.75</v>
      </c>
      <c r="V277" s="121"/>
      <c r="W277" s="122"/>
      <c r="X277" s="95"/>
      <c r="Y277" s="97"/>
      <c r="Z277" s="78"/>
      <c r="AA277" s="78"/>
      <c r="AB277" s="78"/>
      <c r="AC277" s="78"/>
      <c r="AD277" s="78"/>
      <c r="AE277" s="78"/>
    </row>
    <row r="278" spans="2:32" ht="19.899999999999999" customHeight="1">
      <c r="V278" s="121"/>
      <c r="W278" s="122"/>
    </row>
    <row r="279" spans="2:32" ht="31.5">
      <c r="B279" s="175" t="s">
        <v>112</v>
      </c>
      <c r="C279" s="39" t="s">
        <v>113</v>
      </c>
      <c r="D279" s="4"/>
      <c r="E279" s="4"/>
      <c r="F279" s="4"/>
      <c r="G279" s="4"/>
      <c r="H279" s="4"/>
      <c r="I279" s="4"/>
      <c r="J279" s="4"/>
      <c r="K279" s="3"/>
      <c r="O279" s="525"/>
      <c r="P279" s="526"/>
      <c r="Q279" s="116">
        <f>U334</f>
        <v>0</v>
      </c>
      <c r="R279" s="112"/>
      <c r="S279" s="112"/>
      <c r="T279" s="113" t="s">
        <v>23</v>
      </c>
      <c r="U279" s="114">
        <f>J334</f>
        <v>14</v>
      </c>
      <c r="V279" s="121"/>
      <c r="W279" s="122"/>
      <c r="X279" s="562"/>
      <c r="Y279" s="562"/>
      <c r="Z279" s="37"/>
      <c r="AA279" s="37"/>
      <c r="AB279" s="37"/>
      <c r="AC279" s="37"/>
      <c r="AD279" s="37"/>
      <c r="AE279" s="37"/>
    </row>
    <row r="280" spans="2:32" ht="4.9000000000000004" customHeight="1">
      <c r="B280" s="47"/>
      <c r="C280" s="8"/>
      <c r="D280" s="4"/>
      <c r="E280" s="4"/>
      <c r="F280" s="4"/>
      <c r="G280" s="4"/>
      <c r="H280" s="4"/>
      <c r="I280" s="4"/>
      <c r="J280" s="4"/>
      <c r="K280" s="9"/>
      <c r="L280" s="8"/>
      <c r="O280" s="527"/>
      <c r="P280" s="527"/>
      <c r="Q280" s="2"/>
      <c r="R280" s="2"/>
      <c r="S280" s="2"/>
      <c r="V280" s="121"/>
      <c r="W280" s="122"/>
      <c r="X280" s="527"/>
      <c r="Y280" s="527"/>
      <c r="Z280" s="40"/>
      <c r="AA280" s="40"/>
      <c r="AB280" s="40"/>
      <c r="AC280" s="40"/>
      <c r="AD280" s="40"/>
      <c r="AE280" s="40"/>
    </row>
    <row r="281" spans="2:32" ht="25.15" customHeight="1">
      <c r="B281" s="531" t="s">
        <v>12</v>
      </c>
      <c r="C281" s="528"/>
      <c r="D281" s="67" t="s">
        <v>3</v>
      </c>
      <c r="E281" s="67" t="str">
        <f>E$12</f>
        <v>신축 비주거-일반건축물</v>
      </c>
      <c r="F281" s="67" t="str">
        <f t="shared" ref="F281:I281" si="103">F$12</f>
        <v>신축 비주거-업무용건축물</v>
      </c>
      <c r="G281" s="67" t="str">
        <f t="shared" si="103"/>
        <v>신축 비주거-학교</v>
      </c>
      <c r="H281" s="67" t="str">
        <f t="shared" si="103"/>
        <v>신축 비주거-판매시설</v>
      </c>
      <c r="I281" s="67" t="str">
        <f t="shared" si="103"/>
        <v>신축 비주거-숙박시설</v>
      </c>
      <c r="J281" s="67" t="s">
        <v>37</v>
      </c>
      <c r="K281" s="530" t="s">
        <v>36</v>
      </c>
      <c r="L281" s="531"/>
      <c r="M281" s="531"/>
      <c r="N281" s="528"/>
      <c r="O281" s="533" t="s">
        <v>132</v>
      </c>
      <c r="P281" s="585"/>
      <c r="Q281" s="66" t="str">
        <f>Q$12</f>
        <v>등급</v>
      </c>
      <c r="R281" s="66" t="str">
        <f>R$12</f>
        <v>배점</v>
      </c>
      <c r="S281" s="66" t="str">
        <f>S$12</f>
        <v>가중치</v>
      </c>
      <c r="T281" s="66" t="str">
        <f>T$12</f>
        <v>평점</v>
      </c>
      <c r="U281" s="66" t="str">
        <f>U$12</f>
        <v>환산점</v>
      </c>
      <c r="V281" s="121"/>
      <c r="W281" s="122"/>
      <c r="X281" s="586" t="s">
        <v>45</v>
      </c>
      <c r="Y281" s="586"/>
      <c r="Z281" s="534"/>
      <c r="AA281" s="131"/>
      <c r="AB281" s="587" t="s">
        <v>133</v>
      </c>
      <c r="AC281" s="586"/>
      <c r="AD281" s="586"/>
      <c r="AE281" s="534"/>
    </row>
    <row r="282" spans="2:32" ht="4.9000000000000004" customHeight="1" thickBot="1">
      <c r="B282" s="47"/>
      <c r="C282" s="9"/>
      <c r="D282" s="4"/>
      <c r="E282" s="4"/>
      <c r="F282" s="4"/>
      <c r="G282" s="4"/>
      <c r="H282" s="4"/>
      <c r="I282" s="4"/>
      <c r="J282" s="4"/>
      <c r="K282" s="9"/>
      <c r="L282" s="8"/>
      <c r="O282" s="40"/>
      <c r="P282" s="192"/>
      <c r="Q282" s="2"/>
      <c r="R282" s="2"/>
      <c r="S282" s="2"/>
      <c r="V282" s="121"/>
      <c r="W282" s="122"/>
      <c r="X282" s="51"/>
      <c r="Y282" s="40"/>
      <c r="Z282" s="40"/>
      <c r="AA282" s="40"/>
      <c r="AB282" s="40"/>
      <c r="AC282" s="40"/>
      <c r="AD282" s="40"/>
      <c r="AE282" s="40"/>
    </row>
    <row r="283" spans="2:32" ht="19.899999999999999" customHeight="1" thickBot="1">
      <c r="B283" s="546" t="s">
        <v>123</v>
      </c>
      <c r="C283" s="549" t="s">
        <v>114</v>
      </c>
      <c r="D283" s="512">
        <f>HLOOKUP($J$1,$E$12:$I287,272,FALSE)</f>
        <v>1</v>
      </c>
      <c r="E283" s="512">
        <v>1</v>
      </c>
      <c r="F283" s="512">
        <v>1</v>
      </c>
      <c r="G283" s="512">
        <v>1</v>
      </c>
      <c r="H283" s="512">
        <v>1</v>
      </c>
      <c r="I283" s="512">
        <v>1</v>
      </c>
      <c r="J283" s="552" t="e">
        <f>'#1 - 메인 UI'!#REF!</f>
        <v>#REF!</v>
      </c>
      <c r="K283" s="90" t="s">
        <v>24</v>
      </c>
      <c r="L283" s="88" t="s">
        <v>4</v>
      </c>
      <c r="M283" s="88" t="s">
        <v>301</v>
      </c>
      <c r="N283" s="89">
        <v>1</v>
      </c>
      <c r="O283" s="555"/>
      <c r="P283" s="558" t="e">
        <f>'#1 - 메인 UI'!#REF!</f>
        <v>#REF!</v>
      </c>
      <c r="Q283" s="515" t="e">
        <f>'#1 - 메인 UI'!#REF!</f>
        <v>#REF!</v>
      </c>
      <c r="R283" s="518">
        <f t="shared" ref="R283" si="104">D283</f>
        <v>1</v>
      </c>
      <c r="S283" s="563">
        <f t="shared" ref="S283" si="105">IFERROR(VLOOKUP(Q283,L283:N287,3,FALSE),0)</f>
        <v>0</v>
      </c>
      <c r="T283" s="506">
        <f>IFERROR(+R283*S283,0)</f>
        <v>0</v>
      </c>
      <c r="U283" s="564">
        <f>ROUND((T283/$D$334)*$J$334,4)</f>
        <v>0</v>
      </c>
      <c r="V283" s="123"/>
      <c r="W283" s="124"/>
      <c r="X283" s="71" t="s">
        <v>463</v>
      </c>
      <c r="Y283" s="69" t="e">
        <f>'#1 - 메인 UI'!#REF!</f>
        <v>#REF!</v>
      </c>
      <c r="Z283" s="70" t="e">
        <f>'#1 - 메인 UI'!#REF!</f>
        <v>#REF!</v>
      </c>
      <c r="AA283" s="134" t="e">
        <f>VLOOKUP(Z283,데이터유효성!$B$2:$C$5,2,FALSE)</f>
        <v>#REF!</v>
      </c>
      <c r="AB283" s="49">
        <v>0.25</v>
      </c>
      <c r="AC283" s="49">
        <v>0.5</v>
      </c>
      <c r="AD283" s="49">
        <v>0.75</v>
      </c>
      <c r="AE283" s="49">
        <v>1</v>
      </c>
      <c r="AF283" s="48"/>
    </row>
    <row r="284" spans="2:32" ht="19.899999999999999" customHeight="1">
      <c r="B284" s="547"/>
      <c r="C284" s="550"/>
      <c r="D284" s="513"/>
      <c r="E284" s="513"/>
      <c r="F284" s="513"/>
      <c r="G284" s="513"/>
      <c r="H284" s="513"/>
      <c r="I284" s="513"/>
      <c r="J284" s="553"/>
      <c r="K284" s="91" t="s">
        <v>214</v>
      </c>
      <c r="L284" s="14" t="s">
        <v>5</v>
      </c>
      <c r="M284" s="14" t="s">
        <v>150</v>
      </c>
      <c r="N284" s="5">
        <v>0.75</v>
      </c>
      <c r="O284" s="556"/>
      <c r="P284" s="559"/>
      <c r="Q284" s="516"/>
      <c r="R284" s="519"/>
      <c r="S284" s="563"/>
      <c r="T284" s="507"/>
      <c r="U284" s="565"/>
      <c r="V284" s="123"/>
      <c r="W284" s="124"/>
      <c r="X284" s="52"/>
      <c r="Y284" s="44"/>
      <c r="Z284" s="44"/>
      <c r="AA284" s="2"/>
      <c r="AB284" s="44"/>
      <c r="AC284" s="44"/>
      <c r="AD284" s="44"/>
      <c r="AE284" s="44"/>
      <c r="AF284" s="48"/>
    </row>
    <row r="285" spans="2:32" ht="19.899999999999999" customHeight="1">
      <c r="B285" s="547"/>
      <c r="C285" s="550"/>
      <c r="D285" s="513"/>
      <c r="E285" s="513"/>
      <c r="F285" s="513"/>
      <c r="G285" s="513"/>
      <c r="H285" s="513"/>
      <c r="I285" s="513"/>
      <c r="J285" s="553"/>
      <c r="K285" s="91" t="s">
        <v>214</v>
      </c>
      <c r="L285" s="14" t="s">
        <v>6</v>
      </c>
      <c r="M285" s="14" t="s">
        <v>151</v>
      </c>
      <c r="N285" s="5">
        <v>0.5</v>
      </c>
      <c r="O285" s="556"/>
      <c r="P285" s="559"/>
      <c r="Q285" s="516"/>
      <c r="R285" s="519"/>
      <c r="S285" s="563"/>
      <c r="T285" s="507"/>
      <c r="U285" s="565"/>
      <c r="V285" s="125"/>
      <c r="W285" s="126"/>
      <c r="X285" s="52"/>
      <c r="Y285" s="44"/>
      <c r="Z285" s="44"/>
      <c r="AA285" s="2"/>
      <c r="AB285" s="44"/>
      <c r="AC285" s="44"/>
      <c r="AD285" s="44"/>
      <c r="AE285" s="44"/>
      <c r="AF285" s="45"/>
    </row>
    <row r="286" spans="2:32" ht="19.899999999999999" customHeight="1">
      <c r="B286" s="547"/>
      <c r="C286" s="550"/>
      <c r="D286" s="513"/>
      <c r="E286" s="513"/>
      <c r="F286" s="513"/>
      <c r="G286" s="513"/>
      <c r="H286" s="513"/>
      <c r="I286" s="513"/>
      <c r="J286" s="553"/>
      <c r="K286" s="91" t="s">
        <v>214</v>
      </c>
      <c r="L286" s="14" t="s">
        <v>7</v>
      </c>
      <c r="M286" s="14" t="s">
        <v>152</v>
      </c>
      <c r="N286" s="5">
        <v>0.25</v>
      </c>
      <c r="O286" s="556"/>
      <c r="P286" s="559"/>
      <c r="Q286" s="516"/>
      <c r="R286" s="519"/>
      <c r="S286" s="563"/>
      <c r="T286" s="507"/>
      <c r="U286" s="565"/>
      <c r="V286" s="125"/>
      <c r="W286" s="126"/>
      <c r="X286" s="52"/>
      <c r="Y286" s="44"/>
      <c r="Z286" s="44"/>
      <c r="AA286" s="2"/>
      <c r="AB286" s="44"/>
      <c r="AC286" s="44"/>
      <c r="AD286" s="44"/>
      <c r="AE286" s="44"/>
      <c r="AF286" s="45"/>
    </row>
    <row r="287" spans="2:32" ht="4.9000000000000004" customHeight="1">
      <c r="B287" s="548"/>
      <c r="C287" s="551"/>
      <c r="D287" s="514"/>
      <c r="E287" s="514"/>
      <c r="F287" s="514"/>
      <c r="G287" s="514"/>
      <c r="H287" s="514"/>
      <c r="I287" s="514"/>
      <c r="J287" s="554"/>
      <c r="K287" s="92"/>
      <c r="L287" s="42"/>
      <c r="M287" s="42"/>
      <c r="N287" s="41"/>
      <c r="O287" s="557"/>
      <c r="P287" s="560"/>
      <c r="Q287" s="517"/>
      <c r="R287" s="520"/>
      <c r="S287" s="563"/>
      <c r="T287" s="508"/>
      <c r="U287" s="566"/>
      <c r="V287" s="125"/>
      <c r="W287" s="126"/>
      <c r="X287" s="52"/>
      <c r="Y287" s="44"/>
      <c r="Z287" s="44"/>
      <c r="AA287" s="2"/>
      <c r="AB287" s="56"/>
      <c r="AC287" s="56"/>
      <c r="AD287" s="56"/>
      <c r="AE287" s="56"/>
      <c r="AF287" s="45"/>
    </row>
    <row r="288" spans="2:32" ht="19.899999999999999" customHeight="1">
      <c r="B288" s="546" t="s">
        <v>124</v>
      </c>
      <c r="C288" s="549" t="s">
        <v>115</v>
      </c>
      <c r="D288" s="512">
        <f>HLOOKUP($J$1,$E$12:$I292,277,FALSE)</f>
        <v>3</v>
      </c>
      <c r="E288" s="512">
        <v>3</v>
      </c>
      <c r="F288" s="512">
        <v>3</v>
      </c>
      <c r="G288" s="512">
        <v>3</v>
      </c>
      <c r="H288" s="512">
        <v>3</v>
      </c>
      <c r="I288" s="512">
        <v>3</v>
      </c>
      <c r="J288" s="552" t="s">
        <v>302</v>
      </c>
      <c r="K288" s="90" t="s">
        <v>24</v>
      </c>
      <c r="L288" s="88" t="s">
        <v>4</v>
      </c>
      <c r="M288" s="88" t="s">
        <v>303</v>
      </c>
      <c r="N288" s="89">
        <v>1</v>
      </c>
      <c r="O288" s="555"/>
      <c r="P288" s="558" t="e">
        <f>'#1 - 메인 UI'!#REF!</f>
        <v>#REF!</v>
      </c>
      <c r="Q288" s="515" t="e">
        <f>'#1 - 메인 UI'!#REF!</f>
        <v>#REF!</v>
      </c>
      <c r="R288" s="518">
        <f t="shared" ref="R288" si="106">D288</f>
        <v>3</v>
      </c>
      <c r="S288" s="563">
        <f t="shared" ref="S288" si="107">IFERROR(VLOOKUP(Q288,L288:N292,3,FALSE),0)</f>
        <v>0</v>
      </c>
      <c r="T288" s="506">
        <f>IFERROR(+R288*S288,0)</f>
        <v>0</v>
      </c>
      <c r="U288" s="564">
        <f t="shared" ref="U288" si="108">ROUND((T288/$D$334)*$J$334,4)</f>
        <v>0</v>
      </c>
      <c r="V288" s="123"/>
      <c r="W288" s="124"/>
      <c r="X288" s="52"/>
      <c r="Y288" s="44"/>
      <c r="Z288" s="44"/>
      <c r="AA288" s="2"/>
      <c r="AB288" s="44"/>
      <c r="AC288" s="44"/>
      <c r="AD288" s="44"/>
      <c r="AE288" s="44"/>
      <c r="AF288" s="48"/>
    </row>
    <row r="289" spans="2:32" ht="19.899999999999999" customHeight="1">
      <c r="B289" s="547"/>
      <c r="C289" s="550"/>
      <c r="D289" s="513"/>
      <c r="E289" s="513"/>
      <c r="F289" s="513"/>
      <c r="G289" s="513"/>
      <c r="H289" s="513"/>
      <c r="I289" s="513"/>
      <c r="J289" s="553"/>
      <c r="K289" s="91" t="s">
        <v>214</v>
      </c>
      <c r="L289" s="14" t="s">
        <v>5</v>
      </c>
      <c r="M289" s="14" t="s">
        <v>304</v>
      </c>
      <c r="N289" s="5">
        <v>0.8</v>
      </c>
      <c r="O289" s="556"/>
      <c r="P289" s="559"/>
      <c r="Q289" s="516"/>
      <c r="R289" s="519"/>
      <c r="S289" s="563"/>
      <c r="T289" s="507"/>
      <c r="U289" s="565"/>
      <c r="V289" s="123"/>
      <c r="W289" s="124"/>
      <c r="X289" s="52"/>
      <c r="Y289" s="44"/>
      <c r="Z289" s="44"/>
      <c r="AA289" s="2"/>
      <c r="AB289" s="44"/>
      <c r="AC289" s="44"/>
      <c r="AD289" s="44"/>
      <c r="AE289" s="44"/>
      <c r="AF289" s="48"/>
    </row>
    <row r="290" spans="2:32" ht="19.899999999999999" customHeight="1">
      <c r="B290" s="547"/>
      <c r="C290" s="550"/>
      <c r="D290" s="513"/>
      <c r="E290" s="513"/>
      <c r="F290" s="513"/>
      <c r="G290" s="513"/>
      <c r="H290" s="513"/>
      <c r="I290" s="513"/>
      <c r="J290" s="553"/>
      <c r="K290" s="91" t="s">
        <v>214</v>
      </c>
      <c r="L290" s="14" t="s">
        <v>6</v>
      </c>
      <c r="M290" s="14" t="s">
        <v>305</v>
      </c>
      <c r="N290" s="5">
        <v>0.6</v>
      </c>
      <c r="O290" s="556"/>
      <c r="P290" s="559"/>
      <c r="Q290" s="516"/>
      <c r="R290" s="519"/>
      <c r="S290" s="563"/>
      <c r="T290" s="507"/>
      <c r="U290" s="565"/>
      <c r="V290" s="125"/>
      <c r="W290" s="126"/>
      <c r="X290" s="52"/>
      <c r="Y290" s="44"/>
      <c r="Z290" s="44"/>
      <c r="AA290" s="2"/>
      <c r="AB290" s="44"/>
      <c r="AC290" s="44"/>
      <c r="AD290" s="44"/>
      <c r="AE290" s="44"/>
      <c r="AF290" s="45"/>
    </row>
    <row r="291" spans="2:32" ht="19.899999999999999" customHeight="1">
      <c r="B291" s="547"/>
      <c r="C291" s="550"/>
      <c r="D291" s="513"/>
      <c r="E291" s="513"/>
      <c r="F291" s="513"/>
      <c r="G291" s="513"/>
      <c r="H291" s="513"/>
      <c r="I291" s="513"/>
      <c r="J291" s="553"/>
      <c r="K291" s="91" t="s">
        <v>214</v>
      </c>
      <c r="L291" s="14" t="s">
        <v>7</v>
      </c>
      <c r="M291" s="14" t="s">
        <v>306</v>
      </c>
      <c r="N291" s="5">
        <v>0.4</v>
      </c>
      <c r="O291" s="556"/>
      <c r="P291" s="559"/>
      <c r="Q291" s="516"/>
      <c r="R291" s="519"/>
      <c r="S291" s="563"/>
      <c r="T291" s="507"/>
      <c r="U291" s="565"/>
      <c r="V291" s="125"/>
      <c r="W291" s="126"/>
      <c r="X291" s="52"/>
      <c r="Y291" s="44"/>
      <c r="Z291" s="44"/>
      <c r="AA291" s="2"/>
      <c r="AB291" s="44"/>
      <c r="AC291" s="44"/>
      <c r="AD291" s="44"/>
      <c r="AE291" s="44"/>
      <c r="AF291" s="45"/>
    </row>
    <row r="292" spans="2:32" ht="19.899999999999999" customHeight="1">
      <c r="B292" s="548"/>
      <c r="C292" s="551"/>
      <c r="D292" s="514"/>
      <c r="E292" s="514"/>
      <c r="F292" s="514"/>
      <c r="G292" s="514"/>
      <c r="H292" s="514"/>
      <c r="I292" s="514"/>
      <c r="J292" s="554"/>
      <c r="K292" s="92"/>
      <c r="L292" s="42" t="s">
        <v>308</v>
      </c>
      <c r="M292" s="42" t="s">
        <v>307</v>
      </c>
      <c r="N292" s="41">
        <v>0.2</v>
      </c>
      <c r="O292" s="557"/>
      <c r="P292" s="560"/>
      <c r="Q292" s="517"/>
      <c r="R292" s="520"/>
      <c r="S292" s="563"/>
      <c r="T292" s="508"/>
      <c r="U292" s="566"/>
      <c r="V292" s="125"/>
      <c r="W292" s="126"/>
      <c r="X292" s="52"/>
      <c r="Y292" s="44"/>
      <c r="Z292" s="44"/>
      <c r="AA292" s="2"/>
      <c r="AB292" s="56"/>
      <c r="AC292" s="56"/>
      <c r="AD292" s="56"/>
      <c r="AE292" s="56"/>
      <c r="AF292" s="45"/>
    </row>
    <row r="293" spans="2:32" ht="19.899999999999999" customHeight="1">
      <c r="B293" s="546" t="s">
        <v>125</v>
      </c>
      <c r="C293" s="549" t="s">
        <v>116</v>
      </c>
      <c r="D293" s="512">
        <f>HLOOKUP($J$1,$E$12:$I297,282,FALSE)</f>
        <v>2</v>
      </c>
      <c r="E293" s="512">
        <v>2</v>
      </c>
      <c r="F293" s="512">
        <v>2</v>
      </c>
      <c r="G293" s="512">
        <v>2</v>
      </c>
      <c r="H293" s="512">
        <v>2</v>
      </c>
      <c r="I293" s="512">
        <v>2</v>
      </c>
      <c r="J293" s="552" t="s">
        <v>309</v>
      </c>
      <c r="K293" s="90" t="s">
        <v>24</v>
      </c>
      <c r="L293" s="88" t="s">
        <v>4</v>
      </c>
      <c r="M293" s="88" t="s">
        <v>310</v>
      </c>
      <c r="N293" s="89">
        <v>1</v>
      </c>
      <c r="O293" s="555"/>
      <c r="P293" s="558" t="e">
        <f>'#1 - 메인 UI'!#REF!</f>
        <v>#REF!</v>
      </c>
      <c r="Q293" s="515" t="e">
        <f>'#1 - 메인 UI'!#REF!</f>
        <v>#REF!</v>
      </c>
      <c r="R293" s="518">
        <f t="shared" ref="R293:R323" si="109">D293</f>
        <v>2</v>
      </c>
      <c r="S293" s="563">
        <f t="shared" ref="S293" si="110">IFERROR(VLOOKUP(Q293,L293:N297,3,FALSE),0)</f>
        <v>0</v>
      </c>
      <c r="T293" s="506">
        <f>IFERROR(+R293*S293,0)</f>
        <v>0</v>
      </c>
      <c r="U293" s="564">
        <f t="shared" ref="U293" si="111">ROUND((T293/$D$334)*$J$334,4)</f>
        <v>0</v>
      </c>
      <c r="V293" s="123"/>
      <c r="W293" s="124"/>
      <c r="X293" s="52"/>
      <c r="Y293" s="44"/>
      <c r="Z293" s="44"/>
      <c r="AA293" s="2"/>
      <c r="AB293" s="44"/>
      <c r="AC293" s="44"/>
      <c r="AD293" s="44"/>
      <c r="AE293" s="44"/>
      <c r="AF293" s="48"/>
    </row>
    <row r="294" spans="2:32" ht="19.899999999999999" customHeight="1">
      <c r="B294" s="547"/>
      <c r="C294" s="550"/>
      <c r="D294" s="513"/>
      <c r="E294" s="513"/>
      <c r="F294" s="513"/>
      <c r="G294" s="513"/>
      <c r="H294" s="513"/>
      <c r="I294" s="513"/>
      <c r="J294" s="553"/>
      <c r="K294" s="91" t="s">
        <v>214</v>
      </c>
      <c r="L294" s="14" t="s">
        <v>5</v>
      </c>
      <c r="M294" s="14" t="s">
        <v>311</v>
      </c>
      <c r="N294" s="5">
        <v>0.5</v>
      </c>
      <c r="O294" s="556"/>
      <c r="P294" s="559"/>
      <c r="Q294" s="516"/>
      <c r="R294" s="519"/>
      <c r="S294" s="563"/>
      <c r="T294" s="507"/>
      <c r="U294" s="565"/>
      <c r="V294" s="123"/>
      <c r="W294" s="124"/>
      <c r="X294" s="52"/>
      <c r="Y294" s="44"/>
      <c r="Z294" s="44"/>
      <c r="AA294" s="2"/>
      <c r="AB294" s="44"/>
      <c r="AC294" s="44"/>
      <c r="AD294" s="44"/>
      <c r="AE294" s="44"/>
      <c r="AF294" s="48"/>
    </row>
    <row r="295" spans="2:32" ht="4.9000000000000004" customHeight="1">
      <c r="B295" s="547"/>
      <c r="C295" s="550"/>
      <c r="D295" s="513"/>
      <c r="E295" s="513"/>
      <c r="F295" s="513"/>
      <c r="G295" s="513"/>
      <c r="H295" s="513"/>
      <c r="I295" s="513"/>
      <c r="J295" s="553"/>
      <c r="K295" s="91" t="s">
        <v>214</v>
      </c>
      <c r="O295" s="556"/>
      <c r="P295" s="559"/>
      <c r="Q295" s="516"/>
      <c r="R295" s="519"/>
      <c r="S295" s="563"/>
      <c r="T295" s="507"/>
      <c r="U295" s="565"/>
      <c r="V295" s="125"/>
      <c r="W295" s="126"/>
      <c r="X295" s="52"/>
      <c r="Y295" s="44"/>
      <c r="Z295" s="44"/>
      <c r="AA295" s="2"/>
      <c r="AB295" s="44"/>
      <c r="AC295" s="44"/>
      <c r="AD295" s="44"/>
      <c r="AE295" s="44"/>
      <c r="AF295" s="45"/>
    </row>
    <row r="296" spans="2:32" ht="4.9000000000000004" customHeight="1">
      <c r="B296" s="547"/>
      <c r="C296" s="550"/>
      <c r="D296" s="513"/>
      <c r="E296" s="513"/>
      <c r="F296" s="513"/>
      <c r="G296" s="513"/>
      <c r="H296" s="513"/>
      <c r="I296" s="513"/>
      <c r="J296" s="553"/>
      <c r="K296" s="91" t="s">
        <v>214</v>
      </c>
      <c r="O296" s="556"/>
      <c r="P296" s="559"/>
      <c r="Q296" s="516"/>
      <c r="R296" s="519"/>
      <c r="S296" s="563"/>
      <c r="T296" s="507"/>
      <c r="U296" s="565"/>
      <c r="V296" s="125"/>
      <c r="W296" s="126"/>
      <c r="X296" s="52"/>
      <c r="Y296" s="44"/>
      <c r="Z296" s="44"/>
      <c r="AA296" s="2"/>
      <c r="AB296" s="44"/>
      <c r="AC296" s="44"/>
      <c r="AD296" s="44"/>
      <c r="AE296" s="44"/>
      <c r="AF296" s="45"/>
    </row>
    <row r="297" spans="2:32" ht="4.9000000000000004" customHeight="1">
      <c r="B297" s="548"/>
      <c r="C297" s="551"/>
      <c r="D297" s="514"/>
      <c r="E297" s="514"/>
      <c r="F297" s="514"/>
      <c r="G297" s="514"/>
      <c r="H297" s="514"/>
      <c r="I297" s="514"/>
      <c r="J297" s="554"/>
      <c r="K297" s="92"/>
      <c r="L297" s="42"/>
      <c r="M297" s="42"/>
      <c r="N297" s="41"/>
      <c r="O297" s="557"/>
      <c r="P297" s="560"/>
      <c r="Q297" s="517"/>
      <c r="R297" s="520"/>
      <c r="S297" s="563"/>
      <c r="T297" s="508"/>
      <c r="U297" s="566"/>
      <c r="V297" s="125"/>
      <c r="W297" s="126"/>
      <c r="X297" s="52"/>
      <c r="Y297" s="44"/>
      <c r="Z297" s="44"/>
      <c r="AA297" s="2"/>
      <c r="AB297" s="56"/>
      <c r="AC297" s="56"/>
      <c r="AD297" s="56"/>
      <c r="AE297" s="56"/>
      <c r="AF297" s="45"/>
    </row>
    <row r="298" spans="2:32" ht="19.899999999999999" customHeight="1">
      <c r="B298" s="546" t="s">
        <v>126</v>
      </c>
      <c r="C298" s="549" t="s">
        <v>117</v>
      </c>
      <c r="D298" s="512">
        <f>HLOOKUP($J$1,$E$12:$I302,287,FALSE)</f>
        <v>5</v>
      </c>
      <c r="E298" s="512">
        <v>5</v>
      </c>
      <c r="F298" s="512">
        <v>5</v>
      </c>
      <c r="G298" s="512">
        <v>5</v>
      </c>
      <c r="H298" s="512">
        <v>5</v>
      </c>
      <c r="I298" s="512">
        <v>5</v>
      </c>
      <c r="J298" s="552" t="s">
        <v>312</v>
      </c>
      <c r="K298" s="90" t="s">
        <v>24</v>
      </c>
      <c r="L298" s="88" t="s">
        <v>4</v>
      </c>
      <c r="M298" s="88" t="s">
        <v>313</v>
      </c>
      <c r="N298" s="89">
        <v>1</v>
      </c>
      <c r="O298" s="555"/>
      <c r="P298" s="558" t="e">
        <f>'#1 - 메인 UI'!#REF!</f>
        <v>#REF!</v>
      </c>
      <c r="Q298" s="515" t="e">
        <f>'#1 - 메인 UI'!#REF!</f>
        <v>#REF!</v>
      </c>
      <c r="R298" s="518">
        <f t="shared" ref="R298:R328" si="112">D298</f>
        <v>5</v>
      </c>
      <c r="S298" s="563">
        <f t="shared" ref="S298" si="113">IFERROR(VLOOKUP(Q298,L298:N302,3,FALSE),0)</f>
        <v>0</v>
      </c>
      <c r="T298" s="506">
        <f>IFERROR(+R298*S298,0)</f>
        <v>0</v>
      </c>
      <c r="U298" s="564">
        <f t="shared" ref="U298" si="114">ROUND((T298/$D$334)*$J$334,4)</f>
        <v>0</v>
      </c>
      <c r="V298" s="123"/>
      <c r="W298" s="124"/>
      <c r="X298" s="52"/>
      <c r="Y298" s="44"/>
      <c r="Z298" s="44"/>
      <c r="AA298" s="2"/>
      <c r="AB298" s="44"/>
      <c r="AC298" s="44"/>
      <c r="AD298" s="44"/>
      <c r="AE298" s="44"/>
      <c r="AF298" s="48"/>
    </row>
    <row r="299" spans="2:32" ht="19.899999999999999" customHeight="1">
      <c r="B299" s="547"/>
      <c r="C299" s="550"/>
      <c r="D299" s="513"/>
      <c r="E299" s="513"/>
      <c r="F299" s="513"/>
      <c r="G299" s="513"/>
      <c r="H299" s="513"/>
      <c r="I299" s="513"/>
      <c r="J299" s="553"/>
      <c r="K299" s="91" t="s">
        <v>214</v>
      </c>
      <c r="L299" s="14" t="s">
        <v>5</v>
      </c>
      <c r="M299" s="14" t="s">
        <v>314</v>
      </c>
      <c r="N299" s="5">
        <v>0.8</v>
      </c>
      <c r="O299" s="556"/>
      <c r="P299" s="559"/>
      <c r="Q299" s="516"/>
      <c r="R299" s="519"/>
      <c r="S299" s="563"/>
      <c r="T299" s="507"/>
      <c r="U299" s="565"/>
      <c r="V299" s="123"/>
      <c r="W299" s="124"/>
      <c r="X299" s="52"/>
      <c r="Y299" s="44"/>
      <c r="Z299" s="44"/>
      <c r="AA299" s="2"/>
      <c r="AB299" s="44"/>
      <c r="AC299" s="44"/>
      <c r="AD299" s="44"/>
      <c r="AE299" s="44"/>
      <c r="AF299" s="48"/>
    </row>
    <row r="300" spans="2:32" ht="19.899999999999999" customHeight="1">
      <c r="B300" s="547"/>
      <c r="C300" s="550"/>
      <c r="D300" s="513"/>
      <c r="E300" s="513"/>
      <c r="F300" s="513"/>
      <c r="G300" s="513"/>
      <c r="H300" s="513"/>
      <c r="I300" s="513"/>
      <c r="J300" s="553"/>
      <c r="K300" s="91" t="s">
        <v>214</v>
      </c>
      <c r="L300" s="14" t="s">
        <v>6</v>
      </c>
      <c r="M300" s="14" t="s">
        <v>315</v>
      </c>
      <c r="N300" s="5">
        <v>0.6</v>
      </c>
      <c r="O300" s="556"/>
      <c r="P300" s="559"/>
      <c r="Q300" s="516"/>
      <c r="R300" s="519"/>
      <c r="S300" s="563"/>
      <c r="T300" s="507"/>
      <c r="U300" s="565"/>
      <c r="V300" s="125"/>
      <c r="W300" s="126"/>
      <c r="X300" s="52"/>
      <c r="Y300" s="44"/>
      <c r="Z300" s="44"/>
      <c r="AA300" s="2"/>
      <c r="AB300" s="44"/>
      <c r="AC300" s="44"/>
      <c r="AD300" s="44"/>
      <c r="AE300" s="44"/>
      <c r="AF300" s="45"/>
    </row>
    <row r="301" spans="2:32" ht="19.899999999999999" customHeight="1">
      <c r="B301" s="547"/>
      <c r="C301" s="550"/>
      <c r="D301" s="513"/>
      <c r="E301" s="513"/>
      <c r="F301" s="513"/>
      <c r="G301" s="513"/>
      <c r="H301" s="513"/>
      <c r="I301" s="513"/>
      <c r="J301" s="553"/>
      <c r="K301" s="91" t="s">
        <v>214</v>
      </c>
      <c r="L301" s="14" t="s">
        <v>7</v>
      </c>
      <c r="M301" s="14" t="s">
        <v>316</v>
      </c>
      <c r="N301" s="5">
        <v>0.4</v>
      </c>
      <c r="O301" s="556"/>
      <c r="P301" s="559"/>
      <c r="Q301" s="516"/>
      <c r="R301" s="519"/>
      <c r="S301" s="563"/>
      <c r="T301" s="507"/>
      <c r="U301" s="565"/>
      <c r="V301" s="125"/>
      <c r="W301" s="126"/>
      <c r="X301" s="52"/>
      <c r="Y301" s="44"/>
      <c r="Z301" s="44"/>
      <c r="AA301" s="2"/>
      <c r="AB301" s="44"/>
      <c r="AC301" s="44"/>
      <c r="AD301" s="44"/>
      <c r="AE301" s="44"/>
      <c r="AF301" s="45"/>
    </row>
    <row r="302" spans="2:32" ht="4.9000000000000004" customHeight="1">
      <c r="B302" s="548"/>
      <c r="C302" s="551"/>
      <c r="D302" s="514"/>
      <c r="E302" s="514"/>
      <c r="F302" s="514"/>
      <c r="G302" s="514"/>
      <c r="H302" s="514"/>
      <c r="I302" s="514"/>
      <c r="J302" s="554"/>
      <c r="K302" s="92"/>
      <c r="L302" s="42"/>
      <c r="M302" s="42"/>
      <c r="N302" s="41"/>
      <c r="O302" s="557"/>
      <c r="P302" s="560"/>
      <c r="Q302" s="517"/>
      <c r="R302" s="520"/>
      <c r="S302" s="563"/>
      <c r="T302" s="508"/>
      <c r="U302" s="566"/>
      <c r="V302" s="125"/>
      <c r="W302" s="126"/>
      <c r="X302" s="52"/>
      <c r="Y302" s="44"/>
      <c r="Z302" s="44"/>
      <c r="AA302" s="2"/>
      <c r="AB302" s="56"/>
      <c r="AC302" s="56"/>
      <c r="AD302" s="56"/>
      <c r="AE302" s="56"/>
      <c r="AF302" s="45"/>
    </row>
    <row r="303" spans="2:32" ht="19.899999999999999" customHeight="1">
      <c r="B303" s="546" t="s">
        <v>127</v>
      </c>
      <c r="C303" s="549" t="s">
        <v>118</v>
      </c>
      <c r="D303" s="512">
        <f>HLOOKUP($J$1,$E$12:$I307,292,FALSE)</f>
        <v>1</v>
      </c>
      <c r="E303" s="512">
        <v>1</v>
      </c>
      <c r="F303" s="512">
        <v>1</v>
      </c>
      <c r="G303" s="512">
        <v>1</v>
      </c>
      <c r="H303" s="512">
        <v>1</v>
      </c>
      <c r="I303" s="512">
        <v>1</v>
      </c>
      <c r="J303" s="552" t="s">
        <v>317</v>
      </c>
      <c r="K303" s="90" t="s">
        <v>24</v>
      </c>
      <c r="L303" s="88" t="s">
        <v>4</v>
      </c>
      <c r="M303" s="88" t="s">
        <v>168</v>
      </c>
      <c r="N303" s="89">
        <v>1</v>
      </c>
      <c r="O303" s="555"/>
      <c r="P303" s="558" t="e">
        <f>'#1 - 메인 UI'!#REF!</f>
        <v>#REF!</v>
      </c>
      <c r="Q303" s="515" t="e">
        <f>'#1 - 메인 UI'!#REF!</f>
        <v>#REF!</v>
      </c>
      <c r="R303" s="518">
        <f t="shared" si="109"/>
        <v>1</v>
      </c>
      <c r="S303" s="563">
        <f t="shared" ref="S303" si="115">IFERROR(VLOOKUP(Q303,L303:N307,3,FALSE),0)</f>
        <v>0</v>
      </c>
      <c r="T303" s="506">
        <f>IFERROR(+R303*S303,0)</f>
        <v>0</v>
      </c>
      <c r="U303" s="564">
        <f t="shared" ref="U303" si="116">ROUND((T303/$D$334)*$J$334,4)</f>
        <v>0</v>
      </c>
      <c r="V303" s="123"/>
      <c r="W303" s="124"/>
      <c r="X303" s="52"/>
      <c r="Y303" s="44"/>
      <c r="Z303" s="44"/>
      <c r="AA303" s="2"/>
      <c r="AB303" s="44"/>
      <c r="AC303" s="44"/>
      <c r="AD303" s="44"/>
      <c r="AE303" s="44"/>
      <c r="AF303" s="48"/>
    </row>
    <row r="304" spans="2:32" ht="19.899999999999999" customHeight="1">
      <c r="B304" s="547"/>
      <c r="C304" s="550"/>
      <c r="D304" s="513"/>
      <c r="E304" s="513"/>
      <c r="F304" s="513"/>
      <c r="G304" s="513"/>
      <c r="H304" s="513"/>
      <c r="I304" s="513"/>
      <c r="J304" s="553"/>
      <c r="K304" s="91" t="s">
        <v>214</v>
      </c>
      <c r="L304" s="14" t="s">
        <v>5</v>
      </c>
      <c r="M304" s="14" t="s">
        <v>169</v>
      </c>
      <c r="N304" s="5">
        <v>0.8</v>
      </c>
      <c r="O304" s="556"/>
      <c r="P304" s="559"/>
      <c r="Q304" s="516"/>
      <c r="R304" s="519"/>
      <c r="S304" s="563"/>
      <c r="T304" s="507"/>
      <c r="U304" s="565"/>
      <c r="V304" s="123"/>
      <c r="W304" s="124"/>
      <c r="X304" s="52"/>
      <c r="Y304" s="44"/>
      <c r="Z304" s="44"/>
      <c r="AA304" s="2"/>
      <c r="AB304" s="44"/>
      <c r="AC304" s="44"/>
      <c r="AD304" s="44"/>
      <c r="AE304" s="44"/>
      <c r="AF304" s="48"/>
    </row>
    <row r="305" spans="2:32" ht="19.899999999999999" customHeight="1">
      <c r="B305" s="547"/>
      <c r="C305" s="550"/>
      <c r="D305" s="513"/>
      <c r="E305" s="513"/>
      <c r="F305" s="513"/>
      <c r="G305" s="513"/>
      <c r="H305" s="513"/>
      <c r="I305" s="513"/>
      <c r="J305" s="553"/>
      <c r="K305" s="91" t="s">
        <v>214</v>
      </c>
      <c r="L305" s="14" t="s">
        <v>6</v>
      </c>
      <c r="M305" s="14" t="s">
        <v>170</v>
      </c>
      <c r="N305" s="5">
        <v>0.6</v>
      </c>
      <c r="O305" s="556"/>
      <c r="P305" s="559"/>
      <c r="Q305" s="516"/>
      <c r="R305" s="519"/>
      <c r="S305" s="563"/>
      <c r="T305" s="507"/>
      <c r="U305" s="565"/>
      <c r="V305" s="125"/>
      <c r="W305" s="126"/>
      <c r="X305" s="52"/>
      <c r="Y305" s="44"/>
      <c r="Z305" s="44"/>
      <c r="AA305" s="2"/>
      <c r="AB305" s="44"/>
      <c r="AC305" s="44"/>
      <c r="AD305" s="44"/>
      <c r="AE305" s="44"/>
      <c r="AF305" s="45"/>
    </row>
    <row r="306" spans="2:32" ht="19.899999999999999" customHeight="1">
      <c r="B306" s="547"/>
      <c r="C306" s="550"/>
      <c r="D306" s="513"/>
      <c r="E306" s="513"/>
      <c r="F306" s="513"/>
      <c r="G306" s="513"/>
      <c r="H306" s="513"/>
      <c r="I306" s="513"/>
      <c r="J306" s="553"/>
      <c r="K306" s="91" t="s">
        <v>214</v>
      </c>
      <c r="L306" s="14" t="s">
        <v>7</v>
      </c>
      <c r="M306" s="14" t="s">
        <v>171</v>
      </c>
      <c r="N306" s="5">
        <v>0.4</v>
      </c>
      <c r="O306" s="556"/>
      <c r="P306" s="559"/>
      <c r="Q306" s="516"/>
      <c r="R306" s="519"/>
      <c r="S306" s="563"/>
      <c r="T306" s="507"/>
      <c r="U306" s="565"/>
      <c r="V306" s="125"/>
      <c r="W306" s="126"/>
      <c r="X306" s="52"/>
      <c r="Y306" s="44"/>
      <c r="Z306" s="44"/>
      <c r="AA306" s="2"/>
      <c r="AB306" s="44"/>
      <c r="AC306" s="44"/>
      <c r="AD306" s="44"/>
      <c r="AE306" s="44"/>
      <c r="AF306" s="45"/>
    </row>
    <row r="307" spans="2:32" ht="4.9000000000000004" customHeight="1">
      <c r="B307" s="548"/>
      <c r="C307" s="551"/>
      <c r="D307" s="514"/>
      <c r="E307" s="514"/>
      <c r="F307" s="514"/>
      <c r="G307" s="514"/>
      <c r="H307" s="514"/>
      <c r="I307" s="514"/>
      <c r="J307" s="554"/>
      <c r="K307" s="92"/>
      <c r="L307" s="42"/>
      <c r="M307" s="42"/>
      <c r="N307" s="41"/>
      <c r="O307" s="557"/>
      <c r="P307" s="560"/>
      <c r="Q307" s="517"/>
      <c r="R307" s="520"/>
      <c r="S307" s="563"/>
      <c r="T307" s="508"/>
      <c r="U307" s="566"/>
      <c r="V307" s="125"/>
      <c r="W307" s="126"/>
      <c r="X307" s="52"/>
      <c r="Y307" s="44"/>
      <c r="Z307" s="44"/>
      <c r="AA307" s="2"/>
      <c r="AB307" s="56"/>
      <c r="AC307" s="56"/>
      <c r="AD307" s="56"/>
      <c r="AE307" s="56"/>
      <c r="AF307" s="45"/>
    </row>
    <row r="308" spans="2:32" ht="19.899999999999999" customHeight="1">
      <c r="B308" s="546" t="s">
        <v>128</v>
      </c>
      <c r="C308" s="549" t="s">
        <v>119</v>
      </c>
      <c r="D308" s="512">
        <f>HLOOKUP($J$1,$E$12:$I312,297,FALSE)</f>
        <v>1</v>
      </c>
      <c r="E308" s="512">
        <v>1</v>
      </c>
      <c r="F308" s="512">
        <v>1</v>
      </c>
      <c r="G308" s="512">
        <v>1</v>
      </c>
      <c r="H308" s="512">
        <v>1</v>
      </c>
      <c r="I308" s="512">
        <v>1</v>
      </c>
      <c r="J308" s="552" t="s">
        <v>322</v>
      </c>
      <c r="K308" s="90" t="s">
        <v>24</v>
      </c>
      <c r="L308" s="88" t="s">
        <v>4</v>
      </c>
      <c r="M308" s="88" t="s">
        <v>318</v>
      </c>
      <c r="N308" s="89">
        <v>1</v>
      </c>
      <c r="O308" s="555"/>
      <c r="P308" s="558" t="e">
        <f>'#1 - 메인 UI'!#REF!</f>
        <v>#REF!</v>
      </c>
      <c r="Q308" s="515" t="e">
        <f>'#1 - 메인 UI'!#REF!</f>
        <v>#REF!</v>
      </c>
      <c r="R308" s="518">
        <f t="shared" si="112"/>
        <v>1</v>
      </c>
      <c r="S308" s="563">
        <f t="shared" ref="S308" si="117">IFERROR(VLOOKUP(Q308,L308:N312,3,FALSE),0)</f>
        <v>0</v>
      </c>
      <c r="T308" s="506">
        <f>IFERROR(+R308*S308,0)</f>
        <v>0</v>
      </c>
      <c r="U308" s="564">
        <f t="shared" ref="U308" si="118">ROUND((T308/$D$334)*$J$334,4)</f>
        <v>0</v>
      </c>
      <c r="V308" s="123"/>
      <c r="W308" s="124"/>
      <c r="X308" s="52"/>
      <c r="Y308" s="44"/>
      <c r="Z308" s="44"/>
      <c r="AA308" s="2"/>
      <c r="AB308" s="44"/>
      <c r="AC308" s="44"/>
      <c r="AD308" s="44"/>
      <c r="AE308" s="44"/>
      <c r="AF308" s="48"/>
    </row>
    <row r="309" spans="2:32" ht="19.899999999999999" customHeight="1">
      <c r="B309" s="547"/>
      <c r="C309" s="550"/>
      <c r="D309" s="513"/>
      <c r="E309" s="513"/>
      <c r="F309" s="513"/>
      <c r="G309" s="513"/>
      <c r="H309" s="513"/>
      <c r="I309" s="513"/>
      <c r="J309" s="553"/>
      <c r="K309" s="91" t="s">
        <v>214</v>
      </c>
      <c r="L309" s="14" t="s">
        <v>5</v>
      </c>
      <c r="M309" s="14" t="s">
        <v>320</v>
      </c>
      <c r="N309" s="5">
        <v>0.8</v>
      </c>
      <c r="O309" s="556"/>
      <c r="P309" s="559"/>
      <c r="Q309" s="516"/>
      <c r="R309" s="519"/>
      <c r="S309" s="563"/>
      <c r="T309" s="507"/>
      <c r="U309" s="565"/>
      <c r="V309" s="123"/>
      <c r="W309" s="124"/>
      <c r="X309" s="52"/>
      <c r="Y309" s="44"/>
      <c r="Z309" s="44"/>
      <c r="AA309" s="2"/>
      <c r="AB309" s="44"/>
      <c r="AC309" s="44"/>
      <c r="AD309" s="44"/>
      <c r="AE309" s="44"/>
      <c r="AF309" s="48"/>
    </row>
    <row r="310" spans="2:32" ht="19.899999999999999" customHeight="1">
      <c r="B310" s="547"/>
      <c r="C310" s="550"/>
      <c r="D310" s="513"/>
      <c r="E310" s="513"/>
      <c r="F310" s="513"/>
      <c r="G310" s="513"/>
      <c r="H310" s="513"/>
      <c r="I310" s="513"/>
      <c r="J310" s="553"/>
      <c r="K310" s="91" t="s">
        <v>214</v>
      </c>
      <c r="L310" s="14" t="s">
        <v>6</v>
      </c>
      <c r="M310" s="14" t="s">
        <v>321</v>
      </c>
      <c r="N310" s="5">
        <v>0.6</v>
      </c>
      <c r="O310" s="556"/>
      <c r="P310" s="559"/>
      <c r="Q310" s="516"/>
      <c r="R310" s="519"/>
      <c r="S310" s="563"/>
      <c r="T310" s="507"/>
      <c r="U310" s="565"/>
      <c r="V310" s="125"/>
      <c r="W310" s="126"/>
      <c r="X310" s="52"/>
      <c r="Y310" s="44"/>
      <c r="Z310" s="44"/>
      <c r="AA310" s="2"/>
      <c r="AB310" s="44"/>
      <c r="AC310" s="44"/>
      <c r="AD310" s="44"/>
      <c r="AE310" s="44"/>
      <c r="AF310" s="45"/>
    </row>
    <row r="311" spans="2:32" ht="19.899999999999999" customHeight="1">
      <c r="B311" s="547"/>
      <c r="C311" s="550"/>
      <c r="D311" s="513"/>
      <c r="E311" s="513"/>
      <c r="F311" s="513"/>
      <c r="G311" s="513"/>
      <c r="H311" s="513"/>
      <c r="I311" s="513"/>
      <c r="J311" s="553"/>
      <c r="K311" s="91" t="s">
        <v>214</v>
      </c>
      <c r="L311" s="14" t="s">
        <v>7</v>
      </c>
      <c r="M311" s="14" t="s">
        <v>319</v>
      </c>
      <c r="N311" s="5">
        <v>0.4</v>
      </c>
      <c r="O311" s="556"/>
      <c r="P311" s="559"/>
      <c r="Q311" s="516"/>
      <c r="R311" s="519"/>
      <c r="S311" s="563"/>
      <c r="T311" s="507"/>
      <c r="U311" s="565"/>
      <c r="V311" s="125"/>
      <c r="W311" s="126"/>
      <c r="X311" s="52"/>
      <c r="Y311" s="44"/>
      <c r="Z311" s="44"/>
      <c r="AA311" s="2"/>
      <c r="AB311" s="44"/>
      <c r="AC311" s="44"/>
      <c r="AD311" s="44"/>
      <c r="AE311" s="44"/>
      <c r="AF311" s="45"/>
    </row>
    <row r="312" spans="2:32" ht="4.9000000000000004" customHeight="1">
      <c r="B312" s="548"/>
      <c r="C312" s="551"/>
      <c r="D312" s="514"/>
      <c r="E312" s="514"/>
      <c r="F312" s="514"/>
      <c r="G312" s="514"/>
      <c r="H312" s="514"/>
      <c r="I312" s="514"/>
      <c r="J312" s="554"/>
      <c r="K312" s="92"/>
      <c r="L312" s="42"/>
      <c r="M312" s="42"/>
      <c r="N312" s="41"/>
      <c r="O312" s="557"/>
      <c r="P312" s="560"/>
      <c r="Q312" s="517"/>
      <c r="R312" s="520"/>
      <c r="S312" s="563"/>
      <c r="T312" s="508"/>
      <c r="U312" s="566"/>
      <c r="V312" s="125"/>
      <c r="W312" s="126"/>
      <c r="X312" s="52"/>
      <c r="Y312" s="44"/>
      <c r="Z312" s="44"/>
      <c r="AA312" s="2"/>
      <c r="AB312" s="56"/>
      <c r="AC312" s="56"/>
      <c r="AD312" s="56"/>
      <c r="AE312" s="56"/>
      <c r="AF312" s="45"/>
    </row>
    <row r="313" spans="2:32" ht="19.899999999999999" customHeight="1">
      <c r="B313" s="546" t="s">
        <v>129</v>
      </c>
      <c r="C313" s="549" t="s">
        <v>120</v>
      </c>
      <c r="D313" s="512">
        <f>HLOOKUP($J$1,$E$12:$I317,302,FALSE)</f>
        <v>1</v>
      </c>
      <c r="E313" s="512">
        <v>1</v>
      </c>
      <c r="F313" s="512">
        <v>1</v>
      </c>
      <c r="G313" s="512">
        <v>1</v>
      </c>
      <c r="H313" s="512">
        <v>1</v>
      </c>
      <c r="I313" s="512">
        <v>1</v>
      </c>
      <c r="J313" s="552" t="s">
        <v>323</v>
      </c>
      <c r="K313" s="90" t="s">
        <v>24</v>
      </c>
      <c r="L313" s="88" t="s">
        <v>4</v>
      </c>
      <c r="M313" s="88" t="s">
        <v>324</v>
      </c>
      <c r="N313" s="89">
        <v>1</v>
      </c>
      <c r="O313" s="555"/>
      <c r="P313" s="558" t="e">
        <f>'#1 - 메인 UI'!#REF!</f>
        <v>#REF!</v>
      </c>
      <c r="Q313" s="515" t="e">
        <f>'#1 - 메인 UI'!#REF!</f>
        <v>#REF!</v>
      </c>
      <c r="R313" s="518">
        <f t="shared" si="109"/>
        <v>1</v>
      </c>
      <c r="S313" s="563">
        <f t="shared" ref="S313" si="119">IFERROR(VLOOKUP(Q313,L313:N317,3,FALSE),0)</f>
        <v>0</v>
      </c>
      <c r="T313" s="506">
        <f>IFERROR(+R313*S313,0)</f>
        <v>0</v>
      </c>
      <c r="U313" s="564">
        <f t="shared" ref="U313" si="120">ROUND((T313/$D$334)*$J$334,4)</f>
        <v>0</v>
      </c>
      <c r="V313" s="123"/>
      <c r="W313" s="124"/>
      <c r="X313" s="52"/>
      <c r="Y313" s="44"/>
      <c r="Z313" s="44"/>
      <c r="AA313" s="2"/>
      <c r="AB313" s="44"/>
      <c r="AC313" s="44"/>
      <c r="AD313" s="44"/>
      <c r="AE313" s="44"/>
      <c r="AF313" s="48"/>
    </row>
    <row r="314" spans="2:32" ht="19.899999999999999" customHeight="1">
      <c r="B314" s="547"/>
      <c r="C314" s="550"/>
      <c r="D314" s="513"/>
      <c r="E314" s="513"/>
      <c r="F314" s="513"/>
      <c r="G314" s="513"/>
      <c r="H314" s="513"/>
      <c r="I314" s="513"/>
      <c r="J314" s="553"/>
      <c r="K314" s="91" t="s">
        <v>214</v>
      </c>
      <c r="L314" s="14" t="s">
        <v>5</v>
      </c>
      <c r="M314" s="14" t="s">
        <v>325</v>
      </c>
      <c r="N314" s="5">
        <v>0.8</v>
      </c>
      <c r="O314" s="556"/>
      <c r="P314" s="559"/>
      <c r="Q314" s="516"/>
      <c r="R314" s="519"/>
      <c r="S314" s="563"/>
      <c r="T314" s="507"/>
      <c r="U314" s="565"/>
      <c r="V314" s="123"/>
      <c r="W314" s="124"/>
      <c r="X314" s="52"/>
      <c r="Y314" s="44"/>
      <c r="Z314" s="44"/>
      <c r="AA314" s="2"/>
      <c r="AB314" s="44"/>
      <c r="AC314" s="44"/>
      <c r="AD314" s="44"/>
      <c r="AE314" s="44"/>
      <c r="AF314" s="48"/>
    </row>
    <row r="315" spans="2:32" ht="19.899999999999999" customHeight="1">
      <c r="B315" s="547"/>
      <c r="C315" s="550"/>
      <c r="D315" s="513"/>
      <c r="E315" s="513"/>
      <c r="F315" s="513"/>
      <c r="G315" s="513"/>
      <c r="H315" s="513"/>
      <c r="I315" s="513"/>
      <c r="J315" s="553"/>
      <c r="K315" s="91" t="s">
        <v>214</v>
      </c>
      <c r="L315" s="14" t="s">
        <v>6</v>
      </c>
      <c r="M315" s="14" t="s">
        <v>326</v>
      </c>
      <c r="N315" s="5">
        <v>0.6</v>
      </c>
      <c r="O315" s="556"/>
      <c r="P315" s="559"/>
      <c r="Q315" s="516"/>
      <c r="R315" s="519"/>
      <c r="S315" s="563"/>
      <c r="T315" s="507"/>
      <c r="U315" s="565"/>
      <c r="V315" s="125"/>
      <c r="W315" s="126"/>
      <c r="X315" s="52"/>
      <c r="Y315" s="44"/>
      <c r="Z315" s="44"/>
      <c r="AA315" s="2"/>
      <c r="AB315" s="44"/>
      <c r="AC315" s="44"/>
      <c r="AD315" s="44"/>
      <c r="AE315" s="44"/>
      <c r="AF315" s="45"/>
    </row>
    <row r="316" spans="2:32" ht="19.899999999999999" customHeight="1">
      <c r="B316" s="547"/>
      <c r="C316" s="550"/>
      <c r="D316" s="513"/>
      <c r="E316" s="513"/>
      <c r="F316" s="513"/>
      <c r="G316" s="513"/>
      <c r="H316" s="513"/>
      <c r="I316" s="513"/>
      <c r="J316" s="553"/>
      <c r="K316" s="91" t="s">
        <v>214</v>
      </c>
      <c r="L316" s="14" t="s">
        <v>7</v>
      </c>
      <c r="M316" s="14" t="s">
        <v>327</v>
      </c>
      <c r="N316" s="5">
        <v>0.4</v>
      </c>
      <c r="O316" s="556"/>
      <c r="P316" s="559"/>
      <c r="Q316" s="516"/>
      <c r="R316" s="519"/>
      <c r="S316" s="563"/>
      <c r="T316" s="507"/>
      <c r="U316" s="565"/>
      <c r="V316" s="125"/>
      <c r="W316" s="126"/>
      <c r="X316" s="52"/>
      <c r="Y316" s="44"/>
      <c r="Z316" s="44"/>
      <c r="AA316" s="2"/>
      <c r="AB316" s="44"/>
      <c r="AC316" s="44"/>
      <c r="AD316" s="44"/>
      <c r="AE316" s="44"/>
      <c r="AF316" s="45"/>
    </row>
    <row r="317" spans="2:32" ht="4.9000000000000004" customHeight="1" thickBot="1">
      <c r="B317" s="548"/>
      <c r="C317" s="551"/>
      <c r="D317" s="514"/>
      <c r="E317" s="514"/>
      <c r="F317" s="514"/>
      <c r="G317" s="514"/>
      <c r="H317" s="514"/>
      <c r="I317" s="514"/>
      <c r="J317" s="554"/>
      <c r="K317" s="92"/>
      <c r="L317" s="42"/>
      <c r="M317" s="42"/>
      <c r="N317" s="41"/>
      <c r="O317" s="557"/>
      <c r="P317" s="560"/>
      <c r="Q317" s="517"/>
      <c r="R317" s="520"/>
      <c r="S317" s="563"/>
      <c r="T317" s="508"/>
      <c r="U317" s="566"/>
      <c r="V317" s="125"/>
      <c r="W317" s="126"/>
      <c r="X317" s="52"/>
      <c r="Y317" s="44"/>
      <c r="Z317" s="44"/>
      <c r="AA317" s="2"/>
      <c r="AB317" s="56"/>
      <c r="AC317" s="56"/>
      <c r="AD317" s="56"/>
      <c r="AE317" s="56"/>
      <c r="AF317" s="45"/>
    </row>
    <row r="318" spans="2:32" ht="19.899999999999999" hidden="1" customHeight="1">
      <c r="B318" s="546" t="s">
        <v>210</v>
      </c>
      <c r="C318" s="549" t="s">
        <v>209</v>
      </c>
      <c r="D318" s="512" t="str">
        <f>HLOOKUP($J$1,$E$12:$I322,307,FALSE)</f>
        <v>제외</v>
      </c>
      <c r="E318" s="512" t="s">
        <v>212</v>
      </c>
      <c r="F318" s="512" t="s">
        <v>212</v>
      </c>
      <c r="G318" s="512">
        <v>1</v>
      </c>
      <c r="H318" s="512" t="s">
        <v>212</v>
      </c>
      <c r="I318" s="512" t="s">
        <v>212</v>
      </c>
      <c r="J318" s="552" t="s">
        <v>328</v>
      </c>
      <c r="K318" s="90" t="s">
        <v>24</v>
      </c>
      <c r="L318" s="88" t="s">
        <v>4</v>
      </c>
      <c r="M318" s="88" t="s">
        <v>329</v>
      </c>
      <c r="N318" s="89">
        <v>1</v>
      </c>
      <c r="O318" s="555"/>
      <c r="P318" s="558" t="s">
        <v>347</v>
      </c>
      <c r="Q318" s="515" t="s">
        <v>338</v>
      </c>
      <c r="R318" s="518" t="str">
        <f t="shared" si="112"/>
        <v>제외</v>
      </c>
      <c r="S318" s="521">
        <f t="shared" ref="S318" si="121">IFERROR(VLOOKUP(Q318,L318:N322,3,FALSE),0)</f>
        <v>0</v>
      </c>
      <c r="T318" s="506">
        <f>IFERROR(+R318*S318,0)</f>
        <v>0</v>
      </c>
      <c r="U318" s="564">
        <f t="shared" ref="U318" si="122">ROUND((T318/$D$334)*$J$334,4)</f>
        <v>0</v>
      </c>
      <c r="V318" s="123"/>
      <c r="W318" s="124"/>
      <c r="X318" s="52"/>
      <c r="Y318" s="44"/>
      <c r="Z318" s="44"/>
      <c r="AA318" s="2"/>
      <c r="AB318" s="44"/>
      <c r="AC318" s="44"/>
      <c r="AD318" s="44"/>
      <c r="AE318" s="44"/>
      <c r="AF318" s="48"/>
    </row>
    <row r="319" spans="2:32" ht="19.899999999999999" hidden="1" customHeight="1">
      <c r="B319" s="547"/>
      <c r="C319" s="550"/>
      <c r="D319" s="513"/>
      <c r="E319" s="513"/>
      <c r="F319" s="513"/>
      <c r="G319" s="513"/>
      <c r="H319" s="513"/>
      <c r="I319" s="513"/>
      <c r="J319" s="553"/>
      <c r="K319" s="91" t="s">
        <v>214</v>
      </c>
      <c r="L319" s="14" t="s">
        <v>5</v>
      </c>
      <c r="M319" s="14" t="s">
        <v>330</v>
      </c>
      <c r="N319" s="5">
        <v>0.8</v>
      </c>
      <c r="O319" s="556"/>
      <c r="P319" s="559"/>
      <c r="Q319" s="516"/>
      <c r="R319" s="519"/>
      <c r="S319" s="522"/>
      <c r="T319" s="507"/>
      <c r="U319" s="565"/>
      <c r="V319" s="123"/>
      <c r="W319" s="124"/>
      <c r="X319" s="52"/>
      <c r="Y319" s="44"/>
      <c r="Z319" s="44"/>
      <c r="AA319" s="2"/>
      <c r="AB319" s="44"/>
      <c r="AC319" s="44"/>
      <c r="AD319" s="44"/>
      <c r="AE319" s="44"/>
      <c r="AF319" s="48"/>
    </row>
    <row r="320" spans="2:32" ht="19.899999999999999" hidden="1" customHeight="1">
      <c r="B320" s="547"/>
      <c r="C320" s="550"/>
      <c r="D320" s="513"/>
      <c r="E320" s="513"/>
      <c r="F320" s="513"/>
      <c r="G320" s="513"/>
      <c r="H320" s="513"/>
      <c r="I320" s="513"/>
      <c r="J320" s="553"/>
      <c r="K320" s="91" t="s">
        <v>214</v>
      </c>
      <c r="L320" s="14" t="s">
        <v>6</v>
      </c>
      <c r="M320" s="14" t="s">
        <v>331</v>
      </c>
      <c r="N320" s="5">
        <v>0.6</v>
      </c>
      <c r="O320" s="556"/>
      <c r="P320" s="559"/>
      <c r="Q320" s="516"/>
      <c r="R320" s="519"/>
      <c r="S320" s="522"/>
      <c r="T320" s="507"/>
      <c r="U320" s="565"/>
      <c r="V320" s="125"/>
      <c r="W320" s="126"/>
      <c r="X320" s="52"/>
      <c r="Y320" s="44"/>
      <c r="Z320" s="44"/>
      <c r="AA320" s="2"/>
      <c r="AB320" s="44"/>
      <c r="AC320" s="44"/>
      <c r="AD320" s="44"/>
      <c r="AE320" s="44"/>
      <c r="AF320" s="45"/>
    </row>
    <row r="321" spans="2:34" ht="19.899999999999999" hidden="1" customHeight="1">
      <c r="B321" s="547"/>
      <c r="C321" s="550"/>
      <c r="D321" s="513"/>
      <c r="E321" s="513"/>
      <c r="F321" s="513"/>
      <c r="G321" s="513"/>
      <c r="H321" s="513"/>
      <c r="I321" s="513"/>
      <c r="J321" s="553"/>
      <c r="K321" s="91" t="s">
        <v>214</v>
      </c>
      <c r="L321" s="14" t="s">
        <v>7</v>
      </c>
      <c r="M321" s="14" t="s">
        <v>332</v>
      </c>
      <c r="N321" s="5">
        <v>0.4</v>
      </c>
      <c r="O321" s="556"/>
      <c r="P321" s="559"/>
      <c r="Q321" s="516"/>
      <c r="R321" s="519"/>
      <c r="S321" s="522"/>
      <c r="T321" s="507"/>
      <c r="U321" s="565"/>
      <c r="V321" s="125"/>
      <c r="W321" s="126"/>
      <c r="X321" s="52"/>
      <c r="Y321" s="44"/>
      <c r="Z321" s="44"/>
      <c r="AA321" s="2"/>
      <c r="AB321" s="44"/>
      <c r="AC321" s="44"/>
      <c r="AD321" s="44"/>
      <c r="AE321" s="44"/>
      <c r="AF321" s="45"/>
    </row>
    <row r="322" spans="2:34" ht="19.899999999999999" hidden="1" customHeight="1">
      <c r="B322" s="548"/>
      <c r="C322" s="551"/>
      <c r="D322" s="514"/>
      <c r="E322" s="514"/>
      <c r="F322" s="514"/>
      <c r="G322" s="514"/>
      <c r="H322" s="514"/>
      <c r="I322" s="514"/>
      <c r="J322" s="554"/>
      <c r="K322" s="92"/>
      <c r="L322" s="42"/>
      <c r="M322" s="42"/>
      <c r="N322" s="41"/>
      <c r="O322" s="557"/>
      <c r="P322" s="560"/>
      <c r="Q322" s="517"/>
      <c r="R322" s="520"/>
      <c r="S322" s="523"/>
      <c r="T322" s="508"/>
      <c r="U322" s="566"/>
      <c r="V322" s="125"/>
      <c r="W322" s="126"/>
      <c r="X322" s="52"/>
      <c r="Y322" s="44"/>
      <c r="Z322" s="44"/>
      <c r="AA322" s="2"/>
      <c r="AB322" s="56"/>
      <c r="AC322" s="56"/>
      <c r="AD322" s="56"/>
      <c r="AE322" s="56"/>
      <c r="AF322" s="45"/>
    </row>
    <row r="323" spans="2:34" ht="19.899999999999999" customHeight="1" thickBot="1">
      <c r="B323" s="546" t="s">
        <v>130</v>
      </c>
      <c r="C323" s="549" t="s">
        <v>121</v>
      </c>
      <c r="D323" s="512">
        <f>HLOOKUP($J$1,$E$12:$I327,312,FALSE)</f>
        <v>1</v>
      </c>
      <c r="E323" s="512">
        <v>1</v>
      </c>
      <c r="F323" s="512">
        <v>1</v>
      </c>
      <c r="G323" s="512">
        <v>1</v>
      </c>
      <c r="H323" s="512">
        <v>1</v>
      </c>
      <c r="I323" s="512">
        <v>1</v>
      </c>
      <c r="J323" s="552" t="s">
        <v>333</v>
      </c>
      <c r="K323" s="90" t="s">
        <v>24</v>
      </c>
      <c r="L323" s="88" t="s">
        <v>4</v>
      </c>
      <c r="M323" s="88" t="s">
        <v>333</v>
      </c>
      <c r="N323" s="89">
        <v>1</v>
      </c>
      <c r="O323" s="555"/>
      <c r="P323" s="558" t="e">
        <f>'#1 - 메인 UI'!#REF!</f>
        <v>#REF!</v>
      </c>
      <c r="Q323" s="515" t="e">
        <f>'#1 - 메인 UI'!#REF!</f>
        <v>#REF!</v>
      </c>
      <c r="R323" s="518">
        <f t="shared" si="109"/>
        <v>1</v>
      </c>
      <c r="S323" s="563">
        <f t="shared" ref="S323" si="123">IFERROR(VLOOKUP(Q323,L323:N327,3,FALSE),0)</f>
        <v>0</v>
      </c>
      <c r="T323" s="506">
        <f>IFERROR(+R323*S323,0)</f>
        <v>0</v>
      </c>
      <c r="U323" s="564">
        <f t="shared" ref="U323" si="124">ROUND((T323/$D$334)*$J$334,4)</f>
        <v>0</v>
      </c>
      <c r="V323" s="123"/>
      <c r="W323" s="124"/>
      <c r="X323" s="71" t="s">
        <v>464</v>
      </c>
      <c r="Y323" s="69" t="e">
        <f>'#1 - 메인 UI'!#REF!</f>
        <v>#REF!</v>
      </c>
      <c r="Z323" s="70" t="e">
        <f>'#1 - 메인 UI'!#REF!</f>
        <v>#REF!</v>
      </c>
      <c r="AA323" s="134" t="e">
        <f>VLOOKUP(Z323,데이터유효성!$B$2:$C$5,2,FALSE)</f>
        <v>#REF!</v>
      </c>
      <c r="AB323" s="49">
        <v>0.25</v>
      </c>
      <c r="AC323" s="49">
        <v>0.5</v>
      </c>
      <c r="AD323" s="49">
        <v>0.75</v>
      </c>
      <c r="AE323" s="49">
        <v>1</v>
      </c>
      <c r="AF323" s="48"/>
    </row>
    <row r="324" spans="2:34" ht="36.6" customHeight="1">
      <c r="B324" s="547"/>
      <c r="C324" s="550"/>
      <c r="D324" s="513"/>
      <c r="E324" s="513"/>
      <c r="F324" s="513"/>
      <c r="G324" s="513"/>
      <c r="H324" s="513"/>
      <c r="I324" s="513"/>
      <c r="J324" s="553"/>
      <c r="K324" s="91"/>
      <c r="O324" s="556"/>
      <c r="P324" s="559"/>
      <c r="Q324" s="516"/>
      <c r="R324" s="519"/>
      <c r="S324" s="563"/>
      <c r="T324" s="507"/>
      <c r="U324" s="565"/>
      <c r="V324" s="123"/>
      <c r="W324" s="124"/>
      <c r="X324" s="52"/>
      <c r="Y324" s="44"/>
      <c r="Z324" s="44"/>
      <c r="AA324" s="2"/>
      <c r="AB324" s="44"/>
      <c r="AC324" s="44"/>
      <c r="AD324" s="44"/>
      <c r="AE324" s="44"/>
      <c r="AF324" s="48"/>
    </row>
    <row r="325" spans="2:34" ht="4.9000000000000004" customHeight="1">
      <c r="B325" s="547"/>
      <c r="C325" s="550"/>
      <c r="D325" s="513"/>
      <c r="E325" s="513"/>
      <c r="F325" s="513"/>
      <c r="G325" s="513"/>
      <c r="H325" s="513"/>
      <c r="I325" s="513"/>
      <c r="J325" s="553"/>
      <c r="K325" s="91"/>
      <c r="O325" s="556"/>
      <c r="P325" s="559"/>
      <c r="Q325" s="516"/>
      <c r="R325" s="519"/>
      <c r="S325" s="563"/>
      <c r="T325" s="507"/>
      <c r="U325" s="565"/>
      <c r="V325" s="125"/>
      <c r="W325" s="126"/>
      <c r="X325" s="52"/>
      <c r="Y325" s="44"/>
      <c r="Z325" s="44"/>
      <c r="AA325" s="2"/>
      <c r="AB325" s="44"/>
      <c r="AC325" s="44"/>
      <c r="AD325" s="44"/>
      <c r="AE325" s="44"/>
      <c r="AF325" s="45"/>
    </row>
    <row r="326" spans="2:34" ht="4.9000000000000004" customHeight="1">
      <c r="B326" s="547"/>
      <c r="C326" s="550"/>
      <c r="D326" s="513"/>
      <c r="E326" s="513"/>
      <c r="F326" s="513"/>
      <c r="G326" s="513"/>
      <c r="H326" s="513"/>
      <c r="I326" s="513"/>
      <c r="J326" s="553"/>
      <c r="K326" s="91"/>
      <c r="O326" s="556"/>
      <c r="P326" s="559"/>
      <c r="Q326" s="516"/>
      <c r="R326" s="519"/>
      <c r="S326" s="563"/>
      <c r="T326" s="507"/>
      <c r="U326" s="565"/>
      <c r="V326" s="125"/>
      <c r="W326" s="126"/>
      <c r="X326" s="52"/>
      <c r="Y326" s="44"/>
      <c r="Z326" s="44"/>
      <c r="AA326" s="2"/>
      <c r="AB326" s="44"/>
      <c r="AC326" s="44"/>
      <c r="AD326" s="44"/>
      <c r="AE326" s="44"/>
      <c r="AF326" s="45"/>
    </row>
    <row r="327" spans="2:34" ht="4.9000000000000004" customHeight="1">
      <c r="B327" s="548"/>
      <c r="C327" s="551"/>
      <c r="D327" s="514"/>
      <c r="E327" s="514"/>
      <c r="F327" s="514"/>
      <c r="G327" s="514"/>
      <c r="H327" s="514"/>
      <c r="I327" s="514"/>
      <c r="J327" s="554"/>
      <c r="K327" s="92"/>
      <c r="L327" s="42"/>
      <c r="M327" s="42"/>
      <c r="N327" s="41"/>
      <c r="O327" s="557"/>
      <c r="P327" s="560"/>
      <c r="Q327" s="517"/>
      <c r="R327" s="520"/>
      <c r="S327" s="563"/>
      <c r="T327" s="508"/>
      <c r="U327" s="566"/>
      <c r="V327" s="125"/>
      <c r="W327" s="126"/>
      <c r="X327" s="52"/>
      <c r="Y327" s="44"/>
      <c r="Z327" s="44"/>
      <c r="AA327" s="2"/>
      <c r="AB327" s="56"/>
      <c r="AC327" s="56"/>
      <c r="AD327" s="56"/>
      <c r="AE327" s="56"/>
      <c r="AF327" s="45"/>
    </row>
    <row r="328" spans="2:34" ht="19.899999999999999" customHeight="1">
      <c r="B328" s="546" t="s">
        <v>130</v>
      </c>
      <c r="C328" s="549" t="s">
        <v>122</v>
      </c>
      <c r="D328" s="512">
        <f>HLOOKUP($J$1,$E$12:$I332,317,FALSE)</f>
        <v>3</v>
      </c>
      <c r="E328" s="512">
        <v>3</v>
      </c>
      <c r="F328" s="512">
        <v>3</v>
      </c>
      <c r="G328" s="512">
        <v>3</v>
      </c>
      <c r="H328" s="512">
        <v>3</v>
      </c>
      <c r="I328" s="512">
        <v>3</v>
      </c>
      <c r="J328" s="552" t="s">
        <v>334</v>
      </c>
      <c r="K328" s="90" t="s">
        <v>24</v>
      </c>
      <c r="L328" s="88" t="s">
        <v>4</v>
      </c>
      <c r="M328" s="88" t="s">
        <v>335</v>
      </c>
      <c r="N328" s="89">
        <v>1</v>
      </c>
      <c r="O328" s="555"/>
      <c r="P328" s="558" t="e">
        <f>'#1 - 메인 UI'!#REF!</f>
        <v>#REF!</v>
      </c>
      <c r="Q328" s="515" t="e">
        <f>'#1 - 메인 UI'!#REF!</f>
        <v>#REF!</v>
      </c>
      <c r="R328" s="518">
        <f t="shared" si="112"/>
        <v>3</v>
      </c>
      <c r="S328" s="563">
        <f t="shared" ref="S328" si="125">IFERROR(VLOOKUP(Q328,L328:N332,3,FALSE),0)</f>
        <v>0</v>
      </c>
      <c r="T328" s="506">
        <f>IFERROR(+R328*S328,0)</f>
        <v>0</v>
      </c>
      <c r="U328" s="564">
        <f t="shared" ref="U328" si="126">ROUND((T328/$D$334)*$J$334,4)</f>
        <v>0</v>
      </c>
      <c r="V328" s="123"/>
      <c r="W328" s="124"/>
      <c r="X328" s="52"/>
      <c r="Y328" s="44"/>
      <c r="Z328" s="44"/>
      <c r="AA328" s="2"/>
      <c r="AB328" s="44"/>
      <c r="AC328" s="44"/>
      <c r="AD328" s="44"/>
      <c r="AE328" s="44"/>
      <c r="AF328" s="48"/>
    </row>
    <row r="329" spans="2:34" ht="19.899999999999999" customHeight="1">
      <c r="B329" s="547"/>
      <c r="C329" s="550"/>
      <c r="D329" s="513"/>
      <c r="E329" s="513"/>
      <c r="F329" s="513"/>
      <c r="G329" s="513"/>
      <c r="H329" s="513"/>
      <c r="I329" s="513"/>
      <c r="J329" s="553"/>
      <c r="K329" s="91" t="s">
        <v>214</v>
      </c>
      <c r="L329" s="14" t="s">
        <v>5</v>
      </c>
      <c r="M329" s="14" t="s">
        <v>336</v>
      </c>
      <c r="N329" s="5">
        <v>0.7</v>
      </c>
      <c r="O329" s="556"/>
      <c r="P329" s="559"/>
      <c r="Q329" s="516"/>
      <c r="R329" s="519"/>
      <c r="S329" s="563"/>
      <c r="T329" s="507"/>
      <c r="U329" s="565"/>
      <c r="V329" s="123"/>
      <c r="W329" s="124"/>
      <c r="X329" s="52"/>
      <c r="Y329" s="44"/>
      <c r="Z329" s="44"/>
      <c r="AA329" s="2"/>
      <c r="AB329" s="44"/>
      <c r="AC329" s="44"/>
      <c r="AD329" s="44"/>
      <c r="AE329" s="44"/>
      <c r="AF329" s="48"/>
    </row>
    <row r="330" spans="2:34" ht="19.899999999999999" customHeight="1">
      <c r="B330" s="547"/>
      <c r="C330" s="550"/>
      <c r="D330" s="513"/>
      <c r="E330" s="513"/>
      <c r="F330" s="513"/>
      <c r="G330" s="513"/>
      <c r="H330" s="513"/>
      <c r="I330" s="513"/>
      <c r="J330" s="553"/>
      <c r="K330" s="91" t="s">
        <v>214</v>
      </c>
      <c r="L330" s="14" t="s">
        <v>6</v>
      </c>
      <c r="M330" s="14" t="s">
        <v>337</v>
      </c>
      <c r="N330" s="5">
        <v>0.4</v>
      </c>
      <c r="O330" s="556"/>
      <c r="P330" s="559"/>
      <c r="Q330" s="516"/>
      <c r="R330" s="519"/>
      <c r="S330" s="563"/>
      <c r="T330" s="507"/>
      <c r="U330" s="565"/>
      <c r="V330" s="125"/>
      <c r="W330" s="126"/>
      <c r="X330" s="52"/>
      <c r="Y330" s="44"/>
      <c r="Z330" s="44"/>
      <c r="AA330" s="2"/>
      <c r="AB330" s="44"/>
      <c r="AC330" s="44"/>
      <c r="AD330" s="44"/>
      <c r="AE330" s="44"/>
      <c r="AF330" s="45"/>
    </row>
    <row r="331" spans="2:34" ht="4.9000000000000004" customHeight="1">
      <c r="B331" s="547"/>
      <c r="C331" s="550"/>
      <c r="D331" s="513"/>
      <c r="E331" s="513"/>
      <c r="F331" s="513"/>
      <c r="G331" s="513"/>
      <c r="H331" s="513"/>
      <c r="I331" s="513"/>
      <c r="J331" s="553"/>
      <c r="K331" s="91"/>
      <c r="O331" s="556"/>
      <c r="P331" s="559"/>
      <c r="Q331" s="516"/>
      <c r="R331" s="519"/>
      <c r="S331" s="563"/>
      <c r="T331" s="507"/>
      <c r="U331" s="565"/>
      <c r="V331" s="125"/>
      <c r="W331" s="126"/>
      <c r="X331" s="52"/>
      <c r="Y331" s="44"/>
      <c r="Z331" s="44"/>
      <c r="AA331" s="2"/>
      <c r="AB331" s="44"/>
      <c r="AC331" s="44"/>
      <c r="AD331" s="44"/>
      <c r="AE331" s="44"/>
      <c r="AF331" s="45"/>
    </row>
    <row r="332" spans="2:34" ht="4.9000000000000004" customHeight="1">
      <c r="B332" s="548"/>
      <c r="C332" s="551"/>
      <c r="D332" s="514"/>
      <c r="E332" s="514"/>
      <c r="F332" s="514"/>
      <c r="G332" s="514"/>
      <c r="H332" s="514"/>
      <c r="I332" s="514"/>
      <c r="J332" s="554"/>
      <c r="K332" s="92"/>
      <c r="L332" s="42"/>
      <c r="M332" s="42"/>
      <c r="N332" s="41"/>
      <c r="O332" s="557"/>
      <c r="P332" s="560"/>
      <c r="Q332" s="517"/>
      <c r="R332" s="520"/>
      <c r="S332" s="563"/>
      <c r="T332" s="508"/>
      <c r="U332" s="566"/>
      <c r="V332" s="125"/>
      <c r="W332" s="126"/>
      <c r="X332" s="52"/>
      <c r="Y332" s="44"/>
      <c r="Z332" s="44"/>
      <c r="AA332" s="2"/>
      <c r="AB332" s="56"/>
      <c r="AC332" s="56"/>
      <c r="AD332" s="56"/>
      <c r="AE332" s="56"/>
      <c r="AF332" s="45"/>
    </row>
    <row r="333" spans="2:34" ht="4.9000000000000004" customHeight="1">
      <c r="B333" s="81"/>
      <c r="C333" s="82"/>
      <c r="D333" s="83"/>
      <c r="E333" s="83"/>
      <c r="F333" s="83"/>
      <c r="G333" s="83"/>
      <c r="H333" s="83"/>
      <c r="I333" s="83"/>
      <c r="J333" s="84"/>
      <c r="K333" s="3"/>
      <c r="O333" s="68"/>
      <c r="P333" s="196"/>
      <c r="Q333" s="85"/>
      <c r="R333" s="85"/>
      <c r="S333" s="85"/>
      <c r="T333" s="86"/>
      <c r="U333" s="86"/>
      <c r="V333" s="125"/>
      <c r="W333" s="126"/>
      <c r="X333" s="52"/>
      <c r="Y333" s="44"/>
      <c r="Z333" s="44"/>
      <c r="AA333" s="2"/>
      <c r="AB333" s="43"/>
      <c r="AC333" s="43"/>
      <c r="AD333" s="43"/>
      <c r="AE333" s="43"/>
      <c r="AF333" s="45"/>
    </row>
    <row r="334" spans="2:34" ht="25.35" customHeight="1">
      <c r="B334" s="561" t="s">
        <v>52</v>
      </c>
      <c r="C334" s="561"/>
      <c r="D334" s="73">
        <f t="shared" ref="D334:I334" si="127">SUM(D293:D332)</f>
        <v>14</v>
      </c>
      <c r="E334" s="73">
        <f t="shared" si="127"/>
        <v>14</v>
      </c>
      <c r="F334" s="73">
        <f t="shared" si="127"/>
        <v>14</v>
      </c>
      <c r="G334" s="73">
        <f t="shared" si="127"/>
        <v>15</v>
      </c>
      <c r="H334" s="73">
        <f t="shared" si="127"/>
        <v>14</v>
      </c>
      <c r="I334" s="73">
        <f t="shared" si="127"/>
        <v>14</v>
      </c>
      <c r="J334" s="110">
        <f>D334</f>
        <v>14</v>
      </c>
      <c r="K334" s="72"/>
      <c r="L334" s="75"/>
      <c r="M334" s="76"/>
      <c r="N334" s="77"/>
      <c r="O334" s="74"/>
      <c r="P334" s="197"/>
      <c r="Q334" s="80"/>
      <c r="R334" s="79"/>
      <c r="S334" s="80"/>
      <c r="T334" s="118">
        <f>ROUND(SUM(T283:T332),2)</f>
        <v>0</v>
      </c>
      <c r="U334" s="115">
        <f>ROUND(SUM(U283:U332),2)</f>
        <v>0</v>
      </c>
      <c r="V334" s="121"/>
      <c r="W334" s="122"/>
      <c r="X334" s="95"/>
      <c r="Y334" s="97"/>
      <c r="Z334" s="78"/>
      <c r="AA334" s="78"/>
      <c r="AB334" s="78"/>
      <c r="AC334" s="78"/>
      <c r="AD334" s="78"/>
      <c r="AE334" s="78"/>
    </row>
    <row r="335" spans="2:34" ht="10.15" customHeight="1">
      <c r="B335" s="151"/>
      <c r="C335" s="151"/>
      <c r="D335" s="152"/>
      <c r="E335" s="152"/>
      <c r="F335" s="152"/>
      <c r="G335" s="152"/>
      <c r="H335" s="152"/>
      <c r="I335" s="152"/>
      <c r="J335" s="153"/>
      <c r="K335" s="151"/>
      <c r="L335" s="154"/>
      <c r="M335" s="137"/>
      <c r="N335" s="155"/>
      <c r="O335" s="138"/>
      <c r="P335" s="200"/>
      <c r="Q335" s="156"/>
      <c r="R335" s="157"/>
      <c r="S335" s="156"/>
      <c r="T335" s="158"/>
      <c r="U335" s="159"/>
      <c r="V335" s="121"/>
      <c r="W335" s="122"/>
      <c r="X335" s="148"/>
      <c r="Y335" s="149"/>
      <c r="Z335" s="150"/>
      <c r="AA335" s="150"/>
      <c r="AB335" s="150"/>
      <c r="AC335" s="150"/>
      <c r="AD335" s="150"/>
      <c r="AE335" s="150"/>
      <c r="AG335" s="129"/>
      <c r="AH335" s="129"/>
    </row>
    <row r="336" spans="2:34" ht="25.35" customHeight="1">
      <c r="B336" s="139"/>
      <c r="C336" s="139"/>
      <c r="D336" s="140"/>
      <c r="E336" s="140"/>
      <c r="F336" s="140"/>
      <c r="G336" s="140"/>
      <c r="H336" s="140"/>
      <c r="I336" s="140"/>
      <c r="J336" s="141"/>
      <c r="K336" s="139"/>
      <c r="L336" s="142"/>
      <c r="M336" s="143"/>
      <c r="N336" s="144"/>
      <c r="O336" s="145"/>
      <c r="P336" s="201"/>
      <c r="Q336" s="146"/>
      <c r="R336" s="146"/>
      <c r="S336" s="146"/>
      <c r="T336" s="147" t="s">
        <v>454</v>
      </c>
      <c r="U336" s="184">
        <f>SUM(U50,U97,U134,U161,U188,U220,U277,U334)</f>
        <v>17.55</v>
      </c>
      <c r="V336" s="121"/>
      <c r="W336" s="122"/>
      <c r="X336" s="588" t="s">
        <v>462</v>
      </c>
      <c r="Y336" s="588"/>
      <c r="Z336" s="588"/>
      <c r="AA336" s="588"/>
      <c r="AB336" s="588"/>
      <c r="AC336" s="588"/>
      <c r="AD336" s="588"/>
      <c r="AE336" s="588"/>
      <c r="AG336" s="129"/>
      <c r="AH336" s="129"/>
    </row>
    <row r="337" spans="2:34" ht="30" customHeight="1">
      <c r="B337" s="493" t="s">
        <v>449</v>
      </c>
      <c r="C337" s="493"/>
      <c r="D337" s="493"/>
      <c r="E337" s="493"/>
      <c r="F337" s="493"/>
      <c r="G337" s="493"/>
      <c r="H337" s="493"/>
      <c r="I337" s="493"/>
      <c r="J337" s="493"/>
      <c r="K337" s="493"/>
      <c r="L337" s="493"/>
      <c r="M337" s="493"/>
      <c r="N337" s="493"/>
      <c r="O337" s="493"/>
      <c r="P337" s="202" t="e">
        <f>'복합건축물 배점표'!C8</f>
        <v>#REF!</v>
      </c>
      <c r="Q337" s="494" t="e">
        <f>'복합건축물 배점표'!E8</f>
        <v>#REF!</v>
      </c>
      <c r="R337" s="494"/>
      <c r="S337" s="494"/>
      <c r="T337" s="494"/>
      <c r="U337" s="494"/>
      <c r="V337" s="121"/>
      <c r="W337" s="122"/>
      <c r="X337" s="181"/>
      <c r="Y337" s="182"/>
      <c r="Z337" s="183"/>
      <c r="AA337" s="183"/>
      <c r="AB337" s="183"/>
      <c r="AC337" s="183"/>
      <c r="AD337" s="183"/>
      <c r="AE337" s="183"/>
      <c r="AG337" s="129"/>
      <c r="AH337" s="129"/>
    </row>
    <row r="338" spans="2:34" ht="30" customHeight="1">
      <c r="B338" s="160"/>
      <c r="C338" s="160"/>
      <c r="D338" s="160"/>
      <c r="E338" s="160"/>
      <c r="F338" s="160"/>
      <c r="G338" s="160"/>
      <c r="H338" s="160"/>
      <c r="I338" s="160"/>
      <c r="J338" s="160"/>
      <c r="K338" s="160"/>
      <c r="L338" s="160"/>
      <c r="M338" s="160"/>
      <c r="N338" s="160"/>
      <c r="O338" s="160"/>
      <c r="P338" s="203"/>
      <c r="Q338" s="161"/>
      <c r="R338" s="161"/>
      <c r="S338" s="161"/>
      <c r="T338" s="161"/>
      <c r="U338" s="161"/>
      <c r="X338" s="148"/>
      <c r="Y338" s="149"/>
      <c r="Z338" s="150"/>
      <c r="AA338" s="150"/>
      <c r="AB338" s="150"/>
      <c r="AC338" s="150"/>
      <c r="AD338" s="150"/>
      <c r="AE338" s="150"/>
      <c r="AG338" s="129"/>
      <c r="AH338" s="129"/>
    </row>
    <row r="339" spans="2:34" ht="30" customHeight="1">
      <c r="B339" s="160"/>
      <c r="C339" s="160"/>
      <c r="D339" s="160"/>
      <c r="E339" s="160"/>
      <c r="F339" s="160"/>
      <c r="G339" s="160"/>
      <c r="H339" s="160"/>
      <c r="I339" s="160"/>
      <c r="J339" s="160"/>
      <c r="K339" s="160"/>
      <c r="L339" s="160"/>
      <c r="M339" s="160"/>
      <c r="N339" s="160"/>
      <c r="O339" s="160"/>
      <c r="P339" s="203"/>
      <c r="Q339" s="161"/>
      <c r="R339" s="161"/>
      <c r="S339" s="161"/>
      <c r="T339" s="161"/>
      <c r="U339" s="161"/>
      <c r="X339" s="148"/>
      <c r="Y339" s="149"/>
      <c r="Z339" s="150"/>
      <c r="AA339" s="150"/>
      <c r="AB339" s="150"/>
      <c r="AC339" s="150"/>
      <c r="AD339" s="150"/>
      <c r="AE339" s="150"/>
      <c r="AG339" s="129"/>
      <c r="AH339" s="129"/>
    </row>
    <row r="340" spans="2:34" ht="30" customHeight="1">
      <c r="B340" s="160"/>
      <c r="C340" s="160"/>
      <c r="D340" s="160"/>
      <c r="E340" s="160"/>
      <c r="F340" s="160"/>
      <c r="G340" s="160"/>
      <c r="H340" s="160"/>
      <c r="I340" s="160"/>
      <c r="J340" s="160"/>
      <c r="K340" s="160"/>
      <c r="L340" s="160"/>
      <c r="M340" s="160"/>
      <c r="N340" s="160"/>
      <c r="O340" s="160"/>
      <c r="P340" s="203"/>
      <c r="Q340" s="161"/>
      <c r="R340" s="161"/>
      <c r="S340" s="161"/>
      <c r="T340" s="161"/>
      <c r="U340" s="161"/>
      <c r="X340" s="148"/>
      <c r="Y340" s="149"/>
      <c r="Z340" s="150"/>
      <c r="AA340" s="150"/>
      <c r="AB340" s="150"/>
      <c r="AC340" s="150"/>
      <c r="AD340" s="150"/>
      <c r="AE340" s="150"/>
      <c r="AG340" s="129"/>
      <c r="AH340" s="129"/>
    </row>
    <row r="341" spans="2:34" ht="30" customHeight="1" thickBot="1">
      <c r="B341" s="160"/>
      <c r="C341" s="160"/>
      <c r="D341" s="160"/>
      <c r="E341" s="160"/>
      <c r="F341" s="160"/>
      <c r="G341" s="160"/>
      <c r="H341" s="160"/>
      <c r="I341" s="160"/>
      <c r="J341" s="160"/>
      <c r="K341" s="160"/>
      <c r="L341" s="160"/>
      <c r="M341" s="160"/>
      <c r="N341" s="160"/>
      <c r="O341" s="160"/>
      <c r="P341" s="203"/>
      <c r="Q341" s="161"/>
      <c r="R341" s="161"/>
      <c r="S341" s="161"/>
      <c r="T341" s="161"/>
      <c r="U341" s="161"/>
      <c r="X341" s="148"/>
      <c r="Y341" s="149"/>
      <c r="Z341" s="150"/>
      <c r="AA341" s="150"/>
      <c r="AB341" s="150"/>
      <c r="AC341" s="150"/>
      <c r="AD341" s="150"/>
      <c r="AE341" s="150"/>
      <c r="AG341" s="129"/>
      <c r="AH341" s="129"/>
    </row>
    <row r="342" spans="2:34" s="163" customFormat="1">
      <c r="B342" s="162"/>
      <c r="D342" s="120"/>
      <c r="E342" s="120"/>
      <c r="F342" s="120"/>
      <c r="G342" s="120"/>
      <c r="H342" s="120"/>
      <c r="I342" s="120"/>
      <c r="J342" s="120"/>
      <c r="L342" s="164"/>
      <c r="M342" s="164"/>
      <c r="N342" s="165"/>
      <c r="O342" s="120"/>
      <c r="P342" s="204"/>
      <c r="Q342" s="165"/>
      <c r="R342" s="165"/>
      <c r="S342" s="165"/>
      <c r="X342" s="167"/>
      <c r="Y342" s="166"/>
      <c r="Z342" s="168" t="s">
        <v>424</v>
      </c>
      <c r="AA342" s="166" t="e">
        <f>SUM(AA12:AA334)</f>
        <v>#REF!</v>
      </c>
      <c r="AB342" s="166">
        <f>COUNTA(AA12:AA334)</f>
        <v>42</v>
      </c>
      <c r="AC342" s="166"/>
      <c r="AD342" s="166"/>
      <c r="AE342" s="166" t="e">
        <f>AA342/AB342</f>
        <v>#REF!</v>
      </c>
      <c r="AF342" s="166"/>
    </row>
    <row r="344" spans="2:34" ht="16.5">
      <c r="X344" s="95" t="s">
        <v>340</v>
      </c>
      <c r="Y344" s="80">
        <f>SUM(U50,U97,U134,U161,U188,U220,U277,U334)</f>
        <v>17.55</v>
      </c>
      <c r="Z344" s="78"/>
      <c r="AA344" s="78"/>
      <c r="AB344" s="78"/>
    </row>
    <row r="345" spans="2:34" ht="16.5">
      <c r="X345" s="95" t="s">
        <v>136</v>
      </c>
      <c r="Y345" s="96" t="str">
        <f>VLOOKUP(Y344,X350:Y354,2,TRUE)</f>
        <v>-</v>
      </c>
      <c r="Z345" s="78"/>
      <c r="AA345" s="78"/>
      <c r="AB345" s="78"/>
    </row>
    <row r="346" spans="2:34">
      <c r="X346" s="2"/>
    </row>
    <row r="349" spans="2:34">
      <c r="Q349" s="94" t="s">
        <v>339</v>
      </c>
      <c r="X349" s="94" t="s">
        <v>345</v>
      </c>
    </row>
    <row r="350" spans="2:34">
      <c r="Q350" s="93" t="s">
        <v>4</v>
      </c>
      <c r="X350" s="98">
        <v>0</v>
      </c>
      <c r="Y350" s="93" t="s">
        <v>338</v>
      </c>
    </row>
    <row r="351" spans="2:34">
      <c r="Q351" s="93" t="s">
        <v>5</v>
      </c>
      <c r="X351" s="98">
        <v>50</v>
      </c>
      <c r="Y351" s="93" t="s">
        <v>344</v>
      </c>
    </row>
    <row r="352" spans="2:34">
      <c r="J352" s="14"/>
      <c r="K352" s="14"/>
      <c r="N352" s="14"/>
      <c r="Q352" s="93" t="s">
        <v>6</v>
      </c>
      <c r="X352" s="98">
        <v>60</v>
      </c>
      <c r="Y352" s="93" t="s">
        <v>343</v>
      </c>
    </row>
    <row r="353" spans="10:25">
      <c r="J353" s="14"/>
      <c r="K353" s="14"/>
      <c r="N353" s="14"/>
      <c r="Q353" s="93" t="s">
        <v>7</v>
      </c>
      <c r="X353" s="98">
        <v>70</v>
      </c>
      <c r="Y353" s="93" t="s">
        <v>342</v>
      </c>
    </row>
    <row r="354" spans="10:25">
      <c r="J354" s="14"/>
      <c r="K354" s="14"/>
      <c r="N354" s="14"/>
      <c r="Q354" s="93" t="s">
        <v>308</v>
      </c>
      <c r="X354" s="98">
        <v>80</v>
      </c>
      <c r="Y354" s="93" t="s">
        <v>341</v>
      </c>
    </row>
    <row r="355" spans="10:25">
      <c r="J355" s="14"/>
      <c r="K355" s="14"/>
      <c r="N355" s="14"/>
      <c r="Q355" s="93" t="s">
        <v>338</v>
      </c>
    </row>
  </sheetData>
  <mergeCells count="958">
    <mergeCell ref="X336:AE336"/>
    <mergeCell ref="R328:R332"/>
    <mergeCell ref="S328:S332"/>
    <mergeCell ref="U328:U332"/>
    <mergeCell ref="B334:C334"/>
    <mergeCell ref="P241:P245"/>
    <mergeCell ref="H328:H332"/>
    <mergeCell ref="I328:I332"/>
    <mergeCell ref="J328:J332"/>
    <mergeCell ref="O328:O332"/>
    <mergeCell ref="P328:P332"/>
    <mergeCell ref="Q328:Q332"/>
    <mergeCell ref="B328:B332"/>
    <mergeCell ref="C328:C332"/>
    <mergeCell ref="D328:D332"/>
    <mergeCell ref="E328:E332"/>
    <mergeCell ref="F328:F332"/>
    <mergeCell ref="G328:G332"/>
    <mergeCell ref="O323:O327"/>
    <mergeCell ref="P323:P327"/>
    <mergeCell ref="Q323:Q327"/>
    <mergeCell ref="R323:R327"/>
    <mergeCell ref="S323:S327"/>
    <mergeCell ref="U323:U327"/>
    <mergeCell ref="B323:B327"/>
    <mergeCell ref="C323:C327"/>
    <mergeCell ref="D323:D327"/>
    <mergeCell ref="E323:E327"/>
    <mergeCell ref="F323:F327"/>
    <mergeCell ref="G323:G327"/>
    <mergeCell ref="H323:H327"/>
    <mergeCell ref="I323:I327"/>
    <mergeCell ref="J323:J327"/>
    <mergeCell ref="U313:U317"/>
    <mergeCell ref="B318:B322"/>
    <mergeCell ref="C318:C322"/>
    <mergeCell ref="D318:D322"/>
    <mergeCell ref="E318:E322"/>
    <mergeCell ref="F318:F322"/>
    <mergeCell ref="G318:G322"/>
    <mergeCell ref="H318:H322"/>
    <mergeCell ref="I318:I322"/>
    <mergeCell ref="I313:I317"/>
    <mergeCell ref="J313:J317"/>
    <mergeCell ref="O313:O317"/>
    <mergeCell ref="P313:P317"/>
    <mergeCell ref="Q313:Q317"/>
    <mergeCell ref="R313:R317"/>
    <mergeCell ref="T318:T322"/>
    <mergeCell ref="U318:U322"/>
    <mergeCell ref="J318:J322"/>
    <mergeCell ref="O318:O322"/>
    <mergeCell ref="P318:P322"/>
    <mergeCell ref="Q318:Q322"/>
    <mergeCell ref="R318:R322"/>
    <mergeCell ref="S318:S322"/>
    <mergeCell ref="R308:R312"/>
    <mergeCell ref="S308:S312"/>
    <mergeCell ref="U308:U312"/>
    <mergeCell ref="B313:B317"/>
    <mergeCell ref="C313:C317"/>
    <mergeCell ref="D313:D317"/>
    <mergeCell ref="E313:E317"/>
    <mergeCell ref="F313:F317"/>
    <mergeCell ref="G313:G317"/>
    <mergeCell ref="H313:H317"/>
    <mergeCell ref="H308:H312"/>
    <mergeCell ref="I308:I312"/>
    <mergeCell ref="J308:J312"/>
    <mergeCell ref="O308:O312"/>
    <mergeCell ref="P308:P312"/>
    <mergeCell ref="Q308:Q312"/>
    <mergeCell ref="B308:B312"/>
    <mergeCell ref="C308:C312"/>
    <mergeCell ref="D308:D312"/>
    <mergeCell ref="E308:E312"/>
    <mergeCell ref="F308:F312"/>
    <mergeCell ref="G308:G312"/>
    <mergeCell ref="T313:T317"/>
    <mergeCell ref="S313:S317"/>
    <mergeCell ref="O303:O307"/>
    <mergeCell ref="P303:P307"/>
    <mergeCell ref="Q303:Q307"/>
    <mergeCell ref="R303:R307"/>
    <mergeCell ref="S303:S307"/>
    <mergeCell ref="U303:U307"/>
    <mergeCell ref="U298:U302"/>
    <mergeCell ref="B303:B307"/>
    <mergeCell ref="C303:C307"/>
    <mergeCell ref="D303:D307"/>
    <mergeCell ref="E303:E307"/>
    <mergeCell ref="F303:F307"/>
    <mergeCell ref="G303:G307"/>
    <mergeCell ref="H303:H307"/>
    <mergeCell ref="I303:I307"/>
    <mergeCell ref="J303:J307"/>
    <mergeCell ref="J298:J302"/>
    <mergeCell ref="O298:O302"/>
    <mergeCell ref="P298:P302"/>
    <mergeCell ref="Q298:Q302"/>
    <mergeCell ref="R298:R302"/>
    <mergeCell ref="S298:S302"/>
    <mergeCell ref="B298:B302"/>
    <mergeCell ref="C298:C302"/>
    <mergeCell ref="D298:D302"/>
    <mergeCell ref="E298:E302"/>
    <mergeCell ref="F298:F302"/>
    <mergeCell ref="G298:G302"/>
    <mergeCell ref="H298:H302"/>
    <mergeCell ref="I298:I302"/>
    <mergeCell ref="I293:I297"/>
    <mergeCell ref="R288:R292"/>
    <mergeCell ref="S288:S292"/>
    <mergeCell ref="E288:E292"/>
    <mergeCell ref="F288:F292"/>
    <mergeCell ref="G288:G292"/>
    <mergeCell ref="U288:U292"/>
    <mergeCell ref="B293:B297"/>
    <mergeCell ref="C293:C297"/>
    <mergeCell ref="D293:D297"/>
    <mergeCell ref="E293:E297"/>
    <mergeCell ref="F293:F297"/>
    <mergeCell ref="G293:G297"/>
    <mergeCell ref="H293:H297"/>
    <mergeCell ref="H288:H292"/>
    <mergeCell ref="I288:I292"/>
    <mergeCell ref="J288:J292"/>
    <mergeCell ref="O288:O292"/>
    <mergeCell ref="P288:P292"/>
    <mergeCell ref="Q288:Q292"/>
    <mergeCell ref="S293:S297"/>
    <mergeCell ref="U293:U297"/>
    <mergeCell ref="J293:J297"/>
    <mergeCell ref="O293:O297"/>
    <mergeCell ref="P293:P297"/>
    <mergeCell ref="Q293:Q297"/>
    <mergeCell ref="R293:R297"/>
    <mergeCell ref="B288:B292"/>
    <mergeCell ref="C288:C292"/>
    <mergeCell ref="D288:D292"/>
    <mergeCell ref="G283:G287"/>
    <mergeCell ref="H283:H287"/>
    <mergeCell ref="I283:I287"/>
    <mergeCell ref="B281:C281"/>
    <mergeCell ref="K281:N281"/>
    <mergeCell ref="O281:P281"/>
    <mergeCell ref="X281:Z281"/>
    <mergeCell ref="AB281:AE281"/>
    <mergeCell ref="B283:B287"/>
    <mergeCell ref="C283:C287"/>
    <mergeCell ref="D283:D287"/>
    <mergeCell ref="E283:E287"/>
    <mergeCell ref="F283:F287"/>
    <mergeCell ref="Q283:Q287"/>
    <mergeCell ref="R283:R287"/>
    <mergeCell ref="S283:S287"/>
    <mergeCell ref="U283:U287"/>
    <mergeCell ref="J283:J287"/>
    <mergeCell ref="O283:O287"/>
    <mergeCell ref="P283:P287"/>
    <mergeCell ref="F266:F270"/>
    <mergeCell ref="G266:G270"/>
    <mergeCell ref="U271:U275"/>
    <mergeCell ref="B277:C277"/>
    <mergeCell ref="O279:P279"/>
    <mergeCell ref="X279:Y279"/>
    <mergeCell ref="O280:P280"/>
    <mergeCell ref="X280:Y280"/>
    <mergeCell ref="J271:J275"/>
    <mergeCell ref="O271:O275"/>
    <mergeCell ref="P271:P275"/>
    <mergeCell ref="Q271:Q275"/>
    <mergeCell ref="R271:R275"/>
    <mergeCell ref="S271:S275"/>
    <mergeCell ref="D256:D260"/>
    <mergeCell ref="E256:E260"/>
    <mergeCell ref="F256:F260"/>
    <mergeCell ref="G256:G260"/>
    <mergeCell ref="S266:S270"/>
    <mergeCell ref="U266:U270"/>
    <mergeCell ref="B271:B275"/>
    <mergeCell ref="C271:C275"/>
    <mergeCell ref="D271:D275"/>
    <mergeCell ref="E271:E275"/>
    <mergeCell ref="F271:F275"/>
    <mergeCell ref="G271:G275"/>
    <mergeCell ref="H271:H275"/>
    <mergeCell ref="I271:I275"/>
    <mergeCell ref="H266:H270"/>
    <mergeCell ref="I266:I270"/>
    <mergeCell ref="J266:J270"/>
    <mergeCell ref="O266:O270"/>
    <mergeCell ref="Q266:Q270"/>
    <mergeCell ref="R266:R270"/>
    <mergeCell ref="B266:B270"/>
    <mergeCell ref="C266:C270"/>
    <mergeCell ref="D266:D270"/>
    <mergeCell ref="E266:E270"/>
    <mergeCell ref="O261:O265"/>
    <mergeCell ref="P261:P265"/>
    <mergeCell ref="Q261:Q265"/>
    <mergeCell ref="R261:R265"/>
    <mergeCell ref="S261:S265"/>
    <mergeCell ref="U261:U265"/>
    <mergeCell ref="U256:U260"/>
    <mergeCell ref="B261:B265"/>
    <mergeCell ref="C261:C265"/>
    <mergeCell ref="D261:D265"/>
    <mergeCell ref="E261:E265"/>
    <mergeCell ref="F261:F265"/>
    <mergeCell ref="G261:G265"/>
    <mergeCell ref="H261:H265"/>
    <mergeCell ref="I261:I265"/>
    <mergeCell ref="J261:J265"/>
    <mergeCell ref="J256:J260"/>
    <mergeCell ref="O256:O260"/>
    <mergeCell ref="P256:P260"/>
    <mergeCell ref="Q256:Q260"/>
    <mergeCell ref="R256:R260"/>
    <mergeCell ref="S256:S260"/>
    <mergeCell ref="B256:B260"/>
    <mergeCell ref="C256:C260"/>
    <mergeCell ref="H256:H260"/>
    <mergeCell ref="I256:I260"/>
    <mergeCell ref="I251:I255"/>
    <mergeCell ref="R246:R250"/>
    <mergeCell ref="S246:S250"/>
    <mergeCell ref="U246:U250"/>
    <mergeCell ref="B251:B255"/>
    <mergeCell ref="C251:C255"/>
    <mergeCell ref="D251:D255"/>
    <mergeCell ref="E251:E255"/>
    <mergeCell ref="F251:F255"/>
    <mergeCell ref="G251:G255"/>
    <mergeCell ref="H251:H255"/>
    <mergeCell ref="H246:H250"/>
    <mergeCell ref="I246:I250"/>
    <mergeCell ref="J246:J250"/>
    <mergeCell ref="O246:O250"/>
    <mergeCell ref="P246:P250"/>
    <mergeCell ref="Q246:Q250"/>
    <mergeCell ref="B246:B250"/>
    <mergeCell ref="C246:C250"/>
    <mergeCell ref="D246:D250"/>
    <mergeCell ref="E246:E250"/>
    <mergeCell ref="F246:F250"/>
    <mergeCell ref="J236:J240"/>
    <mergeCell ref="O236:O240"/>
    <mergeCell ref="P236:P240"/>
    <mergeCell ref="Q236:Q240"/>
    <mergeCell ref="R236:R240"/>
    <mergeCell ref="G246:G250"/>
    <mergeCell ref="S251:S255"/>
    <mergeCell ref="U251:U255"/>
    <mergeCell ref="J241:J245"/>
    <mergeCell ref="O241:O245"/>
    <mergeCell ref="Q241:Q245"/>
    <mergeCell ref="R241:R245"/>
    <mergeCell ref="S241:S245"/>
    <mergeCell ref="U241:U245"/>
    <mergeCell ref="J251:J255"/>
    <mergeCell ref="O251:O255"/>
    <mergeCell ref="P251:P255"/>
    <mergeCell ref="Q251:Q255"/>
    <mergeCell ref="R251:R255"/>
    <mergeCell ref="T241:T245"/>
    <mergeCell ref="T246:T250"/>
    <mergeCell ref="T251:T255"/>
    <mergeCell ref="B241:B245"/>
    <mergeCell ref="C241:C245"/>
    <mergeCell ref="D241:D245"/>
    <mergeCell ref="E241:E245"/>
    <mergeCell ref="F241:F245"/>
    <mergeCell ref="G241:G245"/>
    <mergeCell ref="H241:H245"/>
    <mergeCell ref="I241:I245"/>
    <mergeCell ref="I236:I240"/>
    <mergeCell ref="R231:R235"/>
    <mergeCell ref="S231:S235"/>
    <mergeCell ref="U231:U235"/>
    <mergeCell ref="B236:B240"/>
    <mergeCell ref="C236:C240"/>
    <mergeCell ref="D236:D240"/>
    <mergeCell ref="E236:E240"/>
    <mergeCell ref="F236:F240"/>
    <mergeCell ref="G236:G240"/>
    <mergeCell ref="H236:H240"/>
    <mergeCell ref="H231:H235"/>
    <mergeCell ref="I231:I235"/>
    <mergeCell ref="J231:J235"/>
    <mergeCell ref="O231:O235"/>
    <mergeCell ref="P231:P235"/>
    <mergeCell ref="Q231:Q235"/>
    <mergeCell ref="B231:B235"/>
    <mergeCell ref="C231:C235"/>
    <mergeCell ref="D231:D235"/>
    <mergeCell ref="E231:E235"/>
    <mergeCell ref="F231:F235"/>
    <mergeCell ref="G231:G235"/>
    <mergeCell ref="S236:S240"/>
    <mergeCell ref="U236:U240"/>
    <mergeCell ref="O226:O230"/>
    <mergeCell ref="P226:P230"/>
    <mergeCell ref="Q226:Q230"/>
    <mergeCell ref="R226:R230"/>
    <mergeCell ref="S226:S230"/>
    <mergeCell ref="U226:U230"/>
    <mergeCell ref="AB224:AE224"/>
    <mergeCell ref="B226:B230"/>
    <mergeCell ref="C226:C230"/>
    <mergeCell ref="D226:D230"/>
    <mergeCell ref="E226:E230"/>
    <mergeCell ref="F226:F230"/>
    <mergeCell ref="G226:G230"/>
    <mergeCell ref="H226:H230"/>
    <mergeCell ref="I226:I230"/>
    <mergeCell ref="J226:J230"/>
    <mergeCell ref="L226:M230"/>
    <mergeCell ref="N226:N230"/>
    <mergeCell ref="B220:C220"/>
    <mergeCell ref="O222:P222"/>
    <mergeCell ref="X222:Y222"/>
    <mergeCell ref="O223:P223"/>
    <mergeCell ref="X223:Y223"/>
    <mergeCell ref="B224:C224"/>
    <mergeCell ref="K224:N224"/>
    <mergeCell ref="O224:P224"/>
    <mergeCell ref="X224:Z224"/>
    <mergeCell ref="J214:J218"/>
    <mergeCell ref="O214:O218"/>
    <mergeCell ref="Q214:Q218"/>
    <mergeCell ref="R214:R218"/>
    <mergeCell ref="S214:S218"/>
    <mergeCell ref="U214:U218"/>
    <mergeCell ref="S209:S213"/>
    <mergeCell ref="U209:U213"/>
    <mergeCell ref="B214:B218"/>
    <mergeCell ref="C214:C218"/>
    <mergeCell ref="D214:D218"/>
    <mergeCell ref="E214:E218"/>
    <mergeCell ref="F214:F218"/>
    <mergeCell ref="G214:G218"/>
    <mergeCell ref="H214:H218"/>
    <mergeCell ref="I214:I218"/>
    <mergeCell ref="I209:I213"/>
    <mergeCell ref="J209:J213"/>
    <mergeCell ref="O209:O213"/>
    <mergeCell ref="P209:P213"/>
    <mergeCell ref="Q209:Q213"/>
    <mergeCell ref="R209:R213"/>
    <mergeCell ref="B209:B213"/>
    <mergeCell ref="C209:C213"/>
    <mergeCell ref="D209:D213"/>
    <mergeCell ref="E209:E213"/>
    <mergeCell ref="F209:F213"/>
    <mergeCell ref="G209:G213"/>
    <mergeCell ref="H209:H213"/>
    <mergeCell ref="H204:H208"/>
    <mergeCell ref="I204:I208"/>
    <mergeCell ref="B204:B208"/>
    <mergeCell ref="C204:C208"/>
    <mergeCell ref="D204:D208"/>
    <mergeCell ref="E204:E208"/>
    <mergeCell ref="F204:F208"/>
    <mergeCell ref="G204:G208"/>
    <mergeCell ref="B199:B203"/>
    <mergeCell ref="C199:C203"/>
    <mergeCell ref="D199:D203"/>
    <mergeCell ref="E199:E203"/>
    <mergeCell ref="F199:F203"/>
    <mergeCell ref="Q199:Q203"/>
    <mergeCell ref="R204:R208"/>
    <mergeCell ref="S204:S208"/>
    <mergeCell ref="U204:U208"/>
    <mergeCell ref="J204:J208"/>
    <mergeCell ref="O204:O208"/>
    <mergeCell ref="P204:P208"/>
    <mergeCell ref="Q204:Q208"/>
    <mergeCell ref="R199:R203"/>
    <mergeCell ref="S199:S203"/>
    <mergeCell ref="U199:U203"/>
    <mergeCell ref="J199:J203"/>
    <mergeCell ref="O199:O203"/>
    <mergeCell ref="P199:P203"/>
    <mergeCell ref="G199:G203"/>
    <mergeCell ref="H199:H203"/>
    <mergeCell ref="I199:I203"/>
    <mergeCell ref="T199:T203"/>
    <mergeCell ref="T204:T208"/>
    <mergeCell ref="AB192:AE192"/>
    <mergeCell ref="B194:B198"/>
    <mergeCell ref="C194:C198"/>
    <mergeCell ref="D194:D198"/>
    <mergeCell ref="E194:E198"/>
    <mergeCell ref="F194:F198"/>
    <mergeCell ref="G194:G198"/>
    <mergeCell ref="H194:H198"/>
    <mergeCell ref="I194:I198"/>
    <mergeCell ref="J194:J198"/>
    <mergeCell ref="O194:O198"/>
    <mergeCell ref="Q194:Q198"/>
    <mergeCell ref="R194:R198"/>
    <mergeCell ref="S194:S198"/>
    <mergeCell ref="U194:U198"/>
    <mergeCell ref="T194:T198"/>
    <mergeCell ref="B188:C188"/>
    <mergeCell ref="O190:P190"/>
    <mergeCell ref="X190:Y190"/>
    <mergeCell ref="O191:P191"/>
    <mergeCell ref="X191:Y191"/>
    <mergeCell ref="B192:C192"/>
    <mergeCell ref="K192:N192"/>
    <mergeCell ref="O192:P192"/>
    <mergeCell ref="X192:Z192"/>
    <mergeCell ref="O182:O186"/>
    <mergeCell ref="P182:P186"/>
    <mergeCell ref="Q182:Q186"/>
    <mergeCell ref="R182:R186"/>
    <mergeCell ref="S182:S186"/>
    <mergeCell ref="U182:U186"/>
    <mergeCell ref="U177:U181"/>
    <mergeCell ref="B182:B186"/>
    <mergeCell ref="C182:C186"/>
    <mergeCell ref="D182:D186"/>
    <mergeCell ref="E182:E186"/>
    <mergeCell ref="F182:F186"/>
    <mergeCell ref="G182:G186"/>
    <mergeCell ref="H182:H186"/>
    <mergeCell ref="I182:I186"/>
    <mergeCell ref="J182:J186"/>
    <mergeCell ref="I177:I181"/>
    <mergeCell ref="J177:J181"/>
    <mergeCell ref="O177:O181"/>
    <mergeCell ref="Q177:Q181"/>
    <mergeCell ref="R177:R181"/>
    <mergeCell ref="S177:S181"/>
    <mergeCell ref="T182:T186"/>
    <mergeCell ref="R172:R176"/>
    <mergeCell ref="S172:S176"/>
    <mergeCell ref="U172:U176"/>
    <mergeCell ref="B177:B181"/>
    <mergeCell ref="C177:C181"/>
    <mergeCell ref="D177:D181"/>
    <mergeCell ref="E177:E181"/>
    <mergeCell ref="F177:F181"/>
    <mergeCell ref="G177:G181"/>
    <mergeCell ref="H177:H181"/>
    <mergeCell ref="H172:H176"/>
    <mergeCell ref="I172:I176"/>
    <mergeCell ref="J172:J176"/>
    <mergeCell ref="O172:O176"/>
    <mergeCell ref="P172:P176"/>
    <mergeCell ref="Q172:Q176"/>
    <mergeCell ref="B172:B176"/>
    <mergeCell ref="C172:C176"/>
    <mergeCell ref="D172:D176"/>
    <mergeCell ref="E172:E176"/>
    <mergeCell ref="F172:F176"/>
    <mergeCell ref="G172:G176"/>
    <mergeCell ref="T172:T176"/>
    <mergeCell ref="T177:T181"/>
    <mergeCell ref="G167:G171"/>
    <mergeCell ref="H167:H171"/>
    <mergeCell ref="I167:I171"/>
    <mergeCell ref="AB165:AE165"/>
    <mergeCell ref="B167:B171"/>
    <mergeCell ref="C167:C171"/>
    <mergeCell ref="D167:D171"/>
    <mergeCell ref="E167:E171"/>
    <mergeCell ref="F167:F171"/>
    <mergeCell ref="Q167:Q171"/>
    <mergeCell ref="R167:R171"/>
    <mergeCell ref="S167:S171"/>
    <mergeCell ref="U167:U171"/>
    <mergeCell ref="J167:J171"/>
    <mergeCell ref="O167:O171"/>
    <mergeCell ref="P167:P171"/>
    <mergeCell ref="O164:P164"/>
    <mergeCell ref="X164:Y164"/>
    <mergeCell ref="J155:J159"/>
    <mergeCell ref="O155:O159"/>
    <mergeCell ref="P155:P159"/>
    <mergeCell ref="Q155:Q159"/>
    <mergeCell ref="R155:R159"/>
    <mergeCell ref="S155:S159"/>
    <mergeCell ref="B165:C165"/>
    <mergeCell ref="K165:N165"/>
    <mergeCell ref="O165:P165"/>
    <mergeCell ref="X165:Z165"/>
    <mergeCell ref="J150:J154"/>
    <mergeCell ref="O150:O154"/>
    <mergeCell ref="P150:P154"/>
    <mergeCell ref="Q150:Q154"/>
    <mergeCell ref="R150:R154"/>
    <mergeCell ref="U155:U159"/>
    <mergeCell ref="B161:C161"/>
    <mergeCell ref="O163:P163"/>
    <mergeCell ref="X163:Y163"/>
    <mergeCell ref="B155:B159"/>
    <mergeCell ref="C155:C159"/>
    <mergeCell ref="D155:D159"/>
    <mergeCell ref="E155:E159"/>
    <mergeCell ref="F155:F159"/>
    <mergeCell ref="G155:G159"/>
    <mergeCell ref="H155:H159"/>
    <mergeCell ref="I155:I159"/>
    <mergeCell ref="I150:I154"/>
    <mergeCell ref="R145:R149"/>
    <mergeCell ref="S145:S149"/>
    <mergeCell ref="U145:U149"/>
    <mergeCell ref="B150:B154"/>
    <mergeCell ref="C150:C154"/>
    <mergeCell ref="D150:D154"/>
    <mergeCell ref="E150:E154"/>
    <mergeCell ref="F150:F154"/>
    <mergeCell ref="G150:G154"/>
    <mergeCell ref="H150:H154"/>
    <mergeCell ref="H145:H149"/>
    <mergeCell ref="I145:I149"/>
    <mergeCell ref="J145:J149"/>
    <mergeCell ref="O145:O149"/>
    <mergeCell ref="P145:P149"/>
    <mergeCell ref="Q145:Q149"/>
    <mergeCell ref="B145:B149"/>
    <mergeCell ref="C145:C149"/>
    <mergeCell ref="D145:D149"/>
    <mergeCell ref="E145:E149"/>
    <mergeCell ref="F145:F149"/>
    <mergeCell ref="G145:G149"/>
    <mergeCell ref="S150:S154"/>
    <mergeCell ref="U150:U154"/>
    <mergeCell ref="O140:O144"/>
    <mergeCell ref="P140:P144"/>
    <mergeCell ref="Q140:Q144"/>
    <mergeCell ref="R140:R144"/>
    <mergeCell ref="S140:S144"/>
    <mergeCell ref="U140:U144"/>
    <mergeCell ref="AB138:AE138"/>
    <mergeCell ref="B140:B144"/>
    <mergeCell ref="C140:C144"/>
    <mergeCell ref="D140:D144"/>
    <mergeCell ref="E140:E144"/>
    <mergeCell ref="F140:F144"/>
    <mergeCell ref="G140:G144"/>
    <mergeCell ref="H140:H144"/>
    <mergeCell ref="I140:I144"/>
    <mergeCell ref="J140:J144"/>
    <mergeCell ref="O137:P137"/>
    <mergeCell ref="X137:Y137"/>
    <mergeCell ref="B138:C138"/>
    <mergeCell ref="K138:N138"/>
    <mergeCell ref="O138:P138"/>
    <mergeCell ref="X138:Z138"/>
    <mergeCell ref="R128:R132"/>
    <mergeCell ref="S128:S132"/>
    <mergeCell ref="U128:U132"/>
    <mergeCell ref="B134:C134"/>
    <mergeCell ref="O136:P136"/>
    <mergeCell ref="X136:Y136"/>
    <mergeCell ref="H128:H132"/>
    <mergeCell ref="I128:I132"/>
    <mergeCell ref="J128:J132"/>
    <mergeCell ref="O128:O132"/>
    <mergeCell ref="P128:P132"/>
    <mergeCell ref="Q128:Q132"/>
    <mergeCell ref="B128:B132"/>
    <mergeCell ref="C128:C132"/>
    <mergeCell ref="D128:D132"/>
    <mergeCell ref="E128:E132"/>
    <mergeCell ref="F128:F132"/>
    <mergeCell ref="G128:G132"/>
    <mergeCell ref="O123:O127"/>
    <mergeCell ref="P123:P127"/>
    <mergeCell ref="Q123:Q127"/>
    <mergeCell ref="R123:R127"/>
    <mergeCell ref="S123:S127"/>
    <mergeCell ref="U123:U127"/>
    <mergeCell ref="U118:U122"/>
    <mergeCell ref="B123:B127"/>
    <mergeCell ref="C123:C127"/>
    <mergeCell ref="D123:D127"/>
    <mergeCell ref="E123:E127"/>
    <mergeCell ref="F123:F127"/>
    <mergeCell ref="G123:G127"/>
    <mergeCell ref="H123:H127"/>
    <mergeCell ref="I123:I127"/>
    <mergeCell ref="J123:J127"/>
    <mergeCell ref="J118:J122"/>
    <mergeCell ref="O118:O122"/>
    <mergeCell ref="P118:P122"/>
    <mergeCell ref="Q118:Q122"/>
    <mergeCell ref="R118:R122"/>
    <mergeCell ref="S118:S122"/>
    <mergeCell ref="B118:B122"/>
    <mergeCell ref="C118:C122"/>
    <mergeCell ref="D118:D122"/>
    <mergeCell ref="E118:E122"/>
    <mergeCell ref="F118:F122"/>
    <mergeCell ref="G118:G122"/>
    <mergeCell ref="H118:H122"/>
    <mergeCell ref="I118:I122"/>
    <mergeCell ref="I113:I117"/>
    <mergeCell ref="R108:R112"/>
    <mergeCell ref="S108:S112"/>
    <mergeCell ref="E108:E112"/>
    <mergeCell ref="F108:F112"/>
    <mergeCell ref="G108:G112"/>
    <mergeCell ref="U108:U112"/>
    <mergeCell ref="B113:B117"/>
    <mergeCell ref="C113:C117"/>
    <mergeCell ref="D113:D117"/>
    <mergeCell ref="E113:E117"/>
    <mergeCell ref="F113:F117"/>
    <mergeCell ref="G113:G117"/>
    <mergeCell ref="H113:H117"/>
    <mergeCell ref="H108:H112"/>
    <mergeCell ref="I108:I112"/>
    <mergeCell ref="J108:J112"/>
    <mergeCell ref="O108:O112"/>
    <mergeCell ref="P108:P112"/>
    <mergeCell ref="Q108:Q112"/>
    <mergeCell ref="S113:S117"/>
    <mergeCell ref="U113:U117"/>
    <mergeCell ref="J113:J117"/>
    <mergeCell ref="O113:O117"/>
    <mergeCell ref="P113:P117"/>
    <mergeCell ref="Q113:Q117"/>
    <mergeCell ref="R113:R117"/>
    <mergeCell ref="B108:B112"/>
    <mergeCell ref="C108:C112"/>
    <mergeCell ref="D108:D112"/>
    <mergeCell ref="G103:G107"/>
    <mergeCell ref="H103:H107"/>
    <mergeCell ref="I103:I107"/>
    <mergeCell ref="AB101:AE101"/>
    <mergeCell ref="B103:B107"/>
    <mergeCell ref="C103:C107"/>
    <mergeCell ref="D103:D107"/>
    <mergeCell ref="E103:E107"/>
    <mergeCell ref="F103:F107"/>
    <mergeCell ref="Q103:Q107"/>
    <mergeCell ref="R103:R107"/>
    <mergeCell ref="S103:S107"/>
    <mergeCell ref="U103:U107"/>
    <mergeCell ref="J103:J107"/>
    <mergeCell ref="O103:O107"/>
    <mergeCell ref="P103:P107"/>
    <mergeCell ref="O100:P100"/>
    <mergeCell ref="X100:Y100"/>
    <mergeCell ref="J91:J95"/>
    <mergeCell ref="O91:O95"/>
    <mergeCell ref="P91:P95"/>
    <mergeCell ref="Q91:Q95"/>
    <mergeCell ref="R91:R95"/>
    <mergeCell ref="S91:S95"/>
    <mergeCell ref="B101:C101"/>
    <mergeCell ref="K101:N101"/>
    <mergeCell ref="O101:P101"/>
    <mergeCell ref="X101:Z101"/>
    <mergeCell ref="J86:J90"/>
    <mergeCell ref="O86:O90"/>
    <mergeCell ref="P86:P90"/>
    <mergeCell ref="Q86:Q90"/>
    <mergeCell ref="R86:R90"/>
    <mergeCell ref="U91:U95"/>
    <mergeCell ref="B97:C97"/>
    <mergeCell ref="O99:P99"/>
    <mergeCell ref="X99:Y99"/>
    <mergeCell ref="B91:B95"/>
    <mergeCell ref="C91:C95"/>
    <mergeCell ref="D91:D95"/>
    <mergeCell ref="E91:E95"/>
    <mergeCell ref="F91:F95"/>
    <mergeCell ref="G91:G95"/>
    <mergeCell ref="H91:H95"/>
    <mergeCell ref="I91:I95"/>
    <mergeCell ref="I86:I90"/>
    <mergeCell ref="R81:R85"/>
    <mergeCell ref="S81:S85"/>
    <mergeCell ref="U81:U85"/>
    <mergeCell ref="B86:B90"/>
    <mergeCell ref="C86:C90"/>
    <mergeCell ref="D86:D90"/>
    <mergeCell ref="E86:E90"/>
    <mergeCell ref="F86:F90"/>
    <mergeCell ref="G86:G90"/>
    <mergeCell ref="H86:H90"/>
    <mergeCell ref="H81:H85"/>
    <mergeCell ref="I81:I85"/>
    <mergeCell ref="J81:J85"/>
    <mergeCell ref="O81:O85"/>
    <mergeCell ref="P81:P85"/>
    <mergeCell ref="Q81:Q85"/>
    <mergeCell ref="B81:B85"/>
    <mergeCell ref="C81:C85"/>
    <mergeCell ref="D81:D85"/>
    <mergeCell ref="E81:E85"/>
    <mergeCell ref="F81:F85"/>
    <mergeCell ref="G81:G85"/>
    <mergeCell ref="S86:S90"/>
    <mergeCell ref="U86:U90"/>
    <mergeCell ref="O76:O80"/>
    <mergeCell ref="P76:P80"/>
    <mergeCell ref="Q76:Q80"/>
    <mergeCell ref="R76:R80"/>
    <mergeCell ref="S76:S80"/>
    <mergeCell ref="U76:U80"/>
    <mergeCell ref="U71:U75"/>
    <mergeCell ref="B76:B80"/>
    <mergeCell ref="C76:C80"/>
    <mergeCell ref="D76:D80"/>
    <mergeCell ref="E76:E80"/>
    <mergeCell ref="F76:F80"/>
    <mergeCell ref="G76:G80"/>
    <mergeCell ref="H76:H80"/>
    <mergeCell ref="I76:I80"/>
    <mergeCell ref="J76:J80"/>
    <mergeCell ref="J71:J75"/>
    <mergeCell ref="O71:O75"/>
    <mergeCell ref="P71:P75"/>
    <mergeCell ref="Q71:Q75"/>
    <mergeCell ref="R71:R75"/>
    <mergeCell ref="S71:S75"/>
    <mergeCell ref="B71:B75"/>
    <mergeCell ref="C71:C75"/>
    <mergeCell ref="D71:D75"/>
    <mergeCell ref="E71:E75"/>
    <mergeCell ref="F71:F75"/>
    <mergeCell ref="G71:G75"/>
    <mergeCell ref="H71:H75"/>
    <mergeCell ref="I71:I75"/>
    <mergeCell ref="I66:I70"/>
    <mergeCell ref="R61:R65"/>
    <mergeCell ref="S61:S65"/>
    <mergeCell ref="E61:E65"/>
    <mergeCell ref="F61:F65"/>
    <mergeCell ref="G61:G65"/>
    <mergeCell ref="U61:U65"/>
    <mergeCell ref="B66:B70"/>
    <mergeCell ref="C66:C70"/>
    <mergeCell ref="D66:D70"/>
    <mergeCell ref="E66:E70"/>
    <mergeCell ref="F66:F70"/>
    <mergeCell ref="G66:G70"/>
    <mergeCell ref="H66:H70"/>
    <mergeCell ref="H61:H65"/>
    <mergeCell ref="I61:I65"/>
    <mergeCell ref="J61:J65"/>
    <mergeCell ref="O61:O65"/>
    <mergeCell ref="P61:P65"/>
    <mergeCell ref="Q61:Q65"/>
    <mergeCell ref="S66:S70"/>
    <mergeCell ref="U66:U70"/>
    <mergeCell ref="J66:J70"/>
    <mergeCell ref="O66:O70"/>
    <mergeCell ref="P66:P70"/>
    <mergeCell ref="Q66:Q70"/>
    <mergeCell ref="R66:R70"/>
    <mergeCell ref="B61:B65"/>
    <mergeCell ref="C61:C65"/>
    <mergeCell ref="D61:D65"/>
    <mergeCell ref="G56:G60"/>
    <mergeCell ref="H56:H60"/>
    <mergeCell ref="I56:I60"/>
    <mergeCell ref="B54:C54"/>
    <mergeCell ref="K54:N54"/>
    <mergeCell ref="O54:P54"/>
    <mergeCell ref="X54:Z54"/>
    <mergeCell ref="AB54:AE54"/>
    <mergeCell ref="B56:B60"/>
    <mergeCell ref="C56:C60"/>
    <mergeCell ref="D56:D60"/>
    <mergeCell ref="E56:E60"/>
    <mergeCell ref="F56:F60"/>
    <mergeCell ref="Q56:Q60"/>
    <mergeCell ref="R56:R60"/>
    <mergeCell ref="S56:S60"/>
    <mergeCell ref="U56:U60"/>
    <mergeCell ref="J56:J60"/>
    <mergeCell ref="O56:O60"/>
    <mergeCell ref="P56:P60"/>
    <mergeCell ref="T56:T60"/>
    <mergeCell ref="B50:C50"/>
    <mergeCell ref="O52:P52"/>
    <mergeCell ref="X52:Y52"/>
    <mergeCell ref="O53:P53"/>
    <mergeCell ref="X53:Y53"/>
    <mergeCell ref="I44:I48"/>
    <mergeCell ref="J44:J48"/>
    <mergeCell ref="O44:O48"/>
    <mergeCell ref="P44:P48"/>
    <mergeCell ref="Q44:Q48"/>
    <mergeCell ref="R44:R48"/>
    <mergeCell ref="R39:R43"/>
    <mergeCell ref="S39:S43"/>
    <mergeCell ref="B44:B48"/>
    <mergeCell ref="C44:C48"/>
    <mergeCell ref="D44:D48"/>
    <mergeCell ref="E44:E48"/>
    <mergeCell ref="F44:F48"/>
    <mergeCell ref="G44:G48"/>
    <mergeCell ref="H44:H48"/>
    <mergeCell ref="H39:H43"/>
    <mergeCell ref="I39:I43"/>
    <mergeCell ref="J39:J43"/>
    <mergeCell ref="O39:O43"/>
    <mergeCell ref="P39:P43"/>
    <mergeCell ref="Q39:Q43"/>
    <mergeCell ref="B39:B43"/>
    <mergeCell ref="C39:C43"/>
    <mergeCell ref="D39:D43"/>
    <mergeCell ref="E39:E43"/>
    <mergeCell ref="F39:F43"/>
    <mergeCell ref="G39:G43"/>
    <mergeCell ref="S44:S48"/>
    <mergeCell ref="J34:J38"/>
    <mergeCell ref="O34:O38"/>
    <mergeCell ref="Q34:Q38"/>
    <mergeCell ref="R34:R38"/>
    <mergeCell ref="S34:S38"/>
    <mergeCell ref="S29:S33"/>
    <mergeCell ref="B34:B38"/>
    <mergeCell ref="C34:C38"/>
    <mergeCell ref="D34:D38"/>
    <mergeCell ref="E34:E38"/>
    <mergeCell ref="F34:F38"/>
    <mergeCell ref="G34:G38"/>
    <mergeCell ref="H34:H38"/>
    <mergeCell ref="I34:I38"/>
    <mergeCell ref="I29:I33"/>
    <mergeCell ref="J29:J33"/>
    <mergeCell ref="O29:O33"/>
    <mergeCell ref="P29:P33"/>
    <mergeCell ref="Q29:Q33"/>
    <mergeCell ref="R29:R33"/>
    <mergeCell ref="R24:R28"/>
    <mergeCell ref="S24:S28"/>
    <mergeCell ref="B29:B33"/>
    <mergeCell ref="C29:C33"/>
    <mergeCell ref="D29:D33"/>
    <mergeCell ref="E29:E33"/>
    <mergeCell ref="F29:F33"/>
    <mergeCell ref="G29:G33"/>
    <mergeCell ref="H29:H33"/>
    <mergeCell ref="H24:H28"/>
    <mergeCell ref="I24:I28"/>
    <mergeCell ref="J24:J28"/>
    <mergeCell ref="O24:O28"/>
    <mergeCell ref="P24:P28"/>
    <mergeCell ref="Q24:Q28"/>
    <mergeCell ref="B24:B28"/>
    <mergeCell ref="C24:C28"/>
    <mergeCell ref="D24:D28"/>
    <mergeCell ref="E24:E28"/>
    <mergeCell ref="F24:F28"/>
    <mergeCell ref="G24:G28"/>
    <mergeCell ref="G19:G23"/>
    <mergeCell ref="H19:H23"/>
    <mergeCell ref="I19:I23"/>
    <mergeCell ref="AG14:AG18"/>
    <mergeCell ref="B19:B23"/>
    <mergeCell ref="C19:C23"/>
    <mergeCell ref="D19:D23"/>
    <mergeCell ref="E19:E23"/>
    <mergeCell ref="F19:F23"/>
    <mergeCell ref="G14:G18"/>
    <mergeCell ref="H14:H18"/>
    <mergeCell ref="I14:I18"/>
    <mergeCell ref="J14:J18"/>
    <mergeCell ref="O14:O18"/>
    <mergeCell ref="P14:P18"/>
    <mergeCell ref="Q19:Q23"/>
    <mergeCell ref="R19:R23"/>
    <mergeCell ref="S19:S23"/>
    <mergeCell ref="J19:J23"/>
    <mergeCell ref="O19:O23"/>
    <mergeCell ref="P19:P23"/>
    <mergeCell ref="B14:B18"/>
    <mergeCell ref="C14:C18"/>
    <mergeCell ref="D14:D18"/>
    <mergeCell ref="E14:E18"/>
    <mergeCell ref="F14:F18"/>
    <mergeCell ref="Q14:Q18"/>
    <mergeCell ref="R14:R18"/>
    <mergeCell ref="S14:S18"/>
    <mergeCell ref="U14:U18"/>
    <mergeCell ref="AG1:AG11"/>
    <mergeCell ref="B1:D1"/>
    <mergeCell ref="O10:P10"/>
    <mergeCell ref="O11:P11"/>
    <mergeCell ref="X11:Y11"/>
    <mergeCell ref="B12:C12"/>
    <mergeCell ref="K12:N12"/>
    <mergeCell ref="O12:P12"/>
    <mergeCell ref="X12:Z12"/>
    <mergeCell ref="AB12:AE12"/>
    <mergeCell ref="X1:Z1"/>
    <mergeCell ref="AB1:AE1"/>
    <mergeCell ref="B5:J6"/>
    <mergeCell ref="K5:P6"/>
    <mergeCell ref="B8:D8"/>
    <mergeCell ref="K8:U8"/>
    <mergeCell ref="U19:U23"/>
    <mergeCell ref="U24:U28"/>
    <mergeCell ref="U29:U33"/>
    <mergeCell ref="U34:U38"/>
    <mergeCell ref="U39:U43"/>
    <mergeCell ref="U44:U48"/>
    <mergeCell ref="T14:T18"/>
    <mergeCell ref="T19:T23"/>
    <mergeCell ref="T24:T28"/>
    <mergeCell ref="T29:T33"/>
    <mergeCell ref="T34:T38"/>
    <mergeCell ref="T39:T43"/>
    <mergeCell ref="T44:T48"/>
    <mergeCell ref="T61:T65"/>
    <mergeCell ref="T66:T70"/>
    <mergeCell ref="T71:T75"/>
    <mergeCell ref="T76:T80"/>
    <mergeCell ref="T81:T85"/>
    <mergeCell ref="T86:T90"/>
    <mergeCell ref="T91:T95"/>
    <mergeCell ref="T103:T107"/>
    <mergeCell ref="T108:T112"/>
    <mergeCell ref="T256:T260"/>
    <mergeCell ref="T113:T117"/>
    <mergeCell ref="T118:T122"/>
    <mergeCell ref="T123:T127"/>
    <mergeCell ref="T128:T132"/>
    <mergeCell ref="T140:T144"/>
    <mergeCell ref="T145:T149"/>
    <mergeCell ref="T150:T154"/>
    <mergeCell ref="T155:T159"/>
    <mergeCell ref="T167:T171"/>
    <mergeCell ref="B337:O337"/>
    <mergeCell ref="Q337:U337"/>
    <mergeCell ref="AB3:AE3"/>
    <mergeCell ref="Q5:U5"/>
    <mergeCell ref="X5:Z6"/>
    <mergeCell ref="AB5:AE6"/>
    <mergeCell ref="Q6:U6"/>
    <mergeCell ref="X8:AE8"/>
    <mergeCell ref="T323:T327"/>
    <mergeCell ref="T328:T332"/>
    <mergeCell ref="T261:T265"/>
    <mergeCell ref="T266:T270"/>
    <mergeCell ref="T271:T275"/>
    <mergeCell ref="T283:T287"/>
    <mergeCell ref="T288:T292"/>
    <mergeCell ref="T293:T297"/>
    <mergeCell ref="T298:T302"/>
    <mergeCell ref="T303:T307"/>
    <mergeCell ref="T308:T312"/>
    <mergeCell ref="T209:T213"/>
    <mergeCell ref="T214:T218"/>
    <mergeCell ref="T226:T230"/>
    <mergeCell ref="T231:T235"/>
    <mergeCell ref="T236:T240"/>
  </mergeCells>
  <phoneticPr fontId="2" type="noConversion"/>
  <conditionalFormatting sqref="K227">
    <cfRule type="expression" dxfId="186" priority="159">
      <formula>$Q226="숙박"</formula>
    </cfRule>
  </conditionalFormatting>
  <conditionalFormatting sqref="K228">
    <cfRule type="expression" dxfId="185" priority="158">
      <formula>$Q226="학교"</formula>
    </cfRule>
  </conditionalFormatting>
  <conditionalFormatting sqref="K226:L226 N226">
    <cfRule type="expression" dxfId="184" priority="160">
      <formula>$Q226="그외"</formula>
    </cfRule>
  </conditionalFormatting>
  <conditionalFormatting sqref="K14:N14">
    <cfRule type="expression" dxfId="183" priority="216">
      <formula>$Q14="1급"</formula>
    </cfRule>
  </conditionalFormatting>
  <conditionalFormatting sqref="K15:N15">
    <cfRule type="expression" dxfId="182" priority="215">
      <formula>$Q14="2급"</formula>
    </cfRule>
  </conditionalFormatting>
  <conditionalFormatting sqref="K16:N16">
    <cfRule type="expression" dxfId="181" priority="214">
      <formula>$Q14="3급"</formula>
    </cfRule>
  </conditionalFormatting>
  <conditionalFormatting sqref="K17:N17">
    <cfRule type="expression" dxfId="180" priority="213">
      <formula>$Q14="4급"</formula>
    </cfRule>
  </conditionalFormatting>
  <conditionalFormatting sqref="K18:N18">
    <cfRule type="expression" dxfId="179" priority="212">
      <formula>$Q14="5급"</formula>
    </cfRule>
  </conditionalFormatting>
  <conditionalFormatting sqref="K19:N19">
    <cfRule type="expression" dxfId="178" priority="211">
      <formula>$Q19="1급"</formula>
    </cfRule>
  </conditionalFormatting>
  <conditionalFormatting sqref="K20:N20">
    <cfRule type="expression" dxfId="177" priority="210">
      <formula>$Q19="2급"</formula>
    </cfRule>
  </conditionalFormatting>
  <conditionalFormatting sqref="K21:N21">
    <cfRule type="expression" dxfId="176" priority="209">
      <formula>$Q19="3급"</formula>
    </cfRule>
  </conditionalFormatting>
  <conditionalFormatting sqref="K22:N22">
    <cfRule type="expression" dxfId="175" priority="208">
      <formula>$Q19="4급"</formula>
    </cfRule>
  </conditionalFormatting>
  <conditionalFormatting sqref="K23:N23">
    <cfRule type="expression" dxfId="174" priority="207">
      <formula>$Q19="5급"</formula>
    </cfRule>
  </conditionalFormatting>
  <conditionalFormatting sqref="K24:N24 K29:N29 K34:N34 K39:N39">
    <cfRule type="expression" dxfId="173" priority="206">
      <formula>$Q24="1급"</formula>
    </cfRule>
  </conditionalFormatting>
  <conditionalFormatting sqref="K25:N25 K30:N30 K35:N35 K40:N40">
    <cfRule type="expression" dxfId="172" priority="205">
      <formula>$Q24="2급"</formula>
    </cfRule>
  </conditionalFormatting>
  <conditionalFormatting sqref="K26:N26 K31:N31 K36:N36 K41:N41">
    <cfRule type="expression" dxfId="171" priority="204">
      <formula>$Q24="3급"</formula>
    </cfRule>
  </conditionalFormatting>
  <conditionalFormatting sqref="K27:N27 K32:N32 K37:N37 K42:N42">
    <cfRule type="expression" dxfId="170" priority="203">
      <formula>$Q24="4급"</formula>
    </cfRule>
  </conditionalFormatting>
  <conditionalFormatting sqref="K28:N28 K33:N33 K38:N38 K43:N43 K48:N48">
    <cfRule type="expression" dxfId="169" priority="202">
      <formula>$Q24="5급"</formula>
    </cfRule>
  </conditionalFormatting>
  <conditionalFormatting sqref="K44:N44">
    <cfRule type="expression" dxfId="168" priority="45">
      <formula>$Q44="1급"</formula>
    </cfRule>
  </conditionalFormatting>
  <conditionalFormatting sqref="K45:N45">
    <cfRule type="expression" dxfId="167" priority="44">
      <formula>$Q44="2급"</formula>
    </cfRule>
  </conditionalFormatting>
  <conditionalFormatting sqref="K46:N46">
    <cfRule type="expression" dxfId="166" priority="43">
      <formula>$Q44="3급"</formula>
    </cfRule>
  </conditionalFormatting>
  <conditionalFormatting sqref="K47:N47">
    <cfRule type="expression" dxfId="165" priority="42">
      <formula>$Q44="4급"</formula>
    </cfRule>
  </conditionalFormatting>
  <conditionalFormatting sqref="K56:N56 K61:N61 K66:N66 K71:N71 K76:N76 K81:N81 K86:N86 K91:N91">
    <cfRule type="expression" dxfId="164" priority="201">
      <formula>$Q56="1급"</formula>
    </cfRule>
  </conditionalFormatting>
  <conditionalFormatting sqref="K57:N57 K62:N62 K67:N67 K72:N72 K77:N77 K82:N82 K87:N87 K92:N92">
    <cfRule type="expression" dxfId="163" priority="200">
      <formula>$Q56="2급"</formula>
    </cfRule>
  </conditionalFormatting>
  <conditionalFormatting sqref="K58:N58 K63:N63 K68:N68 K73:N73 K78:N78 K83:N83 K88:N88 K93:N93">
    <cfRule type="expression" dxfId="162" priority="199">
      <formula>$Q56="3급"</formula>
    </cfRule>
  </conditionalFormatting>
  <conditionalFormatting sqref="K59:N59 K64:N64 K69:N69 K74:N74 K79:N79 K84:N84 K89:N89 K94:N94">
    <cfRule type="expression" dxfId="161" priority="198">
      <formula>$Q56="4급"</formula>
    </cfRule>
  </conditionalFormatting>
  <conditionalFormatting sqref="K60:N60 K65:N65 K70:N70 K75:N75 K80:N80 K85:N85 K90:N90 K95:N95">
    <cfRule type="expression" dxfId="160" priority="197">
      <formula>$Q56="5급"</formula>
    </cfRule>
  </conditionalFormatting>
  <conditionalFormatting sqref="K103:N103 K108:N108 K113:N113 K118:N118 K123:N123">
    <cfRule type="expression" dxfId="159" priority="196">
      <formula>$Q103="1급"</formula>
    </cfRule>
  </conditionalFormatting>
  <conditionalFormatting sqref="K104:N104 K109:N109 K114:N114 K119:N119 K124:N124">
    <cfRule type="expression" dxfId="158" priority="195">
      <formula>$Q103="2급"</formula>
    </cfRule>
  </conditionalFormatting>
  <conditionalFormatting sqref="K105:N105 K110:N110 K115:N115 K120:N120 K125:N125">
    <cfRule type="expression" dxfId="157" priority="194">
      <formula>$Q103="3급"</formula>
    </cfRule>
  </conditionalFormatting>
  <conditionalFormatting sqref="K106:N106 K111:N111 K116:N116 K121:N121 K126:N126">
    <cfRule type="expression" dxfId="156" priority="193">
      <formula>$Q103="4급"</formula>
    </cfRule>
  </conditionalFormatting>
  <conditionalFormatting sqref="K107:N107 K112:N112 K117:N117 K122:N122 K127:N127 K132:N132">
    <cfRule type="expression" dxfId="155" priority="192">
      <formula>$Q103="5급"</formula>
    </cfRule>
  </conditionalFormatting>
  <conditionalFormatting sqref="K128:N128">
    <cfRule type="expression" dxfId="154" priority="15">
      <formula>$Q128="1급"</formula>
    </cfRule>
  </conditionalFormatting>
  <conditionalFormatting sqref="K129:N129">
    <cfRule type="expression" dxfId="153" priority="14">
      <formula>$Q128="2급"</formula>
    </cfRule>
  </conditionalFormatting>
  <conditionalFormatting sqref="K130:N130">
    <cfRule type="expression" dxfId="152" priority="13">
      <formula>$Q128="3급"</formula>
    </cfRule>
  </conditionalFormatting>
  <conditionalFormatting sqref="K131:N131">
    <cfRule type="expression" dxfId="151" priority="38">
      <formula>$Q128="4급"</formula>
    </cfRule>
  </conditionalFormatting>
  <conditionalFormatting sqref="K140:N140">
    <cfRule type="expression" dxfId="150" priority="37">
      <formula>$Q140="1급"</formula>
    </cfRule>
  </conditionalFormatting>
  <conditionalFormatting sqref="K141:N141">
    <cfRule type="expression" dxfId="149" priority="36">
      <formula>$Q140="2급"</formula>
    </cfRule>
  </conditionalFormatting>
  <conditionalFormatting sqref="K142:N142">
    <cfRule type="expression" dxfId="148" priority="35">
      <formula>$Q140="3급"</formula>
    </cfRule>
  </conditionalFormatting>
  <conditionalFormatting sqref="K143:N143">
    <cfRule type="expression" dxfId="147" priority="34">
      <formula>$Q140="4급"</formula>
    </cfRule>
  </conditionalFormatting>
  <conditionalFormatting sqref="K144:N144 K149:N149 K154:N154 K159:N159">
    <cfRule type="expression" dxfId="146" priority="187">
      <formula>$Q140="5급"</formula>
    </cfRule>
  </conditionalFormatting>
  <conditionalFormatting sqref="K145:N145">
    <cfRule type="expression" dxfId="145" priority="33">
      <formula>$Q145="1급"</formula>
    </cfRule>
  </conditionalFormatting>
  <conditionalFormatting sqref="K146:N146">
    <cfRule type="expression" dxfId="144" priority="32">
      <formula>$Q145="2급"</formula>
    </cfRule>
  </conditionalFormatting>
  <conditionalFormatting sqref="K147:N147">
    <cfRule type="expression" dxfId="143" priority="31">
      <formula>$Q145="3급"</formula>
    </cfRule>
  </conditionalFormatting>
  <conditionalFormatting sqref="K148:N148">
    <cfRule type="expression" dxfId="142" priority="30">
      <formula>$Q145="4급"</formula>
    </cfRule>
  </conditionalFormatting>
  <conditionalFormatting sqref="K150:N150">
    <cfRule type="expression" dxfId="141" priority="191">
      <formula>$Q150="1급"</formula>
    </cfRule>
  </conditionalFormatting>
  <conditionalFormatting sqref="K151:N151">
    <cfRule type="expression" dxfId="140" priority="190">
      <formula>$Q150="2급"</formula>
    </cfRule>
  </conditionalFormatting>
  <conditionalFormatting sqref="K152:N152">
    <cfRule type="expression" dxfId="139" priority="189">
      <formula>$Q150="3급"</formula>
    </cfRule>
  </conditionalFormatting>
  <conditionalFormatting sqref="K153:N153">
    <cfRule type="expression" dxfId="138" priority="188">
      <formula>$Q150="4급"</formula>
    </cfRule>
  </conditionalFormatting>
  <conditionalFormatting sqref="K155:N155">
    <cfRule type="expression" dxfId="137" priority="29">
      <formula>$Q155="1급"</formula>
    </cfRule>
  </conditionalFormatting>
  <conditionalFormatting sqref="K156:N156">
    <cfRule type="expression" dxfId="136" priority="28">
      <formula>$Q155="2급"</formula>
    </cfRule>
  </conditionalFormatting>
  <conditionalFormatting sqref="K157:N157">
    <cfRule type="expression" dxfId="135" priority="27">
      <formula>$Q155="3급"</formula>
    </cfRule>
  </conditionalFormatting>
  <conditionalFormatting sqref="K158:N158">
    <cfRule type="expression" dxfId="134" priority="26">
      <formula>$Q155="4급"</formula>
    </cfRule>
  </conditionalFormatting>
  <conditionalFormatting sqref="K167:N167">
    <cfRule type="expression" dxfId="133" priority="25">
      <formula>$Q167="1급"</formula>
    </cfRule>
  </conditionalFormatting>
  <conditionalFormatting sqref="K168:N168">
    <cfRule type="expression" dxfId="132" priority="24">
      <formula>$Q167="2급"</formula>
    </cfRule>
  </conditionalFormatting>
  <conditionalFormatting sqref="K169:N169">
    <cfRule type="expression" dxfId="131" priority="23">
      <formula>$Q167="3급"</formula>
    </cfRule>
  </conditionalFormatting>
  <conditionalFormatting sqref="K170:N170">
    <cfRule type="expression" dxfId="130" priority="22">
      <formula>$Q167="4급"</formula>
    </cfRule>
  </conditionalFormatting>
  <conditionalFormatting sqref="K171:N171 K176:N176 K181:N181 K186:N186">
    <cfRule type="expression" dxfId="129" priority="182">
      <formula>$Q167="5급"</formula>
    </cfRule>
  </conditionalFormatting>
  <conditionalFormatting sqref="K172:N172 K177:N177">
    <cfRule type="expression" dxfId="128" priority="186">
      <formula>$Q172="1급"</formula>
    </cfRule>
  </conditionalFormatting>
  <conditionalFormatting sqref="K173:N173 K178:N178">
    <cfRule type="expression" dxfId="127" priority="185">
      <formula>$Q172="2급"</formula>
    </cfRule>
  </conditionalFormatting>
  <conditionalFormatting sqref="K174:N174 K179:N179">
    <cfRule type="expression" dxfId="126" priority="184">
      <formula>$Q172="3급"</formula>
    </cfRule>
  </conditionalFormatting>
  <conditionalFormatting sqref="K175:N175 K180:N180">
    <cfRule type="expression" dxfId="125" priority="183">
      <formula>$Q172="4급"</formula>
    </cfRule>
  </conditionalFormatting>
  <conditionalFormatting sqref="K182:N182">
    <cfRule type="expression" dxfId="124" priority="21">
      <formula>$Q182="1급"</formula>
    </cfRule>
  </conditionalFormatting>
  <conditionalFormatting sqref="K183:N183">
    <cfRule type="expression" dxfId="123" priority="20">
      <formula>$Q182="2급"</formula>
    </cfRule>
  </conditionalFormatting>
  <conditionalFormatting sqref="K184:N184">
    <cfRule type="expression" dxfId="122" priority="19">
      <formula>$Q182="3급"</formula>
    </cfRule>
  </conditionalFormatting>
  <conditionalFormatting sqref="K185:N185">
    <cfRule type="expression" dxfId="121" priority="18">
      <formula>$Q182="4급"</formula>
    </cfRule>
  </conditionalFormatting>
  <conditionalFormatting sqref="K194:N194 K199:N199 K204:N204 K209:N209 K214:N214">
    <cfRule type="expression" dxfId="120" priority="181">
      <formula>$Q194="1급"</formula>
    </cfRule>
  </conditionalFormatting>
  <conditionalFormatting sqref="K195:N195 K200:N200 K205:N205 K210:N210 K215:N215">
    <cfRule type="expression" dxfId="119" priority="180">
      <formula>$Q194="2급"</formula>
    </cfRule>
  </conditionalFormatting>
  <conditionalFormatting sqref="K196:N196 K201:N201 K206:N206 K211:N211 K216:N216">
    <cfRule type="expression" dxfId="118" priority="179">
      <formula>$Q194="3급"</formula>
    </cfRule>
  </conditionalFormatting>
  <conditionalFormatting sqref="K197:N197 K202:N202 K207:N207 K212:N212 K217:N217">
    <cfRule type="expression" dxfId="117" priority="178">
      <formula>$Q194="4급"</formula>
    </cfRule>
  </conditionalFormatting>
  <conditionalFormatting sqref="K198:N198 K203:N203 K208:N208 K213:N213 K218:N218">
    <cfRule type="expression" dxfId="116" priority="177">
      <formula>$Q194="5급"</formula>
    </cfRule>
  </conditionalFormatting>
  <conditionalFormatting sqref="K231:N231 K236:N236 K241:N241 K246:N246 K251:N251 K256:N256 K261:N261 K266:N266">
    <cfRule type="expression" dxfId="115" priority="165">
      <formula>$Q231="1급"</formula>
    </cfRule>
  </conditionalFormatting>
  <conditionalFormatting sqref="K232:N232 K237:N237 K242:N242 K247:N247 K252:N252 K257:N257 K262:N262 K267:N267">
    <cfRule type="expression" dxfId="114" priority="164">
      <formula>$Q231="2급"</formula>
    </cfRule>
  </conditionalFormatting>
  <conditionalFormatting sqref="K233:N233 K238:N238 K243:N243 K248:N248 K253:N253 K258:N258 K263:N263 K268:N268 K273:N273">
    <cfRule type="expression" dxfId="113" priority="163">
      <formula>$Q231="3급"</formula>
    </cfRule>
  </conditionalFormatting>
  <conditionalFormatting sqref="K234:N234 K239:N239 K244:N244 K249:N249 K254:N254 K259:N259 K264:N264 K269:N269 K274:N274">
    <cfRule type="expression" dxfId="112" priority="162">
      <formula>$Q231="4급"</formula>
    </cfRule>
  </conditionalFormatting>
  <conditionalFormatting sqref="K235:N235 K240:N240 K245:N245 K250:N250 K255:N255 K260:N260 K265:N265 K270:N270 K275:N275">
    <cfRule type="expression" dxfId="111" priority="161">
      <formula>$Q231="5급"</formula>
    </cfRule>
  </conditionalFormatting>
  <conditionalFormatting sqref="K271:N271">
    <cfRule type="expression" dxfId="110" priority="17">
      <formula>$Q271="1급"</formula>
    </cfRule>
  </conditionalFormatting>
  <conditionalFormatting sqref="K272:N272">
    <cfRule type="expression" dxfId="109" priority="16">
      <formula>$Q271="2급"</formula>
    </cfRule>
  </conditionalFormatting>
  <conditionalFormatting sqref="K283:N283 K288:N288 K293:N293 K298:N298 K303:N303 K308:N308 K313:N313 K318:N318 K323:N323 K328:N328">
    <cfRule type="expression" dxfId="108" priority="173">
      <formula>$Q283="1급"</formula>
    </cfRule>
  </conditionalFormatting>
  <conditionalFormatting sqref="K284:N284 K289:N289 K294:N294 K299:N299 K304:N304 K309:N309 K314:N314 K319:N319 K324:N324 K329:N329">
    <cfRule type="expression" dxfId="107" priority="172">
      <formula>$Q283="2급"</formula>
    </cfRule>
  </conditionalFormatting>
  <conditionalFormatting sqref="K285:N285 K290:N290 K295:N295 K300:N300 K305:N305 K310:N310 K315:N315 K320:N320 K325:N325 K330:N330">
    <cfRule type="expression" dxfId="106" priority="171">
      <formula>$Q283="3급"</formula>
    </cfRule>
  </conditionalFormatting>
  <conditionalFormatting sqref="K286:N286 K291:N291 K296:N296 K301:N301 K306:N306 K311:N311 K316:N316 K321:N321 K326:N326 K331:N331">
    <cfRule type="expression" dxfId="105" priority="170">
      <formula>$Q283="4급"</formula>
    </cfRule>
  </conditionalFormatting>
  <conditionalFormatting sqref="K287:N287 K292:N292 K297:N297 K302:N302 K307:N307 K312:N312 K317:N317 K322:N322 K327:N327 K332:N332">
    <cfRule type="expression" dxfId="104" priority="169">
      <formula>$Q283="5급"</formula>
    </cfRule>
  </conditionalFormatting>
  <conditionalFormatting sqref="AB14">
    <cfRule type="expression" dxfId="103" priority="157">
      <formula>IF(AA14&gt;=25,1,0)</formula>
    </cfRule>
  </conditionalFormatting>
  <conditionalFormatting sqref="AB24">
    <cfRule type="expression" dxfId="102" priority="153">
      <formula>IF(AA24&gt;=25,1,0)</formula>
    </cfRule>
  </conditionalFormatting>
  <conditionalFormatting sqref="AB39">
    <cfRule type="expression" dxfId="101" priority="149">
      <formula>IF(AA39&gt;=25,1,0)</formula>
    </cfRule>
  </conditionalFormatting>
  <conditionalFormatting sqref="AB44:AB45">
    <cfRule type="expression" dxfId="100" priority="145">
      <formula>IF(AA44&gt;=25,1,0)</formula>
    </cfRule>
  </conditionalFormatting>
  <conditionalFormatting sqref="AB56">
    <cfRule type="expression" dxfId="99" priority="141">
      <formula>IF(AA56&gt;=25,1,0)</formula>
    </cfRule>
  </conditionalFormatting>
  <conditionalFormatting sqref="AB66">
    <cfRule type="expression" dxfId="98" priority="117">
      <formula>IF(AA66&gt;=25,1,0)</formula>
    </cfRule>
  </conditionalFormatting>
  <conditionalFormatting sqref="AB76:AB79">
    <cfRule type="expression" dxfId="97" priority="125">
      <formula>IF(AA76&gt;=25,1,0)</formula>
    </cfRule>
  </conditionalFormatting>
  <conditionalFormatting sqref="AB86">
    <cfRule type="expression" dxfId="96" priority="121">
      <formula>IF(AA86&gt;=25,1,0)</formula>
    </cfRule>
  </conditionalFormatting>
  <conditionalFormatting sqref="AB103:AB104">
    <cfRule type="expression" dxfId="95" priority="113">
      <formula>IF(AA103&gt;=25,1,0)</formula>
    </cfRule>
  </conditionalFormatting>
  <conditionalFormatting sqref="AB108:AB109">
    <cfRule type="expression" dxfId="94" priority="109">
      <formula>IF(AA108&gt;=25,1,0)</formula>
    </cfRule>
  </conditionalFormatting>
  <conditionalFormatting sqref="AB113:AB114">
    <cfRule type="expression" dxfId="93" priority="105">
      <formula>IF(AA113&gt;=25,1,0)</formula>
    </cfRule>
  </conditionalFormatting>
  <conditionalFormatting sqref="AB118:AB119">
    <cfRule type="expression" dxfId="92" priority="101">
      <formula>IF(AA118&gt;=25,1,0)</formula>
    </cfRule>
  </conditionalFormatting>
  <conditionalFormatting sqref="AB128:AB129">
    <cfRule type="expression" dxfId="91" priority="97">
      <formula>IF(AA128&gt;=25,1,0)</formula>
    </cfRule>
  </conditionalFormatting>
  <conditionalFormatting sqref="AB140:AB142">
    <cfRule type="expression" dxfId="90" priority="93">
      <formula>IF(AA140&gt;=25,1,0)</formula>
    </cfRule>
  </conditionalFormatting>
  <conditionalFormatting sqref="AB145:AB146">
    <cfRule type="expression" dxfId="89" priority="85">
      <formula>IF(AA145&gt;=25,1,0)</formula>
    </cfRule>
  </conditionalFormatting>
  <conditionalFormatting sqref="AB150:AB151">
    <cfRule type="expression" dxfId="88" priority="81">
      <formula>IF(AA150&gt;=25,1,0)</formula>
    </cfRule>
  </conditionalFormatting>
  <conditionalFormatting sqref="AB155:AB156">
    <cfRule type="expression" dxfId="87" priority="8">
      <formula>IF(AA155&gt;=25,1,0)</formula>
    </cfRule>
  </conditionalFormatting>
  <conditionalFormatting sqref="AB167">
    <cfRule type="expression" dxfId="86" priority="73">
      <formula>IF(AA167&gt;=25,1,0)</formula>
    </cfRule>
  </conditionalFormatting>
  <conditionalFormatting sqref="AB172">
    <cfRule type="expression" dxfId="85" priority="69">
      <formula>IF(AA172&gt;=25,1,0)</formula>
    </cfRule>
  </conditionalFormatting>
  <conditionalFormatting sqref="AB182">
    <cfRule type="expression" dxfId="84" priority="65">
      <formula>IF(AA182&gt;=25,1,0)</formula>
    </cfRule>
  </conditionalFormatting>
  <conditionalFormatting sqref="AB226">
    <cfRule type="expression" dxfId="83" priority="61">
      <formula>IF(AA226&gt;=25,1,0)</formula>
    </cfRule>
  </conditionalFormatting>
  <conditionalFormatting sqref="AB236:AB237">
    <cfRule type="expression" dxfId="82" priority="57">
      <formula>IF(AA236&gt;=25,1,0)</formula>
    </cfRule>
  </conditionalFormatting>
  <conditionalFormatting sqref="AB246:AB247">
    <cfRule type="expression" dxfId="81" priority="53">
      <formula>IF(AA246&gt;=25,1,0)</formula>
    </cfRule>
  </conditionalFormatting>
  <conditionalFormatting sqref="AB271">
    <cfRule type="expression" dxfId="80" priority="49">
      <formula>IF(AA271&gt;=25,1,0)</formula>
    </cfRule>
  </conditionalFormatting>
  <conditionalFormatting sqref="AB283">
    <cfRule type="expression" dxfId="79" priority="12">
      <formula>IF(AA283&gt;=25,1,0)</formula>
    </cfRule>
  </conditionalFormatting>
  <conditionalFormatting sqref="AB323">
    <cfRule type="expression" dxfId="78" priority="4">
      <formula>IF(AA323&gt;=25,1,0)</formula>
    </cfRule>
  </conditionalFormatting>
  <conditionalFormatting sqref="AC14">
    <cfRule type="expression" dxfId="77" priority="156">
      <formula>IF(AA14&gt;=50,1,0)</formula>
    </cfRule>
  </conditionalFormatting>
  <conditionalFormatting sqref="AC24">
    <cfRule type="expression" dxfId="76" priority="152">
      <formula>IF(AA24&gt;=50,1,0)</formula>
    </cfRule>
  </conditionalFormatting>
  <conditionalFormatting sqref="AC39">
    <cfRule type="expression" dxfId="75" priority="148">
      <formula>IF(AA39&gt;=50,1,0)</formula>
    </cfRule>
  </conditionalFormatting>
  <conditionalFormatting sqref="AC44:AC45">
    <cfRule type="expression" dxfId="74" priority="144">
      <formula>IF(AA44&gt;=50,1,0)</formula>
    </cfRule>
  </conditionalFormatting>
  <conditionalFormatting sqref="AC56">
    <cfRule type="expression" dxfId="73" priority="140">
      <formula>IF(AA56&gt;=50,1,0)</formula>
    </cfRule>
  </conditionalFormatting>
  <conditionalFormatting sqref="AC66">
    <cfRule type="expression" dxfId="72" priority="116">
      <formula>IF(AA66&gt;=50,1,0)</formula>
    </cfRule>
  </conditionalFormatting>
  <conditionalFormatting sqref="AC76:AC79">
    <cfRule type="expression" dxfId="71" priority="124">
      <formula>IF(AA76&gt;=50,1,0)</formula>
    </cfRule>
  </conditionalFormatting>
  <conditionalFormatting sqref="AC86">
    <cfRule type="expression" dxfId="70" priority="120">
      <formula>IF(AA86&gt;=50,1,0)</formula>
    </cfRule>
  </conditionalFormatting>
  <conditionalFormatting sqref="AC103:AC104">
    <cfRule type="expression" dxfId="69" priority="112">
      <formula>IF(AA103&gt;=50,1,0)</formula>
    </cfRule>
  </conditionalFormatting>
  <conditionalFormatting sqref="AC108:AC109">
    <cfRule type="expression" dxfId="68" priority="108">
      <formula>IF(AA108&gt;=50,1,0)</formula>
    </cfRule>
  </conditionalFormatting>
  <conditionalFormatting sqref="AC113:AC114">
    <cfRule type="expression" dxfId="67" priority="104">
      <formula>IF(AA113&gt;=50,1,0)</formula>
    </cfRule>
  </conditionalFormatting>
  <conditionalFormatting sqref="AC118:AC119">
    <cfRule type="expression" dxfId="66" priority="100">
      <formula>IF(AA118&gt;=50,1,0)</formula>
    </cfRule>
  </conditionalFormatting>
  <conditionalFormatting sqref="AC128:AC129">
    <cfRule type="expression" dxfId="65" priority="96">
      <formula>IF(AA128&gt;=50,1,0)</formula>
    </cfRule>
  </conditionalFormatting>
  <conditionalFormatting sqref="AC140:AC142">
    <cfRule type="expression" dxfId="64" priority="92">
      <formula>IF(AA140&gt;=50,1,0)</formula>
    </cfRule>
  </conditionalFormatting>
  <conditionalFormatting sqref="AC145:AC146">
    <cfRule type="expression" dxfId="63" priority="84">
      <formula>IF(AA145&gt;=50,1,0)</formula>
    </cfRule>
  </conditionalFormatting>
  <conditionalFormatting sqref="AC150:AC151">
    <cfRule type="expression" dxfId="62" priority="80">
      <formula>IF(AA150&gt;=50,1,0)</formula>
    </cfRule>
  </conditionalFormatting>
  <conditionalFormatting sqref="AC155:AC156">
    <cfRule type="expression" dxfId="61" priority="7">
      <formula>IF(AA155&gt;=50,1,0)</formula>
    </cfRule>
  </conditionalFormatting>
  <conditionalFormatting sqref="AC167">
    <cfRule type="expression" dxfId="60" priority="72">
      <formula>IF(AA167&gt;=50,1,0)</formula>
    </cfRule>
  </conditionalFormatting>
  <conditionalFormatting sqref="AC172">
    <cfRule type="expression" dxfId="59" priority="68">
      <formula>IF(AA172&gt;=50,1,0)</formula>
    </cfRule>
  </conditionalFormatting>
  <conditionalFormatting sqref="AC182">
    <cfRule type="expression" dxfId="58" priority="64">
      <formula>IF(AA182&gt;=50,1,0)</formula>
    </cfRule>
  </conditionalFormatting>
  <conditionalFormatting sqref="AC226">
    <cfRule type="expression" dxfId="57" priority="60">
      <formula>IF(AA226&gt;=50,1,0)</formula>
    </cfRule>
  </conditionalFormatting>
  <conditionalFormatting sqref="AC236:AC237">
    <cfRule type="expression" dxfId="56" priority="56">
      <formula>IF(AA236&gt;=50,1,0)</formula>
    </cfRule>
  </conditionalFormatting>
  <conditionalFormatting sqref="AC246:AC247">
    <cfRule type="expression" dxfId="55" priority="52">
      <formula>IF(AA246&gt;=50,1,0)</formula>
    </cfRule>
  </conditionalFormatting>
  <conditionalFormatting sqref="AC271">
    <cfRule type="expression" dxfId="54" priority="48">
      <formula>IF(AA271&gt;=50,1,0)</formula>
    </cfRule>
  </conditionalFormatting>
  <conditionalFormatting sqref="AC283">
    <cfRule type="expression" dxfId="53" priority="11">
      <formula>IF(AA283&gt;=50,1,0)</formula>
    </cfRule>
  </conditionalFormatting>
  <conditionalFormatting sqref="AC323">
    <cfRule type="expression" dxfId="52" priority="3">
      <formula>IF(AA323&gt;=50,1,0)</formula>
    </cfRule>
  </conditionalFormatting>
  <conditionalFormatting sqref="AD14">
    <cfRule type="expression" dxfId="51" priority="155">
      <formula>IF(AA14&gt;=75,1,0)</formula>
    </cfRule>
  </conditionalFormatting>
  <conditionalFormatting sqref="AD24">
    <cfRule type="expression" dxfId="50" priority="151">
      <formula>IF(AA24&gt;=75,1,0)</formula>
    </cfRule>
  </conditionalFormatting>
  <conditionalFormatting sqref="AD39">
    <cfRule type="expression" dxfId="49" priority="147">
      <formula>IF(AA39&gt;=75,1,0)</formula>
    </cfRule>
  </conditionalFormatting>
  <conditionalFormatting sqref="AD44:AD45">
    <cfRule type="expression" dxfId="48" priority="143">
      <formula>IF(AA44&gt;=75,1,0)</formula>
    </cfRule>
  </conditionalFormatting>
  <conditionalFormatting sqref="AD56">
    <cfRule type="expression" dxfId="47" priority="139">
      <formula>IF(AA56&gt;=75,1,0)</formula>
    </cfRule>
  </conditionalFormatting>
  <conditionalFormatting sqref="AD66">
    <cfRule type="expression" dxfId="46" priority="115">
      <formula>IF(AA66&gt;=75,1,0)</formula>
    </cfRule>
  </conditionalFormatting>
  <conditionalFormatting sqref="AD76:AD79">
    <cfRule type="expression" dxfId="45" priority="123">
      <formula>IF(AA76&gt;=75,1,0)</formula>
    </cfRule>
  </conditionalFormatting>
  <conditionalFormatting sqref="AD86">
    <cfRule type="expression" dxfId="44" priority="119">
      <formula>IF(AA86&gt;=75,1,0)</formula>
    </cfRule>
  </conditionalFormatting>
  <conditionalFormatting sqref="AD103:AD104">
    <cfRule type="expression" dxfId="43" priority="111">
      <formula>IF(AA103&gt;=75,1,0)</formula>
    </cfRule>
  </conditionalFormatting>
  <conditionalFormatting sqref="AD108:AD109">
    <cfRule type="expression" dxfId="42" priority="107">
      <formula>IF(AA108&gt;=75,1,0)</formula>
    </cfRule>
  </conditionalFormatting>
  <conditionalFormatting sqref="AD113:AD114">
    <cfRule type="expression" dxfId="41" priority="103">
      <formula>IF(AA113&gt;=75,1,0)</formula>
    </cfRule>
  </conditionalFormatting>
  <conditionalFormatting sqref="AD118:AD119">
    <cfRule type="expression" dxfId="40" priority="99">
      <formula>IF(AA118&gt;=75,1,0)</formula>
    </cfRule>
  </conditionalFormatting>
  <conditionalFormatting sqref="AD128:AD129">
    <cfRule type="expression" dxfId="39" priority="95">
      <formula>IF(AA128&gt;=75,1,0)</formula>
    </cfRule>
  </conditionalFormatting>
  <conditionalFormatting sqref="AD140:AD142">
    <cfRule type="expression" dxfId="38" priority="91">
      <formula>IF(AA140&gt;=75,1,0)</formula>
    </cfRule>
  </conditionalFormatting>
  <conditionalFormatting sqref="AD145:AD146">
    <cfRule type="expression" dxfId="37" priority="83">
      <formula>IF(AA145&gt;=75,1,0)</formula>
    </cfRule>
  </conditionalFormatting>
  <conditionalFormatting sqref="AD150:AD151">
    <cfRule type="expression" dxfId="36" priority="79">
      <formula>IF(AA150&gt;=75,1,0)</formula>
    </cfRule>
  </conditionalFormatting>
  <conditionalFormatting sqref="AD155:AD156">
    <cfRule type="expression" dxfId="35" priority="6">
      <formula>IF(AA155&gt;=75,1,0)</formula>
    </cfRule>
  </conditionalFormatting>
  <conditionalFormatting sqref="AD167">
    <cfRule type="expression" dxfId="34" priority="71">
      <formula>IF(AA167&gt;=75,1,0)</formula>
    </cfRule>
  </conditionalFormatting>
  <conditionalFormatting sqref="AD172">
    <cfRule type="expression" dxfId="33" priority="67">
      <formula>IF(AA172&gt;=75,1,0)</formula>
    </cfRule>
  </conditionalFormatting>
  <conditionalFormatting sqref="AD182">
    <cfRule type="expression" dxfId="32" priority="63">
      <formula>IF(AA182&gt;=75,1,0)</formula>
    </cfRule>
  </conditionalFormatting>
  <conditionalFormatting sqref="AD226">
    <cfRule type="expression" dxfId="31" priority="59">
      <formula>IF(AA226&gt;=75,1,0)</formula>
    </cfRule>
  </conditionalFormatting>
  <conditionalFormatting sqref="AD236:AD237">
    <cfRule type="expression" dxfId="30" priority="55">
      <formula>IF(AA236&gt;=75,1,0)</formula>
    </cfRule>
  </conditionalFormatting>
  <conditionalFormatting sqref="AD246:AD247">
    <cfRule type="expression" dxfId="29" priority="51">
      <formula>IF(AA246&gt;=75,1,0)</formula>
    </cfRule>
  </conditionalFormatting>
  <conditionalFormatting sqref="AD271">
    <cfRule type="expression" dxfId="28" priority="47">
      <formula>IF(AA271&gt;=75,1,0)</formula>
    </cfRule>
  </conditionalFormatting>
  <conditionalFormatting sqref="AD283">
    <cfRule type="expression" dxfId="27" priority="10">
      <formula>IF(AA283&gt;=75,1,0)</formula>
    </cfRule>
  </conditionalFormatting>
  <conditionalFormatting sqref="AD323">
    <cfRule type="expression" dxfId="26" priority="2">
      <formula>IF(AA323&gt;=75,1,0)</formula>
    </cfRule>
  </conditionalFormatting>
  <conditionalFormatting sqref="AE14">
    <cfRule type="expression" dxfId="25" priority="154">
      <formula>IF(AA14=100,1,0)</formula>
    </cfRule>
  </conditionalFormatting>
  <conditionalFormatting sqref="AE24">
    <cfRule type="expression" dxfId="24" priority="150">
      <formula>IF(AA24=100,1,0)</formula>
    </cfRule>
  </conditionalFormatting>
  <conditionalFormatting sqref="AE39">
    <cfRule type="expression" dxfId="23" priority="146">
      <formula>IF(AA39=100,1,0)</formula>
    </cfRule>
  </conditionalFormatting>
  <conditionalFormatting sqref="AE44:AE45">
    <cfRule type="expression" dxfId="22" priority="142">
      <formula>IF(AA44=100,1,0)</formula>
    </cfRule>
  </conditionalFormatting>
  <conditionalFormatting sqref="AE56">
    <cfRule type="expression" dxfId="21" priority="138">
      <formula>IF(AA56=100,1,0)</formula>
    </cfRule>
  </conditionalFormatting>
  <conditionalFormatting sqref="AE66">
    <cfRule type="expression" dxfId="20" priority="114">
      <formula>IF(AA66=100,1,0)</formula>
    </cfRule>
  </conditionalFormatting>
  <conditionalFormatting sqref="AE76:AE79">
    <cfRule type="expression" dxfId="19" priority="122">
      <formula>IF(AA76=100,1,0)</formula>
    </cfRule>
  </conditionalFormatting>
  <conditionalFormatting sqref="AE86">
    <cfRule type="expression" dxfId="18" priority="118">
      <formula>IF(AA86=100,1,0)</formula>
    </cfRule>
  </conditionalFormatting>
  <conditionalFormatting sqref="AE103:AE104">
    <cfRule type="expression" dxfId="17" priority="110">
      <formula>IF(AA103=100,1,0)</formula>
    </cfRule>
  </conditionalFormatting>
  <conditionalFormatting sqref="AE108:AE109">
    <cfRule type="expression" dxfId="16" priority="106">
      <formula>IF(AA108=100,1,0)</formula>
    </cfRule>
  </conditionalFormatting>
  <conditionalFormatting sqref="AE113:AE114">
    <cfRule type="expression" dxfId="15" priority="102">
      <formula>IF(AA113=100,1,0)</formula>
    </cfRule>
  </conditionalFormatting>
  <conditionalFormatting sqref="AE118:AE119">
    <cfRule type="expression" dxfId="14" priority="98">
      <formula>IF(AA118=100,1,0)</formula>
    </cfRule>
  </conditionalFormatting>
  <conditionalFormatting sqref="AE128:AE129">
    <cfRule type="expression" dxfId="13" priority="94">
      <formula>IF(AA128=100,1,0)</formula>
    </cfRule>
  </conditionalFormatting>
  <conditionalFormatting sqref="AE140:AE142">
    <cfRule type="expression" dxfId="12" priority="90">
      <formula>IF(AA140=100,1,0)</formula>
    </cfRule>
  </conditionalFormatting>
  <conditionalFormatting sqref="AE145:AE146">
    <cfRule type="expression" dxfId="11" priority="82">
      <formula>IF(AA145=100,1,0)</formula>
    </cfRule>
  </conditionalFormatting>
  <conditionalFormatting sqref="AE150:AE151">
    <cfRule type="expression" dxfId="10" priority="78">
      <formula>IF(AA150=100,1,0)</formula>
    </cfRule>
  </conditionalFormatting>
  <conditionalFormatting sqref="AE155:AE156">
    <cfRule type="expression" dxfId="9" priority="5">
      <formula>IF(AA155=100,1,0)</formula>
    </cfRule>
  </conditionalFormatting>
  <conditionalFormatting sqref="AE167">
    <cfRule type="expression" dxfId="8" priority="70">
      <formula>IF(AA167=100,1,0)</formula>
    </cfRule>
  </conditionalFormatting>
  <conditionalFormatting sqref="AE172">
    <cfRule type="expression" dxfId="7" priority="66">
      <formula>IF(AA172=100,1,0)</formula>
    </cfRule>
  </conditionalFormatting>
  <conditionalFormatting sqref="AE182">
    <cfRule type="expression" dxfId="6" priority="62">
      <formula>IF(AA182=100,1,0)</formula>
    </cfRule>
  </conditionalFormatting>
  <conditionalFormatting sqref="AE226">
    <cfRule type="expression" dxfId="5" priority="58">
      <formula>IF(AA226=100,1,0)</formula>
    </cfRule>
  </conditionalFormatting>
  <conditionalFormatting sqref="AE236:AE237">
    <cfRule type="expression" dxfId="4" priority="54">
      <formula>IF(AA236=100,1,0)</formula>
    </cfRule>
  </conditionalFormatting>
  <conditionalFormatting sqref="AE246:AE247">
    <cfRule type="expression" dxfId="3" priority="50">
      <formula>IF(AA246=100,1,0)</formula>
    </cfRule>
  </conditionalFormatting>
  <conditionalFormatting sqref="AE271">
    <cfRule type="expression" dxfId="2" priority="46">
      <formula>IF(AA271=100,1,0)</formula>
    </cfRule>
  </conditionalFormatting>
  <conditionalFormatting sqref="AE283">
    <cfRule type="expression" dxfId="1" priority="9">
      <formula>IF(AA283=100,1,0)</formula>
    </cfRule>
  </conditionalFormatting>
  <conditionalFormatting sqref="AE323">
    <cfRule type="expression" dxfId="0" priority="1">
      <formula>IF(AA323=100,1,0)</formula>
    </cfRule>
  </conditionalFormatting>
  <dataValidations count="3">
    <dataValidation type="list" allowBlank="1" showInputMessage="1" showErrorMessage="1" sqref="Q167:Q186 Q283:Q332 Q194:Q218 Q231:Q275 Q140:Q159 Q103:Q132 Q56:Q95 Q14:Q48" xr:uid="{DE0CABD9-CB7A-434E-9525-24908E62DA0E}">
      <formula1>$Q$350:$Q$355</formula1>
    </dataValidation>
    <dataValidation type="list" allowBlank="1" showInputMessage="1" showErrorMessage="1" sqref="J1" xr:uid="{59228696-C2B7-410F-97A6-EA3C3D39247E}">
      <formula1>$E$12:$I$12</formula1>
    </dataValidation>
    <dataValidation type="list" allowBlank="1" showInputMessage="1" showErrorMessage="1" sqref="AG3:AG7" xr:uid="{6F856078-B02E-4EF3-88B2-C6D5D1EE5F39}">
      <formula1>#REF!</formula1>
    </dataValidation>
  </dataValidations>
  <printOptions horizontalCentered="1"/>
  <pageMargins left="0.39370078740157483" right="0.39370078740157483" top="0.39370078740157483" bottom="0.59055118110236227" header="0.31496062992125984" footer="0.15748031496062992"/>
  <pageSetup paperSize="8" scale="78" fitToHeight="0" orientation="landscape" r:id="rId1"/>
  <headerFooter>
    <oddFooter>&amp;L마지막 업데이트 날짜 : &amp;D&amp;CSmart Green (주)아키테코그룹&amp;R대표이사 이종일 010-8731-0424 / il@architeco.kr
이사 김선형 010-2108-1588 / ksh@architeco.kr</oddFooter>
  </headerFooter>
  <colBreaks count="1" manualBreakCount="1">
    <brk id="31" max="1048575"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913D427-A9A0-4768-8CCF-617618AE8441}">
          <x14:formula1>
            <xm:f>데이터유효성!$B$2:$B$5</xm:f>
          </x14:formula1>
          <xm:sqref>Z14 Z246:Z247 Z24 Z39 Z76:Z79 Z236:Z237 Z56 Z271 Z66 Z44:Z45 Z86 Z103:Z104 Z108:Z109 Z113:Z114 Z118:Z119 Z140:Z142 Z128:Z129 Z145:Z146 Z150:Z151 Z155:Z156 Z167 Z172 Z182 Z226 Z283 Z323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2F07E-7DDF-46F8-9B3E-40D832697C41}">
  <sheetPr>
    <tabColor theme="1"/>
  </sheetPr>
  <dimension ref="B2:H20"/>
  <sheetViews>
    <sheetView zoomScaleNormal="100" workbookViewId="0">
      <selection activeCell="D12" sqref="D12"/>
    </sheetView>
  </sheetViews>
  <sheetFormatPr defaultRowHeight="16.5"/>
  <cols>
    <col min="2" max="2" width="18" bestFit="1" customWidth="1"/>
    <col min="3" max="3" width="10.125" customWidth="1"/>
    <col min="4" max="4" width="18.25" customWidth="1"/>
    <col min="5" max="5" width="20.5" customWidth="1"/>
  </cols>
  <sheetData>
    <row r="2" spans="2:8">
      <c r="B2" s="589" t="s">
        <v>356</v>
      </c>
      <c r="C2" s="589" t="s">
        <v>357</v>
      </c>
      <c r="D2" s="589"/>
      <c r="E2" s="589"/>
    </row>
    <row r="3" spans="2:8">
      <c r="B3" s="589"/>
      <c r="C3" s="590" t="s">
        <v>358</v>
      </c>
      <c r="D3" s="590"/>
      <c r="E3" s="590"/>
    </row>
    <row r="4" spans="2:8">
      <c r="B4" s="105"/>
      <c r="C4" s="105"/>
      <c r="D4" s="105"/>
      <c r="E4" s="105"/>
    </row>
    <row r="5" spans="2:8" ht="25.35" customHeight="1">
      <c r="B5" s="99" t="s">
        <v>352</v>
      </c>
      <c r="C5" s="99" t="s">
        <v>340</v>
      </c>
      <c r="D5" s="99" t="s">
        <v>353</v>
      </c>
      <c r="E5" s="99" t="s">
        <v>355</v>
      </c>
    </row>
    <row r="6" spans="2:8" ht="25.35" customHeight="1">
      <c r="B6" s="106" t="s">
        <v>351</v>
      </c>
      <c r="C6" s="101" t="e">
        <f>'#1 - 메인 UI'!#REF!</f>
        <v>#REF!</v>
      </c>
      <c r="D6" s="103">
        <v>4758.5200000000004</v>
      </c>
      <c r="E6" s="591">
        <f>+D6+D7</f>
        <v>6062.3200000000006</v>
      </c>
      <c r="G6" s="108">
        <f>+D6/E6</f>
        <v>0.78493382071550166</v>
      </c>
      <c r="H6" s="109"/>
    </row>
    <row r="7" spans="2:8" ht="25.35" customHeight="1">
      <c r="B7" s="107" t="s">
        <v>354</v>
      </c>
      <c r="C7" s="102">
        <f>일반!Y344</f>
        <v>17.55</v>
      </c>
      <c r="D7" s="104">
        <v>1303.8</v>
      </c>
      <c r="E7" s="592"/>
      <c r="G7" s="108">
        <f>+D7/E6</f>
        <v>0.21506617928449831</v>
      </c>
      <c r="H7" s="109" t="s">
        <v>359</v>
      </c>
    </row>
    <row r="8" spans="2:8" ht="25.35" customHeight="1">
      <c r="B8" s="100" t="s">
        <v>350</v>
      </c>
      <c r="C8" s="100" t="e">
        <f>ROUND(SUMPRODUCT(C6:C7,D6:D7)/E6,2)</f>
        <v>#REF!</v>
      </c>
      <c r="D8" s="100" t="s">
        <v>136</v>
      </c>
      <c r="E8" s="100" t="e">
        <f>VLOOKUP(C8,C16:D20,2,TRUE)</f>
        <v>#REF!</v>
      </c>
    </row>
    <row r="12" spans="2:8">
      <c r="C12" s="2"/>
      <c r="D12" s="3"/>
    </row>
    <row r="13" spans="2:8">
      <c r="C13" s="50"/>
      <c r="D13" s="3"/>
    </row>
    <row r="14" spans="2:8">
      <c r="C14" s="50"/>
      <c r="D14" s="3"/>
    </row>
    <row r="15" spans="2:8">
      <c r="C15" s="94" t="s">
        <v>345</v>
      </c>
      <c r="D15" s="3"/>
    </row>
    <row r="16" spans="2:8">
      <c r="C16" s="98">
        <v>0</v>
      </c>
      <c r="D16" s="93" t="s">
        <v>338</v>
      </c>
    </row>
    <row r="17" spans="3:4">
      <c r="C17" s="98">
        <v>50</v>
      </c>
      <c r="D17" s="93" t="s">
        <v>450</v>
      </c>
    </row>
    <row r="18" spans="3:4">
      <c r="C18" s="98">
        <v>60</v>
      </c>
      <c r="D18" s="93" t="s">
        <v>451</v>
      </c>
    </row>
    <row r="19" spans="3:4">
      <c r="C19" s="98">
        <v>70</v>
      </c>
      <c r="D19" s="93" t="s">
        <v>452</v>
      </c>
    </row>
    <row r="20" spans="3:4">
      <c r="C20" s="98">
        <v>80</v>
      </c>
      <c r="D20" s="93" t="s">
        <v>453</v>
      </c>
    </row>
  </sheetData>
  <mergeCells count="4">
    <mergeCell ref="B2:B3"/>
    <mergeCell ref="C2:E2"/>
    <mergeCell ref="C3:E3"/>
    <mergeCell ref="E6:E7"/>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5F90-BF01-4AE3-997E-7F7753E21C36}">
  <sheetPr>
    <tabColor theme="1"/>
  </sheetPr>
  <dimension ref="B1:C5"/>
  <sheetViews>
    <sheetView workbookViewId="0">
      <selection activeCell="D14" sqref="D14"/>
    </sheetView>
  </sheetViews>
  <sheetFormatPr defaultRowHeight="16.5"/>
  <sheetData>
    <row r="1" spans="2:3">
      <c r="B1" s="135" t="s">
        <v>375</v>
      </c>
    </row>
    <row r="2" spans="2:3">
      <c r="B2" t="s">
        <v>135</v>
      </c>
      <c r="C2">
        <v>25</v>
      </c>
    </row>
    <row r="3" spans="2:3">
      <c r="B3" t="s">
        <v>377</v>
      </c>
      <c r="C3">
        <v>50</v>
      </c>
    </row>
    <row r="4" spans="2:3">
      <c r="B4" t="s">
        <v>378</v>
      </c>
      <c r="C4">
        <v>75</v>
      </c>
    </row>
    <row r="5" spans="2:3">
      <c r="B5" t="s">
        <v>134</v>
      </c>
      <c r="C5">
        <v>100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워크시트</vt:lpstr>
      </vt:variant>
      <vt:variant>
        <vt:i4>11</vt:i4>
      </vt:variant>
      <vt:variant>
        <vt:lpstr>차트</vt:lpstr>
      </vt:variant>
      <vt:variant>
        <vt:i4>1</vt:i4>
      </vt:variant>
      <vt:variant>
        <vt:lpstr>이름 지정된 범위</vt:lpstr>
      </vt:variant>
      <vt:variant>
        <vt:i4>7</vt:i4>
      </vt:variant>
    </vt:vector>
  </HeadingPairs>
  <TitlesOfParts>
    <vt:vector size="19" baseType="lpstr">
      <vt:lpstr>#1 - 메인 UI</vt:lpstr>
      <vt:lpstr>#2 - 자세히보기</vt:lpstr>
      <vt:lpstr>판정결과LIST</vt:lpstr>
      <vt:lpstr>법규 검토 과정</vt:lpstr>
      <vt:lpstr>조건문 LIST</vt:lpstr>
      <vt:lpstr>입력값 리스트(데이터 유효성)</vt:lpstr>
      <vt:lpstr>일반</vt:lpstr>
      <vt:lpstr>복합건축물 배점표</vt:lpstr>
      <vt:lpstr>데이터유효성</vt:lpstr>
      <vt:lpstr>COLOR PATCH</vt:lpstr>
      <vt:lpstr>Sheet1 (2)</vt:lpstr>
      <vt:lpstr>Chart1</vt:lpstr>
      <vt:lpstr>'#1 - 메인 UI'!Print_Area</vt:lpstr>
      <vt:lpstr>'#2 - 자세히보기'!Print_Area</vt:lpstr>
      <vt:lpstr>'복합건축물 배점표'!Print_Area</vt:lpstr>
      <vt:lpstr>일반!Print_Area</vt:lpstr>
      <vt:lpstr>'#1 - 메인 UI'!Print_Titles</vt:lpstr>
      <vt:lpstr>'#2 - 자세히보기'!Print_Titles</vt:lpstr>
      <vt:lpstr>일반!Print_Titles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hclee</dc:creator>
  <cp:lastModifiedBy>hclee</cp:lastModifiedBy>
  <cp:lastPrinted>2023-03-02T09:39:59Z</cp:lastPrinted>
  <dcterms:created xsi:type="dcterms:W3CDTF">2022-08-23T04:45:02Z</dcterms:created>
  <dcterms:modified xsi:type="dcterms:W3CDTF">2023-04-20T04:32:17Z</dcterms:modified>
</cp:coreProperties>
</file>