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rchW\Desktop\fizikalni-praktikum\meritve vaja 2\"/>
    </mc:Choice>
  </mc:AlternateContent>
  <xr:revisionPtr revIDLastSave="0" documentId="13_ncr:1_{8F00E7E8-102C-43F7-B18B-C94C5DFDABFC}" xr6:coauthVersionLast="47" xr6:coauthVersionMax="47" xr10:uidLastSave="{00000000-0000-0000-0000-000000000000}"/>
  <bookViews>
    <workbookView xWindow="2567" yWindow="2567" windowWidth="15000" windowHeight="9720" tabRatio="19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8" i="1" l="1"/>
  <c r="H69" i="1"/>
  <c r="H70" i="1"/>
  <c r="H71" i="1"/>
  <c r="H72" i="1"/>
  <c r="H73" i="1"/>
  <c r="H74" i="1"/>
  <c r="H75" i="1"/>
  <c r="H76" i="1"/>
  <c r="H77" i="1"/>
  <c r="H67" i="1"/>
  <c r="H45" i="2"/>
  <c r="H46" i="2"/>
  <c r="H47" i="2"/>
  <c r="H48" i="2"/>
  <c r="H49" i="2"/>
  <c r="H50" i="2"/>
  <c r="H51" i="2"/>
  <c r="H52" i="2"/>
  <c r="H53" i="2"/>
  <c r="H54" i="2"/>
  <c r="H44" i="2"/>
  <c r="G46" i="2"/>
  <c r="G47" i="2"/>
  <c r="G48" i="2" s="1"/>
  <c r="G49" i="2" s="1"/>
  <c r="G50" i="2" s="1"/>
  <c r="G51" i="2" s="1"/>
  <c r="G52" i="2" s="1"/>
  <c r="G53" i="2" s="1"/>
  <c r="G54" i="2" s="1"/>
  <c r="G45" i="2"/>
  <c r="F31" i="2"/>
  <c r="F32" i="2"/>
  <c r="F33" i="2"/>
  <c r="F34" i="2"/>
  <c r="F35" i="2"/>
  <c r="F36" i="2"/>
  <c r="F37" i="2"/>
  <c r="F38" i="2"/>
  <c r="F39" i="2"/>
  <c r="F40" i="2"/>
  <c r="F30" i="2"/>
  <c r="B30" i="2"/>
  <c r="B31" i="2"/>
  <c r="G40" i="2"/>
  <c r="I40" i="2" s="1"/>
  <c r="D40" i="2" s="1"/>
  <c r="C40" i="2" s="1"/>
  <c r="G39" i="2"/>
  <c r="G38" i="2"/>
  <c r="G37" i="2"/>
  <c r="G36" i="2"/>
  <c r="G35" i="2"/>
  <c r="I35" i="2" s="1"/>
  <c r="D35" i="2" s="1"/>
  <c r="C35" i="2" s="1"/>
  <c r="G34" i="2"/>
  <c r="G33" i="2"/>
  <c r="I33" i="2" s="1"/>
  <c r="D33" i="2" s="1"/>
  <c r="C33" i="2" s="1"/>
  <c r="G32" i="2"/>
  <c r="G31" i="2"/>
  <c r="I36" i="2"/>
  <c r="D36" i="2" s="1"/>
  <c r="C36" i="2" s="1"/>
  <c r="G30" i="2"/>
  <c r="B67" i="1"/>
  <c r="C67" i="1" s="1"/>
  <c r="F59" i="1"/>
  <c r="H30" i="2"/>
  <c r="H31" i="2"/>
  <c r="H32" i="2"/>
  <c r="H33" i="2"/>
  <c r="H34" i="2"/>
  <c r="I34" i="2" s="1"/>
  <c r="D34" i="2" s="1"/>
  <c r="C34" i="2" s="1"/>
  <c r="H35" i="2"/>
  <c r="H36" i="2"/>
  <c r="H37" i="2"/>
  <c r="H38" i="2"/>
  <c r="H39" i="2"/>
  <c r="H40" i="2"/>
  <c r="I37" i="2"/>
  <c r="D37" i="2" s="1"/>
  <c r="C37" i="2" s="1"/>
  <c r="I38" i="2"/>
  <c r="D38" i="2" s="1"/>
  <c r="C38" i="2" s="1"/>
  <c r="B32" i="2"/>
  <c r="B33" i="2"/>
  <c r="B34" i="2"/>
  <c r="B35" i="2"/>
  <c r="B36" i="2"/>
  <c r="B37" i="2"/>
  <c r="B38" i="2"/>
  <c r="B39" i="2"/>
  <c r="B40" i="2"/>
  <c r="A31" i="2"/>
  <c r="A32" i="2" s="1"/>
  <c r="A33" i="2" s="1"/>
  <c r="A34" i="2" s="1"/>
  <c r="A35" i="2" s="1"/>
  <c r="A36" i="2" s="1"/>
  <c r="A37" i="2" s="1"/>
  <c r="A38" i="2" s="1"/>
  <c r="A39" i="2" s="1"/>
  <c r="A40" i="2" s="1"/>
  <c r="K17" i="2"/>
  <c r="K18" i="2"/>
  <c r="K19" i="2"/>
  <c r="K20" i="2"/>
  <c r="K21" i="2"/>
  <c r="K22" i="2"/>
  <c r="K23" i="2"/>
  <c r="K24" i="2"/>
  <c r="K25" i="2"/>
  <c r="K26" i="2"/>
  <c r="K16" i="2"/>
  <c r="L16" i="2"/>
  <c r="L17" i="2"/>
  <c r="L18" i="2"/>
  <c r="L19" i="2"/>
  <c r="L20" i="2"/>
  <c r="L21" i="2"/>
  <c r="L22" i="2"/>
  <c r="L23" i="2"/>
  <c r="L24" i="2"/>
  <c r="L25" i="2"/>
  <c r="L26" i="2"/>
  <c r="J17" i="2"/>
  <c r="J18" i="2"/>
  <c r="J19" i="2"/>
  <c r="J20" i="2"/>
  <c r="J21" i="2"/>
  <c r="J22" i="2"/>
  <c r="J23" i="2"/>
  <c r="J24" i="2"/>
  <c r="J25" i="2"/>
  <c r="J26" i="2"/>
  <c r="J16" i="2"/>
  <c r="H26" i="2"/>
  <c r="G26" i="2" s="1"/>
  <c r="H17" i="2"/>
  <c r="G17" i="2" s="1"/>
  <c r="H18" i="2"/>
  <c r="H19" i="2"/>
  <c r="H20" i="2"/>
  <c r="H21" i="2"/>
  <c r="G21" i="2" s="1"/>
  <c r="H22" i="2"/>
  <c r="G22" i="2" s="1"/>
  <c r="H23" i="2"/>
  <c r="H24" i="2"/>
  <c r="G24" i="2" s="1"/>
  <c r="H25" i="2"/>
  <c r="G25" i="2" s="1"/>
  <c r="H16" i="2"/>
  <c r="G16" i="2" s="1"/>
  <c r="G18" i="2"/>
  <c r="G19" i="2"/>
  <c r="G20" i="2"/>
  <c r="G23" i="2"/>
  <c r="F17" i="2"/>
  <c r="F18" i="2"/>
  <c r="F19" i="2"/>
  <c r="F20" i="2"/>
  <c r="F21" i="2"/>
  <c r="F22" i="2"/>
  <c r="F23" i="2"/>
  <c r="F24" i="2"/>
  <c r="F25" i="2"/>
  <c r="F26" i="2"/>
  <c r="F16" i="2"/>
  <c r="E17" i="2"/>
  <c r="E18" i="2" s="1"/>
  <c r="E19" i="2" s="1"/>
  <c r="E20" i="2" s="1"/>
  <c r="E21" i="2" s="1"/>
  <c r="E22" i="2" s="1"/>
  <c r="E23" i="2" s="1"/>
  <c r="E24" i="2" s="1"/>
  <c r="E25" i="2" s="1"/>
  <c r="E26" i="2" s="1"/>
  <c r="C27" i="2"/>
  <c r="C26" i="2"/>
  <c r="C25" i="2"/>
  <c r="C17" i="2"/>
  <c r="C18" i="2"/>
  <c r="C19" i="2"/>
  <c r="C24" i="2"/>
  <c r="C23" i="2"/>
  <c r="C21" i="2"/>
  <c r="C22" i="2"/>
  <c r="C20" i="2"/>
  <c r="C16" i="2"/>
  <c r="A26" i="2"/>
  <c r="A18" i="2"/>
  <c r="A19" i="2" s="1"/>
  <c r="A20" i="2" s="1"/>
  <c r="A21" i="2" s="1"/>
  <c r="A22" i="2" s="1"/>
  <c r="A23" i="2" s="1"/>
  <c r="A24" i="2" s="1"/>
  <c r="A25" i="2" s="1"/>
  <c r="A17" i="2"/>
  <c r="C12" i="2"/>
  <c r="D12" i="2"/>
  <c r="B12" i="2"/>
  <c r="C21" i="1"/>
  <c r="D21" i="1" s="1"/>
  <c r="J20" i="1" s="1"/>
  <c r="B10" i="2"/>
  <c r="B9" i="2"/>
  <c r="C9" i="2" s="1"/>
  <c r="E21" i="1"/>
  <c r="I20" i="1"/>
  <c r="B24" i="1" s="1"/>
  <c r="B27" i="1" s="1"/>
  <c r="D72" i="1" s="1"/>
  <c r="D9" i="2"/>
  <c r="J5" i="2"/>
  <c r="L5" i="2" s="1"/>
  <c r="D10" i="2" s="1"/>
  <c r="K5" i="2"/>
  <c r="H7" i="2"/>
  <c r="G7" i="2"/>
  <c r="C7" i="2"/>
  <c r="D7" i="2" s="1"/>
  <c r="B7" i="2"/>
  <c r="F7" i="2"/>
  <c r="B6" i="2"/>
  <c r="B5" i="2"/>
  <c r="C40" i="1"/>
  <c r="C41" i="1"/>
  <c r="E41" i="1" s="1"/>
  <c r="C42" i="1"/>
  <c r="E42" i="1" s="1"/>
  <c r="C43" i="1"/>
  <c r="C44" i="1"/>
  <c r="C45" i="1"/>
  <c r="E45" i="1" s="1"/>
  <c r="C46" i="1"/>
  <c r="C47" i="1"/>
  <c r="C48" i="1"/>
  <c r="C49" i="1"/>
  <c r="C39" i="1"/>
  <c r="E39" i="1" s="1"/>
  <c r="A77" i="1"/>
  <c r="A75" i="1"/>
  <c r="A76" i="1" s="1"/>
  <c r="A69" i="1"/>
  <c r="A70" i="1"/>
  <c r="A71" i="1"/>
  <c r="A72" i="1" s="1"/>
  <c r="A73" i="1" s="1"/>
  <c r="A74" i="1" s="1"/>
  <c r="A68" i="1"/>
  <c r="A56" i="1"/>
  <c r="A57" i="1" s="1"/>
  <c r="A58" i="1" s="1"/>
  <c r="A59" i="1" s="1"/>
  <c r="A60" i="1" s="1"/>
  <c r="A61" i="1" s="1"/>
  <c r="A62" i="1" s="1"/>
  <c r="A63" i="1" s="1"/>
  <c r="A64" i="1" s="1"/>
  <c r="I40" i="1"/>
  <c r="I41" i="1"/>
  <c r="I42" i="1"/>
  <c r="I43" i="1"/>
  <c r="I44" i="1"/>
  <c r="I45" i="1"/>
  <c r="I46" i="1"/>
  <c r="I47" i="1"/>
  <c r="I48" i="1"/>
  <c r="I49" i="1"/>
  <c r="I39" i="1"/>
  <c r="H40" i="1"/>
  <c r="H41" i="1"/>
  <c r="H42" i="1"/>
  <c r="H43" i="1"/>
  <c r="H44" i="1"/>
  <c r="H45" i="1"/>
  <c r="H46" i="1"/>
  <c r="H47" i="1"/>
  <c r="H48" i="1"/>
  <c r="H49" i="1"/>
  <c r="H39" i="1"/>
  <c r="A49" i="1"/>
  <c r="A39" i="1"/>
  <c r="G39" i="1"/>
  <c r="G49" i="1"/>
  <c r="G48" i="1"/>
  <c r="G40" i="1"/>
  <c r="G41" i="1"/>
  <c r="G42" i="1"/>
  <c r="G44" i="1"/>
  <c r="G46" i="1"/>
  <c r="G47" i="1"/>
  <c r="G45" i="1"/>
  <c r="G43" i="1"/>
  <c r="E47" i="1"/>
  <c r="E46" i="1"/>
  <c r="E48" i="1"/>
  <c r="E49" i="1"/>
  <c r="E43" i="1"/>
  <c r="E44" i="1"/>
  <c r="A40" i="1"/>
  <c r="A41" i="1" s="1"/>
  <c r="A42" i="1" s="1"/>
  <c r="A43" i="1" s="1"/>
  <c r="A44" i="1" s="1"/>
  <c r="A45" i="1" s="1"/>
  <c r="A46" i="1" s="1"/>
  <c r="A47" i="1" s="1"/>
  <c r="A48" i="1" s="1"/>
  <c r="C27" i="1"/>
  <c r="I26" i="1"/>
  <c r="J26" i="1"/>
  <c r="H26" i="1"/>
  <c r="H4" i="1"/>
  <c r="D18" i="1"/>
  <c r="E18" i="1" s="1"/>
  <c r="D12" i="1"/>
  <c r="C18" i="1"/>
  <c r="E12" i="1"/>
  <c r="C12" i="1"/>
  <c r="B12" i="1"/>
  <c r="C11" i="1"/>
  <c r="C4" i="1"/>
  <c r="B10" i="1"/>
  <c r="C10" i="1" s="1"/>
  <c r="I32" i="2" l="1"/>
  <c r="D32" i="2" s="1"/>
  <c r="C32" i="2" s="1"/>
  <c r="I31" i="2"/>
  <c r="D31" i="2" s="1"/>
  <c r="C31" i="2" s="1"/>
  <c r="I30" i="2"/>
  <c r="D30" i="2" s="1"/>
  <c r="C30" i="2" s="1"/>
  <c r="I39" i="2"/>
  <c r="D39" i="2" s="1"/>
  <c r="C39" i="2" s="1"/>
  <c r="B11" i="2"/>
  <c r="K20" i="1"/>
  <c r="D24" i="1" s="1"/>
  <c r="H27" i="1"/>
  <c r="H28" i="1" s="1"/>
  <c r="E40" i="1"/>
  <c r="C24" i="1"/>
  <c r="B63" i="1"/>
  <c r="C10" i="2" l="1"/>
  <c r="C11" i="2" s="1"/>
  <c r="D11" i="2" s="1"/>
  <c r="F63" i="1"/>
  <c r="F76" i="1" s="1"/>
  <c r="B64" i="1"/>
  <c r="D27" i="1"/>
  <c r="E34" i="1" s="1"/>
  <c r="D75" i="1"/>
  <c r="B54" i="1"/>
  <c r="D67" i="1"/>
  <c r="D68" i="1"/>
  <c r="D77" i="1"/>
  <c r="D69" i="1"/>
  <c r="D76" i="1"/>
  <c r="D70" i="1"/>
  <c r="B57" i="1"/>
  <c r="B61" i="1"/>
  <c r="D71" i="1"/>
  <c r="B58" i="1"/>
  <c r="B59" i="1"/>
  <c r="D73" i="1"/>
  <c r="B60" i="1"/>
  <c r="D74" i="1"/>
  <c r="B62" i="1"/>
  <c r="B34" i="1"/>
  <c r="N63" i="1" s="1"/>
  <c r="B55" i="1"/>
  <c r="B56" i="1"/>
  <c r="F56" i="1" s="1"/>
  <c r="F69" i="1" s="1"/>
  <c r="J27" i="1"/>
  <c r="I27" i="1" s="1"/>
  <c r="I28" i="1" s="1"/>
  <c r="J28" i="1" s="1"/>
  <c r="J56" i="1"/>
  <c r="B69" i="1" s="1"/>
  <c r="C69" i="1" s="1"/>
  <c r="N56" i="1" l="1"/>
  <c r="D55" i="1"/>
  <c r="C55" i="1"/>
  <c r="F61" i="1"/>
  <c r="F74" i="1" s="1"/>
  <c r="N61" i="1"/>
  <c r="F57" i="1"/>
  <c r="F70" i="1" s="1"/>
  <c r="N57" i="1"/>
  <c r="F60" i="1"/>
  <c r="F73" i="1" s="1"/>
  <c r="N60" i="1"/>
  <c r="D61" i="1"/>
  <c r="D62" i="1"/>
  <c r="C62" i="1" s="1"/>
  <c r="D59" i="1"/>
  <c r="C59" i="1" s="1"/>
  <c r="D58" i="1"/>
  <c r="D54" i="1"/>
  <c r="D57" i="1"/>
  <c r="C57" i="1" s="1"/>
  <c r="D63" i="1"/>
  <c r="D60" i="1"/>
  <c r="C60" i="1" s="1"/>
  <c r="D56" i="1"/>
  <c r="D64" i="1"/>
  <c r="N62" i="1"/>
  <c r="F62" i="1"/>
  <c r="F75" i="1" s="1"/>
  <c r="C64" i="1"/>
  <c r="F64" i="1"/>
  <c r="F77" i="1" s="1"/>
  <c r="N64" i="1"/>
  <c r="N54" i="1"/>
  <c r="F54" i="1"/>
  <c r="F67" i="1" s="1"/>
  <c r="F72" i="1"/>
  <c r="N59" i="1"/>
  <c r="F55" i="1"/>
  <c r="F68" i="1" s="1"/>
  <c r="N55" i="1"/>
  <c r="F58" i="1"/>
  <c r="F71" i="1" s="1"/>
  <c r="N58" i="1"/>
  <c r="J61" i="1"/>
  <c r="B74" i="1" s="1"/>
  <c r="C74" i="1" s="1"/>
  <c r="J58" i="1"/>
  <c r="B71" i="1" s="1"/>
  <c r="C71" i="1" s="1"/>
  <c r="D34" i="1"/>
  <c r="J57" i="1"/>
  <c r="B70" i="1" s="1"/>
  <c r="C70" i="1" s="1"/>
  <c r="J62" i="1"/>
  <c r="B75" i="1" s="1"/>
  <c r="C75" i="1" s="1"/>
  <c r="J64" i="1"/>
  <c r="B77" i="1" s="1"/>
  <c r="C77" i="1" s="1"/>
  <c r="J54" i="1"/>
  <c r="J59" i="1"/>
  <c r="B72" i="1" s="1"/>
  <c r="C72" i="1" s="1"/>
  <c r="J63" i="1"/>
  <c r="B76" i="1" s="1"/>
  <c r="C76" i="1" s="1"/>
  <c r="J55" i="1"/>
  <c r="B68" i="1" s="1"/>
  <c r="C68" i="1" s="1"/>
  <c r="J60" i="1"/>
  <c r="B73" i="1" s="1"/>
  <c r="C73" i="1" s="1"/>
  <c r="L55" i="1" l="1"/>
  <c r="K55" i="1" s="1"/>
  <c r="O55" i="1" s="1"/>
  <c r="P55" i="1" s="1"/>
  <c r="H55" i="1"/>
  <c r="G55" i="1" s="1"/>
  <c r="L54" i="1"/>
  <c r="K54" i="1" s="1"/>
  <c r="H54" i="1"/>
  <c r="G54" i="1" s="1"/>
  <c r="L58" i="1"/>
  <c r="K58" i="1" s="1"/>
  <c r="H58" i="1"/>
  <c r="G58" i="1" s="1"/>
  <c r="C54" i="1"/>
  <c r="L59" i="1"/>
  <c r="K59" i="1" s="1"/>
  <c r="O59" i="1" s="1"/>
  <c r="P59" i="1" s="1"/>
  <c r="H59" i="1"/>
  <c r="G59" i="1" s="1"/>
  <c r="H64" i="1"/>
  <c r="G64" i="1" s="1"/>
  <c r="L64" i="1"/>
  <c r="K64" i="1" s="1"/>
  <c r="O64" i="1" s="1"/>
  <c r="P64" i="1" s="1"/>
  <c r="H62" i="1"/>
  <c r="G62" i="1" s="1"/>
  <c r="L62" i="1"/>
  <c r="K62" i="1" s="1"/>
  <c r="O62" i="1" s="1"/>
  <c r="P62" i="1" s="1"/>
  <c r="H56" i="1"/>
  <c r="G56" i="1" s="1"/>
  <c r="L56" i="1"/>
  <c r="K56" i="1" s="1"/>
  <c r="C56" i="1"/>
  <c r="H61" i="1"/>
  <c r="G61" i="1" s="1"/>
  <c r="L61" i="1"/>
  <c r="K61" i="1" s="1"/>
  <c r="L57" i="1"/>
  <c r="K57" i="1" s="1"/>
  <c r="O57" i="1" s="1"/>
  <c r="P57" i="1" s="1"/>
  <c r="H57" i="1"/>
  <c r="G57" i="1" s="1"/>
  <c r="C58" i="1"/>
  <c r="H60" i="1"/>
  <c r="G60" i="1" s="1"/>
  <c r="L60" i="1"/>
  <c r="K60" i="1" s="1"/>
  <c r="O60" i="1" s="1"/>
  <c r="P60" i="1" s="1"/>
  <c r="H63" i="1"/>
  <c r="G63" i="1" s="1"/>
  <c r="L63" i="1"/>
  <c r="K63" i="1" s="1"/>
  <c r="C63" i="1"/>
  <c r="C61" i="1"/>
  <c r="O61" i="1" l="1"/>
  <c r="P61" i="1" s="1"/>
  <c r="O63" i="1"/>
  <c r="P63" i="1" s="1"/>
  <c r="O56" i="1"/>
  <c r="P56" i="1" s="1"/>
  <c r="O58" i="1"/>
  <c r="P58" i="1" s="1"/>
  <c r="O54" i="1"/>
  <c r="P54" i="1" s="1"/>
</calcChain>
</file>

<file path=xl/sharedStrings.xml><?xml version="1.0" encoding="utf-8"?>
<sst xmlns="http://schemas.openxmlformats.org/spreadsheetml/2006/main" count="86" uniqueCount="46">
  <si>
    <t>A5</t>
  </si>
  <si>
    <t>ampli [rad]</t>
  </si>
  <si>
    <t xml:space="preserve">A0 </t>
  </si>
  <si>
    <t>avg:</t>
  </si>
  <si>
    <t>napaka</t>
  </si>
  <si>
    <t>relativna</t>
  </si>
  <si>
    <t>time [s]</t>
  </si>
  <si>
    <t>Wd</t>
  </si>
  <si>
    <t>speed[rad/s]</t>
  </si>
  <si>
    <t>A0/A5</t>
  </si>
  <si>
    <t>wd/2pin</t>
  </si>
  <si>
    <t>beta</t>
  </si>
  <si>
    <t>w0</t>
  </si>
  <si>
    <t>wd**2</t>
  </si>
  <si>
    <t>beta**2</t>
  </si>
  <si>
    <t>skupej</t>
  </si>
  <si>
    <t>a</t>
  </si>
  <si>
    <t>B0</t>
  </si>
  <si>
    <t>amp[rad]</t>
  </si>
  <si>
    <t>val</t>
  </si>
  <si>
    <t>V[Hz] +- 0.001</t>
  </si>
  <si>
    <t>w +- 0.001</t>
  </si>
  <si>
    <t>meritev1</t>
  </si>
  <si>
    <t>B0+-0.1*PI/25</t>
  </si>
  <si>
    <t>w/w0</t>
  </si>
  <si>
    <t>B0/B</t>
  </si>
  <si>
    <t>(a/(w/w0))**2</t>
  </si>
  <si>
    <t>cel koren</t>
  </si>
  <si>
    <t>f</t>
  </si>
  <si>
    <t>zamik</t>
  </si>
  <si>
    <t>meritve 2 - duseno</t>
  </si>
  <si>
    <t>amp</t>
  </si>
  <si>
    <t>t[s]</t>
  </si>
  <si>
    <t>wd</t>
  </si>
  <si>
    <t>avg</t>
  </si>
  <si>
    <t>ln(2pi/A5)</t>
  </si>
  <si>
    <t>w[Hz]</t>
  </si>
  <si>
    <t>rel</t>
  </si>
  <si>
    <t>a**2*(w0/w)**2</t>
  </si>
  <si>
    <t>SQRT(POWER(1-F16*F16,2)+J16)</t>
  </si>
  <si>
    <t>napaka -FULL NAPAKE</t>
  </si>
  <si>
    <t>B-plava</t>
  </si>
  <si>
    <t>B/B0-oranzna</t>
  </si>
  <si>
    <t>B/B0 - oranzna</t>
  </si>
  <si>
    <t>B - plava</t>
  </si>
  <si>
    <t>razmik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</si>
</sst>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Sheet1!$B$54:$B$64</c:f>
              <c:numCache>
                <c:formatCode>General</c:formatCode>
                <c:ptCount val="11"/>
                <c:pt idx="0">
                  <c:v>0.26614565917335237</c:v>
                </c:pt>
                <c:pt idx="1">
                  <c:v>0.66536414793338083</c:v>
                </c:pt>
                <c:pt idx="2">
                  <c:v>0.79843697752005693</c:v>
                </c:pt>
                <c:pt idx="3">
                  <c:v>0.93150980710673315</c:v>
                </c:pt>
                <c:pt idx="4">
                  <c:v>0.98473893894140363</c:v>
                </c:pt>
                <c:pt idx="5">
                  <c:v>0.99804622190007131</c:v>
                </c:pt>
                <c:pt idx="6">
                  <c:v>1.011353504858739</c:v>
                </c:pt>
                <c:pt idx="7">
                  <c:v>1.0246607878174065</c:v>
                </c:pt>
                <c:pt idx="8">
                  <c:v>1.0379680707760741</c:v>
                </c:pt>
                <c:pt idx="9">
                  <c:v>1.0645826366934095</c:v>
                </c:pt>
                <c:pt idx="10">
                  <c:v>1.5968739550401139</c:v>
                </c:pt>
              </c:numCache>
            </c:numRef>
          </c:xVal>
          <c:yVal>
            <c:numRef>
              <c:f>Sheet1!$F$54:$F$64</c:f>
              <c:numCache>
                <c:formatCode>General</c:formatCode>
                <c:ptCount val="11"/>
                <c:pt idx="0">
                  <c:v>6.7621738274334459E-2</c:v>
                </c:pt>
                <c:pt idx="1">
                  <c:v>0.16911784974396576</c:v>
                </c:pt>
                <c:pt idx="2">
                  <c:v>0.38132604020995986</c:v>
                </c:pt>
                <c:pt idx="3">
                  <c:v>1.1873932345447165</c:v>
                </c:pt>
                <c:pt idx="4">
                  <c:v>9.3347837585817057</c:v>
                </c:pt>
                <c:pt idx="5">
                  <c:v>112.66710633676573</c:v>
                </c:pt>
                <c:pt idx="6">
                  <c:v>19.260144965794865</c:v>
                </c:pt>
                <c:pt idx="7">
                  <c:v>8.1796365457152209</c:v>
                </c:pt>
                <c:pt idx="8">
                  <c:v>4.060074163464912</c:v>
                </c:pt>
                <c:pt idx="9">
                  <c:v>1.7906694427650587</c:v>
                </c:pt>
                <c:pt idx="10">
                  <c:v>4.053651128485803E-2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E-4D5B-8BA6-ED2DDD7978E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Sheet1!$B$54:$B$64</c:f>
              <c:numCache>
                <c:formatCode>General</c:formatCode>
                <c:ptCount val="11"/>
                <c:pt idx="0">
                  <c:v>0.26614565917335237</c:v>
                </c:pt>
                <c:pt idx="1">
                  <c:v>0.66536414793338083</c:v>
                </c:pt>
                <c:pt idx="2">
                  <c:v>0.79843697752005693</c:v>
                </c:pt>
                <c:pt idx="3">
                  <c:v>0.93150980710673315</c:v>
                </c:pt>
                <c:pt idx="4">
                  <c:v>0.98473893894140363</c:v>
                </c:pt>
                <c:pt idx="5">
                  <c:v>0.99804622190007131</c:v>
                </c:pt>
                <c:pt idx="6">
                  <c:v>1.011353504858739</c:v>
                </c:pt>
                <c:pt idx="7">
                  <c:v>1.0246607878174065</c:v>
                </c:pt>
                <c:pt idx="8">
                  <c:v>1.0379680707760741</c:v>
                </c:pt>
                <c:pt idx="9">
                  <c:v>1.0645826366934095</c:v>
                </c:pt>
                <c:pt idx="10">
                  <c:v>1.5968739550401139</c:v>
                </c:pt>
              </c:numCache>
            </c:numRef>
          </c:xVal>
          <c:yVal>
            <c:numRef>
              <c:f>Sheet1!$C$67:$C$77</c:f>
              <c:numCache>
                <c:formatCode>General</c:formatCode>
                <c:ptCount val="11"/>
                <c:pt idx="0">
                  <c:v>1.0621462826200965</c:v>
                </c:pt>
                <c:pt idx="1">
                  <c:v>1.7838346908699592</c:v>
                </c:pt>
                <c:pt idx="2">
                  <c:v>2.7321332055847454</c:v>
                </c:pt>
                <c:pt idx="3">
                  <c:v>7.1828454182325352</c:v>
                </c:pt>
                <c:pt idx="4">
                  <c:v>19.606495252490717</c:v>
                </c:pt>
                <c:pt idx="5">
                  <c:v>24.584390303485957</c:v>
                </c:pt>
                <c:pt idx="6">
                  <c:v>21.729180674196002</c:v>
                </c:pt>
                <c:pt idx="7">
                  <c:v>15.716899165679591</c:v>
                </c:pt>
                <c:pt idx="8">
                  <c:v>11.544734967365223</c:v>
                </c:pt>
                <c:pt idx="9">
                  <c:v>7.2132455568550782</c:v>
                </c:pt>
                <c:pt idx="10">
                  <c:v>0.64507265291377058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2E-4D5B-8BA6-ED2DDD797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124927"/>
        <c:axId val="1710125343"/>
      </c:scatterChart>
      <c:valAx>
        <c:axId val="171012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25343"/>
        <c:crosses val="autoZero"/>
        <c:crossBetween val="midCat"/>
      </c:valAx>
      <c:valAx>
        <c:axId val="17101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2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Sheet1!$B$54:$B$64</c:f>
              <c:numCache>
                <c:formatCode>General</c:formatCode>
                <c:ptCount val="11"/>
                <c:pt idx="0">
                  <c:v>0.26614565917335237</c:v>
                </c:pt>
                <c:pt idx="1">
                  <c:v>0.66536414793338083</c:v>
                </c:pt>
                <c:pt idx="2">
                  <c:v>0.79843697752005693</c:v>
                </c:pt>
                <c:pt idx="3">
                  <c:v>0.93150980710673315</c:v>
                </c:pt>
                <c:pt idx="4">
                  <c:v>0.98473893894140363</c:v>
                </c:pt>
                <c:pt idx="5">
                  <c:v>0.99804622190007131</c:v>
                </c:pt>
                <c:pt idx="6">
                  <c:v>1.011353504858739</c:v>
                </c:pt>
                <c:pt idx="7">
                  <c:v>1.0246607878174065</c:v>
                </c:pt>
                <c:pt idx="8">
                  <c:v>1.0379680707760741</c:v>
                </c:pt>
                <c:pt idx="9">
                  <c:v>1.0645826366934095</c:v>
                </c:pt>
                <c:pt idx="10">
                  <c:v>1.5968739550401139</c:v>
                </c:pt>
              </c:numCache>
            </c:numRef>
          </c:xVal>
          <c:yVal>
            <c:numRef>
              <c:f>Sheet1!$H$67:$H$77</c:f>
              <c:numCache>
                <c:formatCode>General</c:formatCode>
                <c:ptCount val="11"/>
                <c:pt idx="0">
                  <c:v>1.1574130623982914E-2</c:v>
                </c:pt>
                <c:pt idx="1">
                  <c:v>4.8208433142803354E-2</c:v>
                </c:pt>
                <c:pt idx="2">
                  <c:v>8.8771503550730352E-2</c:v>
                </c:pt>
                <c:pt idx="3">
                  <c:v>0.27721409915511064</c:v>
                </c:pt>
                <c:pt idx="4">
                  <c:v>0.92018086459647253</c:v>
                </c:pt>
                <c:pt idx="5">
                  <c:v>1.4743029836820341</c:v>
                </c:pt>
                <c:pt idx="6">
                  <c:v>1.0612444927685967</c:v>
                </c:pt>
                <c:pt idx="7">
                  <c:v>0.69234321612908534</c:v>
                </c:pt>
                <c:pt idx="8">
                  <c:v>0.49672936804987228</c:v>
                </c:pt>
                <c:pt idx="9">
                  <c:v>0.31209255098891148</c:v>
                </c:pt>
                <c:pt idx="10">
                  <c:v>4.1607186513346738E-2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C-4864-9C22-21B73AB6D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686527"/>
        <c:axId val="1700686111"/>
      </c:scatterChart>
      <c:valAx>
        <c:axId val="170068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686111"/>
        <c:crosses val="autoZero"/>
        <c:crossBetween val="midCat"/>
      </c:valAx>
      <c:valAx>
        <c:axId val="170068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68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469816272965881E-2"/>
          <c:y val="6.0601851851851851E-2"/>
          <c:w val="0.89971084864391948"/>
          <c:h val="0.83199876057159516"/>
        </c:manualLayout>
      </c:layout>
      <c:scatterChart>
        <c:scatterStyle val="lineMarker"/>
        <c:varyColors val="0"/>
        <c:ser>
          <c:idx val="0"/>
          <c:order val="0"/>
          <c:tx>
            <c:v>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Sheet2!$F$16:$F$26</c:f>
              <c:numCache>
                <c:formatCode>General</c:formatCode>
                <c:ptCount val="11"/>
                <c:pt idx="0">
                  <c:v>0.26973505530009256</c:v>
                </c:pt>
                <c:pt idx="1">
                  <c:v>0.67433763825023141</c:v>
                </c:pt>
                <c:pt idx="2">
                  <c:v>0.80920516590027758</c:v>
                </c:pt>
                <c:pt idx="3">
                  <c:v>0.94407269355032386</c:v>
                </c:pt>
                <c:pt idx="4">
                  <c:v>0.9980197046103424</c:v>
                </c:pt>
                <c:pt idx="5">
                  <c:v>1.0115064573753472</c:v>
                </c:pt>
                <c:pt idx="6">
                  <c:v>1.0249932101403516</c:v>
                </c:pt>
                <c:pt idx="7">
                  <c:v>1.0384799629053563</c:v>
                </c:pt>
                <c:pt idx="8">
                  <c:v>1.0519667156703609</c:v>
                </c:pt>
                <c:pt idx="9">
                  <c:v>1.0789402212003703</c:v>
                </c:pt>
                <c:pt idx="10">
                  <c:v>1.6184103318005552</c:v>
                </c:pt>
              </c:numCache>
            </c:numRef>
          </c:xVal>
          <c:yVal>
            <c:numRef>
              <c:f>Sheet2!$B$30:$B$40</c:f>
              <c:numCache>
                <c:formatCode>General</c:formatCode>
                <c:ptCount val="11"/>
                <c:pt idx="0">
                  <c:v>6.7705749054972536E-2</c:v>
                </c:pt>
                <c:pt idx="1">
                  <c:v>0.17030642067549565</c:v>
                </c:pt>
                <c:pt idx="2">
                  <c:v>0.27668109019184894</c:v>
                </c:pt>
                <c:pt idx="3">
                  <c:v>0.73371095126301389</c:v>
                </c:pt>
                <c:pt idx="4">
                  <c:v>1.1672750812331678</c:v>
                </c:pt>
                <c:pt idx="5">
                  <c:v>1.3120626106789446</c:v>
                </c:pt>
                <c:pt idx="6">
                  <c:v>1.4436447772087839</c:v>
                </c:pt>
                <c:pt idx="7">
                  <c:v>1.1399312336537615</c:v>
                </c:pt>
                <c:pt idx="8">
                  <c:v>1.0358344152145804</c:v>
                </c:pt>
                <c:pt idx="9">
                  <c:v>0.67569384300897606</c:v>
                </c:pt>
                <c:pt idx="10">
                  <c:v>4.6113249716727429E-2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B2-4E31-BD71-A133747156BE}"/>
            </c:ext>
          </c:extLst>
        </c:ser>
        <c:ser>
          <c:idx val="1"/>
          <c:order val="1"/>
          <c:tx>
            <c:v>B/B0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Sheet2!$F$16:$F$26</c:f>
              <c:numCache>
                <c:formatCode>General</c:formatCode>
                <c:ptCount val="11"/>
                <c:pt idx="0">
                  <c:v>0.26973505530009256</c:v>
                </c:pt>
                <c:pt idx="1">
                  <c:v>0.67433763825023141</c:v>
                </c:pt>
                <c:pt idx="2">
                  <c:v>0.80920516590027758</c:v>
                </c:pt>
                <c:pt idx="3">
                  <c:v>0.94407269355032386</c:v>
                </c:pt>
                <c:pt idx="4">
                  <c:v>0.9980197046103424</c:v>
                </c:pt>
                <c:pt idx="5">
                  <c:v>1.0115064573753472</c:v>
                </c:pt>
                <c:pt idx="6">
                  <c:v>1.0249932101403516</c:v>
                </c:pt>
                <c:pt idx="7">
                  <c:v>1.0384799629053563</c:v>
                </c:pt>
                <c:pt idx="8">
                  <c:v>1.0519667156703609</c:v>
                </c:pt>
                <c:pt idx="9">
                  <c:v>1.0789402212003703</c:v>
                </c:pt>
                <c:pt idx="10">
                  <c:v>1.6184103318005552</c:v>
                </c:pt>
              </c:numCache>
            </c:numRef>
          </c:xVal>
          <c:yVal>
            <c:numRef>
              <c:f>Sheet2!$F$30:$F$40</c:f>
              <c:numCache>
                <c:formatCode>General</c:formatCode>
                <c:ptCount val="11"/>
                <c:pt idx="0">
                  <c:v>1.0775704637838299</c:v>
                </c:pt>
                <c:pt idx="1">
                  <c:v>1.8070072460528599</c:v>
                </c:pt>
                <c:pt idx="2">
                  <c:v>2.752197697755455</c:v>
                </c:pt>
                <c:pt idx="3">
                  <c:v>5.838686234708268</c:v>
                </c:pt>
                <c:pt idx="4">
                  <c:v>7.1452922740866285</c:v>
                </c:pt>
                <c:pt idx="5">
                  <c:v>6.9607083378537027</c:v>
                </c:pt>
                <c:pt idx="6">
                  <c:v>6.5646629246164547</c:v>
                </c:pt>
                <c:pt idx="7">
                  <c:v>6.0475230206946158</c:v>
                </c:pt>
                <c:pt idx="8">
                  <c:v>5.4952722468701083</c:v>
                </c:pt>
                <c:pt idx="9">
                  <c:v>4.4808339638182355</c:v>
                </c:pt>
                <c:pt idx="10">
                  <c:v>0.61159596953734274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B2-4E31-BD71-A13374715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773391"/>
        <c:axId val="1486769647"/>
      </c:scatterChart>
      <c:valAx>
        <c:axId val="148677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769647"/>
        <c:crosses val="autoZero"/>
        <c:crossBetween val="midCat"/>
      </c:valAx>
      <c:valAx>
        <c:axId val="148676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77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Sheet2!$F$16:$F$26</c:f>
              <c:numCache>
                <c:formatCode>General</c:formatCode>
                <c:ptCount val="11"/>
                <c:pt idx="0">
                  <c:v>0.26973505530009256</c:v>
                </c:pt>
                <c:pt idx="1">
                  <c:v>0.67433763825023141</c:v>
                </c:pt>
                <c:pt idx="2">
                  <c:v>0.80920516590027758</c:v>
                </c:pt>
                <c:pt idx="3">
                  <c:v>0.94407269355032386</c:v>
                </c:pt>
                <c:pt idx="4">
                  <c:v>0.9980197046103424</c:v>
                </c:pt>
                <c:pt idx="5">
                  <c:v>1.0115064573753472</c:v>
                </c:pt>
                <c:pt idx="6">
                  <c:v>1.0249932101403516</c:v>
                </c:pt>
                <c:pt idx="7">
                  <c:v>1.0384799629053563</c:v>
                </c:pt>
                <c:pt idx="8">
                  <c:v>1.0519667156703609</c:v>
                </c:pt>
                <c:pt idx="9">
                  <c:v>1.0789402212003703</c:v>
                </c:pt>
                <c:pt idx="10">
                  <c:v>1.6184103318005552</c:v>
                </c:pt>
              </c:numCache>
            </c:numRef>
          </c:xVal>
          <c:yVal>
            <c:numRef>
              <c:f>Sheet2!$H$44:$H$54</c:f>
              <c:numCache>
                <c:formatCode>General</c:formatCode>
                <c:ptCount val="11"/>
                <c:pt idx="0">
                  <c:v>4.0754029137982865E-2</c:v>
                </c:pt>
                <c:pt idx="1">
                  <c:v>0.17164820200619738</c:v>
                </c:pt>
                <c:pt idx="2">
                  <c:v>0.31748719367967942</c:v>
                </c:pt>
                <c:pt idx="3">
                  <c:v>0.88301901165814167</c:v>
                </c:pt>
                <c:pt idx="4">
                  <c:v>1.5425210013528801</c:v>
                </c:pt>
                <c:pt idx="5">
                  <c:v>1.4089833384555213</c:v>
                </c:pt>
                <c:pt idx="6">
                  <c:v>1.2321138669449987</c:v>
                </c:pt>
                <c:pt idx="7">
                  <c:v>1.0765463327246034</c:v>
                </c:pt>
                <c:pt idx="8">
                  <c:v>0.94470407368155529</c:v>
                </c:pt>
                <c:pt idx="9">
                  <c:v>0.74460059715867677</c:v>
                </c:pt>
                <c:pt idx="10">
                  <c:v>0.13919506795723893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B-4DA0-9187-4FC218722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144303"/>
        <c:axId val="1482145135"/>
      </c:scatterChart>
      <c:valAx>
        <c:axId val="148214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45135"/>
        <c:crosses val="autoZero"/>
        <c:crossBetween val="midCat"/>
      </c:valAx>
      <c:valAx>
        <c:axId val="148214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4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79</xdr:row>
      <xdr:rowOff>143932</xdr:rowOff>
    </xdr:from>
    <xdr:to>
      <xdr:col>4</xdr:col>
      <xdr:colOff>770467</xdr:colOff>
      <xdr:row>94</xdr:row>
      <xdr:rowOff>156632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FCF1EC-F016-4CAC-A9F6-3AA053F61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277927</xdr:colOff>
      <xdr:row>80</xdr:row>
      <xdr:rowOff>56688</xdr:rowOff>
    </xdr:from>
    <xdr:to>
      <xdr:col>9</xdr:col>
      <xdr:colOff>524565</xdr:colOff>
      <xdr:row>95</xdr:row>
      <xdr:rowOff>94236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54EEFE-6C74-456A-8C91-9DADD4423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45</xdr:row>
      <xdr:rowOff>50800</xdr:rowOff>
    </xdr:from>
    <xdr:to>
      <xdr:col>5</xdr:col>
      <xdr:colOff>345017</xdr:colOff>
      <xdr:row>60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05B86-8E27-44AB-942B-315B1F6C2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294217</xdr:colOff>
      <xdr:row>60</xdr:row>
      <xdr:rowOff>156633</xdr:rowOff>
    </xdr:from>
    <xdr:to>
      <xdr:col>5</xdr:col>
      <xdr:colOff>391584</xdr:colOff>
      <xdr:row>75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6AAD9B-60FB-4F5B-BD7E-D8F798B46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P77"/>
  <sheetViews>
    <sheetView tabSelected="1" topLeftCell="A67" zoomScaleNormal="100" workbookViewId="0">
      <selection activeCell="D74" sqref="D74"/>
    </sheetView>
  </sheetViews>
  <sheetFormatPr defaultRowHeight="14.35" x14ac:dyDescent="0.5"/>
  <cols>
    <col min="1" max="1" width="10.9375" customWidth="1"/>
    <col min="2" max="3" width="14.1171875" customWidth="1"/>
    <col min="4" max="4" width="21.76171875" customWidth="1"/>
    <col min="5" max="5" width="11.234375" customWidth="1"/>
    <col min="6" max="6" width="14.41015625" customWidth="1"/>
    <col min="7" max="7" width="14" customWidth="1"/>
    <col min="8" max="8" width="13.703125" customWidth="1"/>
    <col min="9" max="9" width="17.9375" customWidth="1"/>
    <col min="10" max="10" width="17.64453125" customWidth="1"/>
    <col min="11" max="11" width="19.3515625" customWidth="1"/>
    <col min="12" max="12" width="18.703125" customWidth="1"/>
    <col min="15" max="15" width="12" customWidth="1"/>
  </cols>
  <sheetData>
    <row r="4" spans="1:8" x14ac:dyDescent="0.5">
      <c r="A4" t="s">
        <v>2</v>
      </c>
      <c r="B4">
        <v>2</v>
      </c>
      <c r="C4">
        <f>2*PI()</f>
        <v>6.2831853071795862</v>
      </c>
      <c r="G4" t="s">
        <v>9</v>
      </c>
      <c r="H4">
        <f>C4/C12</f>
        <v>1.8867924528301885</v>
      </c>
    </row>
    <row r="9" spans="1:8" x14ac:dyDescent="0.5">
      <c r="A9" t="s">
        <v>0</v>
      </c>
      <c r="C9" t="s">
        <v>1</v>
      </c>
      <c r="D9" t="s">
        <v>4</v>
      </c>
      <c r="E9" t="s">
        <v>5</v>
      </c>
    </row>
    <row r="10" spans="1:8" x14ac:dyDescent="0.5">
      <c r="B10">
        <f>28/25</f>
        <v>1.1200000000000001</v>
      </c>
      <c r="C10">
        <f>PI()*B10</f>
        <v>3.5185837720205688</v>
      </c>
    </row>
    <row r="11" spans="1:8" x14ac:dyDescent="0.5">
      <c r="B11">
        <v>1</v>
      </c>
      <c r="C11">
        <f>PI()*B11</f>
        <v>3.1415926535897931</v>
      </c>
    </row>
    <row r="12" spans="1:8" x14ac:dyDescent="0.5">
      <c r="A12" t="s">
        <v>3</v>
      </c>
      <c r="B12">
        <f>(B10+B11)/2</f>
        <v>1.06</v>
      </c>
      <c r="C12">
        <f>(C10+C11)/2</f>
        <v>3.330088212805181</v>
      </c>
      <c r="D12">
        <f>C10-C12+0.5/25*PI()</f>
        <v>0.25132741228718369</v>
      </c>
      <c r="E12">
        <f>D12/C12</f>
        <v>7.5471698113207614E-2</v>
      </c>
    </row>
    <row r="15" spans="1:8" x14ac:dyDescent="0.5">
      <c r="C15" t="s">
        <v>6</v>
      </c>
      <c r="D15" t="s">
        <v>4</v>
      </c>
      <c r="E15" t="s">
        <v>5</v>
      </c>
    </row>
    <row r="16" spans="1:8" x14ac:dyDescent="0.5">
      <c r="C16">
        <v>13.53</v>
      </c>
    </row>
    <row r="17" spans="1:11" x14ac:dyDescent="0.5">
      <c r="C17">
        <v>13.09</v>
      </c>
    </row>
    <row r="18" spans="1:11" x14ac:dyDescent="0.5">
      <c r="A18" t="s">
        <v>3</v>
      </c>
      <c r="C18">
        <f>(C16+C17)/2</f>
        <v>13.309999999999999</v>
      </c>
      <c r="D18">
        <f>C16-C18 + 0.5</f>
        <v>0.72000000000000064</v>
      </c>
      <c r="E18">
        <f>D18/C18</f>
        <v>5.4094665664913652E-2</v>
      </c>
    </row>
    <row r="20" spans="1:11" x14ac:dyDescent="0.5">
      <c r="A20" t="s">
        <v>7</v>
      </c>
      <c r="C20" t="s">
        <v>8</v>
      </c>
      <c r="D20" t="s">
        <v>4</v>
      </c>
      <c r="E20" t="s">
        <v>5</v>
      </c>
      <c r="H20" t="s">
        <v>10</v>
      </c>
      <c r="I20">
        <f>C21/(2*PI()*5)</f>
        <v>1.195754643815893E-2</v>
      </c>
      <c r="J20">
        <f>D21/(2*PI()*5)</f>
        <v>1.549295811700278E-3</v>
      </c>
      <c r="K20">
        <f>J20/I20</f>
        <v>0.12956636377812125</v>
      </c>
    </row>
    <row r="21" spans="1:11" x14ac:dyDescent="0.5">
      <c r="C21">
        <f>5/C18</f>
        <v>0.37565740045078894</v>
      </c>
      <c r="D21">
        <f>C21*E21</f>
        <v>4.8672563402750287E-2</v>
      </c>
      <c r="E21">
        <f>E12+E18</f>
        <v>0.12956636377812125</v>
      </c>
    </row>
    <row r="23" spans="1:11" x14ac:dyDescent="0.5">
      <c r="D23" t="s">
        <v>5</v>
      </c>
    </row>
    <row r="24" spans="1:11" x14ac:dyDescent="0.5">
      <c r="A24" t="s">
        <v>11</v>
      </c>
      <c r="B24">
        <f>I20*LN(H4)</f>
        <v>7.5915864252312209E-3</v>
      </c>
      <c r="C24">
        <f>B24*D24</f>
        <v>1.5565641673099312E-3</v>
      </c>
      <c r="D24">
        <f>K20+E12</f>
        <v>0.20503806189132887</v>
      </c>
    </row>
    <row r="26" spans="1:11" x14ac:dyDescent="0.5">
      <c r="G26" t="s">
        <v>13</v>
      </c>
      <c r="H26">
        <f>1.25097228129421*1.25097228129421</f>
        <v>1.5649316485664397</v>
      </c>
      <c r="I26">
        <f>H26*J26</f>
        <v>0.40552500653210788</v>
      </c>
      <c r="J26">
        <f>0.129566363778121*2</f>
        <v>0.259132727556242</v>
      </c>
    </row>
    <row r="27" spans="1:11" x14ac:dyDescent="0.5">
      <c r="A27" t="s">
        <v>12</v>
      </c>
      <c r="B27">
        <f>SQRT(B24*B24+C21*C21)</f>
        <v>0.37573410105804361</v>
      </c>
      <c r="C27">
        <f>0.405787090853325/2</f>
        <v>0.20289354542666249</v>
      </c>
      <c r="D27">
        <f>C27/B27</f>
        <v>0.53999236389597594</v>
      </c>
      <c r="G27" t="s">
        <v>14</v>
      </c>
      <c r="H27">
        <f>B24*B24</f>
        <v>5.7632184451754949E-5</v>
      </c>
      <c r="I27">
        <f>H27*J27</f>
        <v>2.3633582805102825E-5</v>
      </c>
      <c r="J27">
        <f>2*D24</f>
        <v>0.41007612378265773</v>
      </c>
    </row>
    <row r="28" spans="1:11" x14ac:dyDescent="0.5">
      <c r="G28" t="s">
        <v>15</v>
      </c>
      <c r="H28">
        <f>H26+H27</f>
        <v>1.5649892807508914</v>
      </c>
      <c r="I28">
        <f>I26+I27</f>
        <v>0.40554864011491298</v>
      </c>
      <c r="J28">
        <f>I28/H28</f>
        <v>0.25913828618706469</v>
      </c>
    </row>
    <row r="33" spans="1:9" x14ac:dyDescent="0.5">
      <c r="B33" t="s">
        <v>19</v>
      </c>
      <c r="D33" t="s">
        <v>4</v>
      </c>
      <c r="E33" t="s">
        <v>5</v>
      </c>
    </row>
    <row r="34" spans="1:9" x14ac:dyDescent="0.5">
      <c r="A34" t="s">
        <v>16</v>
      </c>
      <c r="B34">
        <f>2*B24/B27</f>
        <v>4.0409355466292735E-2</v>
      </c>
      <c r="D34">
        <f>B34*E34</f>
        <v>3.0106199308842629E-2</v>
      </c>
      <c r="E34">
        <f>D24+D27</f>
        <v>0.74503042578730483</v>
      </c>
    </row>
    <row r="38" spans="1:9" x14ac:dyDescent="0.5">
      <c r="A38" t="s">
        <v>22</v>
      </c>
      <c r="B38" t="s">
        <v>20</v>
      </c>
      <c r="C38" t="s">
        <v>21</v>
      </c>
      <c r="D38" t="s">
        <v>4</v>
      </c>
      <c r="E38" t="s">
        <v>5</v>
      </c>
      <c r="G38" t="s">
        <v>23</v>
      </c>
      <c r="H38" t="s">
        <v>4</v>
      </c>
      <c r="I38" t="s">
        <v>5</v>
      </c>
    </row>
    <row r="39" spans="1:9" x14ac:dyDescent="0.5">
      <c r="A39">
        <f>0</f>
        <v>0</v>
      </c>
      <c r="B39">
        <v>0.1</v>
      </c>
      <c r="C39">
        <f>B39</f>
        <v>0.1</v>
      </c>
      <c r="D39">
        <v>1E-3</v>
      </c>
      <c r="E39">
        <f t="shared" ref="E39:E49" si="0">D39/C39</f>
        <v>0.01</v>
      </c>
      <c r="G39">
        <f>0.5*PI()/25</f>
        <v>6.2831853071795868E-2</v>
      </c>
      <c r="H39">
        <f>0.1*PI()/25</f>
        <v>1.2566370614359173E-2</v>
      </c>
      <c r="I39">
        <f>H39/G39</f>
        <v>0.19999999999999998</v>
      </c>
    </row>
    <row r="40" spans="1:9" x14ac:dyDescent="0.5">
      <c r="A40">
        <f>A39+1</f>
        <v>1</v>
      </c>
      <c r="B40">
        <v>0.25</v>
      </c>
      <c r="C40">
        <f t="shared" ref="C40:C49" si="1">B40</f>
        <v>0.25</v>
      </c>
      <c r="D40">
        <v>1E-3</v>
      </c>
      <c r="E40">
        <f t="shared" si="0"/>
        <v>4.0000000000000001E-3</v>
      </c>
      <c r="G40">
        <f>0.75*PI()/25</f>
        <v>9.4247779607693788E-2</v>
      </c>
      <c r="H40">
        <f t="shared" ref="H40:H49" si="2">0.1*PI()/25</f>
        <v>1.2566370614359173E-2</v>
      </c>
      <c r="I40">
        <f t="shared" ref="I40:I49" si="3">H40/G40</f>
        <v>0.13333333333333336</v>
      </c>
    </row>
    <row r="41" spans="1:9" x14ac:dyDescent="0.5">
      <c r="A41">
        <f t="shared" ref="A41:A47" si="4">A40+1</f>
        <v>2</v>
      </c>
      <c r="B41">
        <v>0.3</v>
      </c>
      <c r="C41">
        <f t="shared" si="1"/>
        <v>0.3</v>
      </c>
      <c r="D41">
        <v>1E-3</v>
      </c>
      <c r="E41">
        <f t="shared" si="0"/>
        <v>3.3333333333333335E-3</v>
      </c>
      <c r="G41">
        <f>1.1*PI()/25</f>
        <v>0.1382300767579509</v>
      </c>
      <c r="H41">
        <f t="shared" si="2"/>
        <v>1.2566370614359173E-2</v>
      </c>
      <c r="I41">
        <f t="shared" si="3"/>
        <v>9.0909090909090912E-2</v>
      </c>
    </row>
    <row r="42" spans="1:9" x14ac:dyDescent="0.5">
      <c r="A42">
        <f t="shared" si="4"/>
        <v>3</v>
      </c>
      <c r="B42">
        <v>0.35</v>
      </c>
      <c r="C42">
        <f t="shared" si="1"/>
        <v>0.35</v>
      </c>
      <c r="D42">
        <v>1E-3</v>
      </c>
      <c r="E42">
        <f t="shared" si="0"/>
        <v>2.8571428571428576E-3</v>
      </c>
      <c r="G42">
        <f>1.25*PI()/25</f>
        <v>0.15707963267948966</v>
      </c>
      <c r="H42">
        <f t="shared" si="2"/>
        <v>1.2566370614359173E-2</v>
      </c>
      <c r="I42">
        <f t="shared" si="3"/>
        <v>0.08</v>
      </c>
    </row>
    <row r="43" spans="1:9" x14ac:dyDescent="0.5">
      <c r="A43">
        <f t="shared" si="4"/>
        <v>4</v>
      </c>
      <c r="B43">
        <v>0.37</v>
      </c>
      <c r="C43">
        <f t="shared" si="1"/>
        <v>0.37</v>
      </c>
      <c r="D43">
        <v>1E-3</v>
      </c>
      <c r="E43">
        <f t="shared" si="0"/>
        <v>2.7027027027027029E-3</v>
      </c>
      <c r="G43">
        <f>2.25*PI()/25</f>
        <v>0.28274333882308139</v>
      </c>
      <c r="H43">
        <f t="shared" si="2"/>
        <v>1.2566370614359173E-2</v>
      </c>
      <c r="I43">
        <f t="shared" si="3"/>
        <v>4.4444444444444446E-2</v>
      </c>
    </row>
    <row r="44" spans="1:9" x14ac:dyDescent="0.5">
      <c r="A44">
        <f t="shared" si="4"/>
        <v>5</v>
      </c>
      <c r="B44">
        <v>0.375</v>
      </c>
      <c r="C44">
        <f t="shared" si="1"/>
        <v>0.375</v>
      </c>
      <c r="D44">
        <v>1E-3</v>
      </c>
      <c r="E44">
        <f t="shared" si="0"/>
        <v>2.6666666666666666E-3</v>
      </c>
      <c r="G44">
        <f>3.5*PI()/25</f>
        <v>0.43982297150257105</v>
      </c>
      <c r="H44">
        <f t="shared" si="2"/>
        <v>1.2566370614359173E-2</v>
      </c>
      <c r="I44">
        <f t="shared" si="3"/>
        <v>2.8571428571428574E-2</v>
      </c>
    </row>
    <row r="45" spans="1:9" x14ac:dyDescent="0.5">
      <c r="A45">
        <f t="shared" si="4"/>
        <v>6</v>
      </c>
      <c r="B45">
        <v>0.38</v>
      </c>
      <c r="C45">
        <f t="shared" si="1"/>
        <v>0.38</v>
      </c>
      <c r="D45">
        <v>1E-3</v>
      </c>
      <c r="E45">
        <f t="shared" si="0"/>
        <v>2.631578947368421E-3</v>
      </c>
      <c r="G45">
        <f>3.5*PI()/25</f>
        <v>0.43982297150257105</v>
      </c>
      <c r="H45">
        <f t="shared" si="2"/>
        <v>1.2566370614359173E-2</v>
      </c>
      <c r="I45">
        <f t="shared" si="3"/>
        <v>2.8571428571428574E-2</v>
      </c>
    </row>
    <row r="46" spans="1:9" x14ac:dyDescent="0.5">
      <c r="A46">
        <f t="shared" si="4"/>
        <v>7</v>
      </c>
      <c r="B46">
        <v>0.38500000000000001</v>
      </c>
      <c r="C46">
        <f t="shared" si="1"/>
        <v>0.38500000000000001</v>
      </c>
      <c r="D46">
        <v>1E-3</v>
      </c>
      <c r="E46">
        <f t="shared" si="0"/>
        <v>2.5974025974025974E-3</v>
      </c>
      <c r="G46">
        <f>3.25*PI()/25</f>
        <v>0.40840704496667313</v>
      </c>
      <c r="H46">
        <f t="shared" si="2"/>
        <v>1.2566370614359173E-2</v>
      </c>
      <c r="I46">
        <f t="shared" si="3"/>
        <v>3.0769230769230771E-2</v>
      </c>
    </row>
    <row r="47" spans="1:9" x14ac:dyDescent="0.5">
      <c r="A47">
        <f t="shared" si="4"/>
        <v>8</v>
      </c>
      <c r="B47">
        <v>0.39</v>
      </c>
      <c r="C47">
        <f t="shared" si="1"/>
        <v>0.39</v>
      </c>
      <c r="D47">
        <v>1E-3</v>
      </c>
      <c r="E47">
        <f t="shared" si="0"/>
        <v>2.5641025641025641E-3</v>
      </c>
      <c r="G47">
        <f>2.5*PI()/25</f>
        <v>0.31415926535897931</v>
      </c>
      <c r="H47">
        <f t="shared" si="2"/>
        <v>1.2566370614359173E-2</v>
      </c>
      <c r="I47">
        <f t="shared" si="3"/>
        <v>0.04</v>
      </c>
    </row>
    <row r="48" spans="1:9" x14ac:dyDescent="0.5">
      <c r="A48">
        <f>A47+1</f>
        <v>9</v>
      </c>
      <c r="B48">
        <v>0.4</v>
      </c>
      <c r="C48">
        <f t="shared" si="1"/>
        <v>0.4</v>
      </c>
      <c r="D48">
        <v>1E-3</v>
      </c>
      <c r="E48">
        <f t="shared" si="0"/>
        <v>2.5000000000000001E-3</v>
      </c>
      <c r="G48">
        <f>1.9*PI()/25</f>
        <v>0.23876104167282428</v>
      </c>
      <c r="H48">
        <f t="shared" si="2"/>
        <v>1.2566370614359173E-2</v>
      </c>
      <c r="I48">
        <f t="shared" si="3"/>
        <v>5.2631578947368425E-2</v>
      </c>
    </row>
    <row r="49" spans="1:16" x14ac:dyDescent="0.5">
      <c r="A49">
        <f>A48+1</f>
        <v>10</v>
      </c>
      <c r="B49">
        <v>0.6</v>
      </c>
      <c r="C49">
        <f t="shared" si="1"/>
        <v>0.6</v>
      </c>
      <c r="D49">
        <v>1E-3</v>
      </c>
      <c r="E49">
        <f t="shared" si="0"/>
        <v>1.6666666666666668E-3</v>
      </c>
      <c r="G49">
        <f>0.5*PI()/25</f>
        <v>6.2831853071795868E-2</v>
      </c>
      <c r="H49">
        <f t="shared" si="2"/>
        <v>1.2566370614359173E-2</v>
      </c>
      <c r="I49">
        <f t="shared" si="3"/>
        <v>0.19999999999999998</v>
      </c>
    </row>
    <row r="53" spans="1:16" x14ac:dyDescent="0.5">
      <c r="B53" t="s">
        <v>24</v>
      </c>
      <c r="C53" t="s">
        <v>4</v>
      </c>
      <c r="D53" t="s">
        <v>5</v>
      </c>
      <c r="F53" t="s">
        <v>44</v>
      </c>
      <c r="G53" t="s">
        <v>4</v>
      </c>
      <c r="H53" t="s">
        <v>5</v>
      </c>
      <c r="J53" t="s">
        <v>26</v>
      </c>
      <c r="K53" t="s">
        <v>4</v>
      </c>
      <c r="L53" t="s">
        <v>5</v>
      </c>
      <c r="N53" t="s">
        <v>27</v>
      </c>
      <c r="O53" t="s">
        <v>4</v>
      </c>
      <c r="P53" t="s">
        <v>5</v>
      </c>
    </row>
    <row r="54" spans="1:16" x14ac:dyDescent="0.5">
      <c r="A54">
        <v>0</v>
      </c>
      <c r="B54">
        <f>C39/$B$27</f>
        <v>0.26614565917335237</v>
      </c>
      <c r="C54">
        <f>B54*D54</f>
        <v>0.14637808022940479</v>
      </c>
      <c r="D54">
        <f>E39+$D$27</f>
        <v>0.54999236389597594</v>
      </c>
      <c r="F54">
        <f>G39/SQRT(POWER(1-B54*B54,2))</f>
        <v>6.7621738274334459E-2</v>
      </c>
      <c r="G54">
        <f>H54*F54</f>
        <v>5.0715787339123089E-2</v>
      </c>
      <c r="H54">
        <f>D54+I39</f>
        <v>0.7499923638959759</v>
      </c>
      <c r="J54">
        <f>POWER($B$34/B54,2)</f>
        <v>2.3052873780701973E-2</v>
      </c>
      <c r="K54">
        <f>L54*J54</f>
        <v>2.9853996913701233E-2</v>
      </c>
      <c r="L54">
        <f>D54+$E$34</f>
        <v>1.2950227896832809</v>
      </c>
      <c r="N54">
        <f>SQRT(POWER(1-B54*B54,2)+$B$34*$B$34*B54*B54)</f>
        <v>0.92922872738070506</v>
      </c>
      <c r="O54">
        <f>K54+C54*4</f>
        <v>0.61536631783132045</v>
      </c>
      <c r="P54">
        <f>O54/N54</f>
        <v>0.66223341971562277</v>
      </c>
    </row>
    <row r="55" spans="1:16" x14ac:dyDescent="0.5">
      <c r="A55">
        <v>0</v>
      </c>
      <c r="B55">
        <f t="shared" ref="B55:B64" si="5">C40/$B$27</f>
        <v>0.66536414793338083</v>
      </c>
      <c r="C55">
        <f t="shared" ref="C55:C64" si="6">B55*D55</f>
        <v>0.36195301568591165</v>
      </c>
      <c r="D55">
        <f t="shared" ref="D55:D64" si="7">E40+$D$27</f>
        <v>0.54399236389597594</v>
      </c>
      <c r="F55">
        <f t="shared" ref="F55:F63" si="8">G40/SQRT(POWER(1-B55*B55,2))</f>
        <v>0.16911784974396576</v>
      </c>
      <c r="G55">
        <f t="shared" ref="G55:G64" si="9">H55*F55</f>
        <v>0.11454786549175319</v>
      </c>
      <c r="H55">
        <f t="shared" ref="H55:H64" si="10">D55+I40</f>
        <v>0.67732569722930935</v>
      </c>
      <c r="J55">
        <f t="shared" ref="J55:J64" si="11">POWER($B$34/B55,2)</f>
        <v>3.6884598049123168E-3</v>
      </c>
      <c r="K55">
        <f t="shared" ref="K55:K64" si="12">L55*J55</f>
        <v>4.754508747362724E-3</v>
      </c>
      <c r="L55">
        <f t="shared" ref="L55:L64" si="13">D55+$E$34</f>
        <v>1.2890227896832807</v>
      </c>
      <c r="N55">
        <f>SQRT(POWER(1-B55*B55,2)+$B$34*$B$34*B55*B55)</f>
        <v>0.55793876472723869</v>
      </c>
      <c r="O55">
        <f t="shared" ref="O55:O63" si="14">K55+C55*4</f>
        <v>1.4525665714910094</v>
      </c>
      <c r="P55">
        <f t="shared" ref="P55:P64" si="15">O55/N55</f>
        <v>2.6034516031542103</v>
      </c>
    </row>
    <row r="56" spans="1:16" x14ac:dyDescent="0.5">
      <c r="A56">
        <f t="shared" ref="A56:A63" si="16">A55+1</f>
        <v>1</v>
      </c>
      <c r="B56">
        <f t="shared" si="5"/>
        <v>0.79843697752005693</v>
      </c>
      <c r="C56">
        <f t="shared" si="6"/>
        <v>0.43381132750474721</v>
      </c>
      <c r="D56">
        <f t="shared" si="7"/>
        <v>0.54332569722930923</v>
      </c>
      <c r="F56">
        <f t="shared" si="8"/>
        <v>0.38132604020995986</v>
      </c>
      <c r="G56">
        <f t="shared" si="9"/>
        <v>0.24185024032421895</v>
      </c>
      <c r="H56">
        <f t="shared" si="10"/>
        <v>0.63423478813840017</v>
      </c>
      <c r="J56">
        <f t="shared" si="11"/>
        <v>2.5614304200779984E-3</v>
      </c>
      <c r="K56">
        <f t="shared" si="12"/>
        <v>3.3000345653885071E-3</v>
      </c>
      <c r="L56">
        <f t="shared" si="13"/>
        <v>1.2883561230166141</v>
      </c>
      <c r="N56">
        <f t="shared" ref="N56:N64" si="17">SQRT(POWER(1-B56*B56,2)+$B$34*$B$34*B56*B56)</f>
        <v>0.36393141037278182</v>
      </c>
      <c r="O56">
        <f t="shared" si="14"/>
        <v>1.7385453445843773</v>
      </c>
      <c r="P56">
        <f t="shared" si="15"/>
        <v>4.7771236420718743</v>
      </c>
    </row>
    <row r="57" spans="1:16" x14ac:dyDescent="0.5">
      <c r="A57">
        <f t="shared" si="16"/>
        <v>2</v>
      </c>
      <c r="B57">
        <f t="shared" si="5"/>
        <v>0.93150980710673315</v>
      </c>
      <c r="C57">
        <f t="shared" si="6"/>
        <v>0.505669639323583</v>
      </c>
      <c r="D57">
        <f t="shared" si="7"/>
        <v>0.54284950675311883</v>
      </c>
      <c r="F57">
        <f t="shared" si="8"/>
        <v>1.1873932345447165</v>
      </c>
      <c r="G57">
        <f t="shared" si="9"/>
        <v>0.73956729045816694</v>
      </c>
      <c r="H57">
        <f t="shared" si="10"/>
        <v>0.62284950675311879</v>
      </c>
      <c r="J57">
        <f t="shared" si="11"/>
        <v>1.8818672474042431E-3</v>
      </c>
      <c r="K57">
        <f t="shared" si="12"/>
        <v>2.4236190636370094E-3</v>
      </c>
      <c r="L57">
        <f t="shared" si="13"/>
        <v>1.2878799325404238</v>
      </c>
      <c r="N57">
        <f t="shared" si="17"/>
        <v>0.1375405566536515</v>
      </c>
      <c r="O57">
        <f t="shared" si="14"/>
        <v>2.0251021763579691</v>
      </c>
      <c r="P57">
        <f t="shared" si="15"/>
        <v>14.723672970565991</v>
      </c>
    </row>
    <row r="58" spans="1:16" x14ac:dyDescent="0.5">
      <c r="A58">
        <f t="shared" si="16"/>
        <v>3</v>
      </c>
      <c r="B58">
        <f t="shared" si="5"/>
        <v>0.98473893894140363</v>
      </c>
      <c r="C58">
        <f t="shared" si="6"/>
        <v>0.53441296405111716</v>
      </c>
      <c r="D58">
        <f t="shared" si="7"/>
        <v>0.54269506659867861</v>
      </c>
      <c r="F58">
        <f t="shared" si="8"/>
        <v>9.3347837585817057</v>
      </c>
      <c r="G58">
        <f t="shared" si="9"/>
        <v>5.4808203717069484</v>
      </c>
      <c r="H58">
        <f t="shared" si="10"/>
        <v>0.58713951104312301</v>
      </c>
      <c r="J58">
        <f t="shared" si="11"/>
        <v>1.6839206560045276E-3</v>
      </c>
      <c r="K58">
        <f t="shared" si="12"/>
        <v>2.1684275558923587E-3</v>
      </c>
      <c r="L58">
        <f t="shared" si="13"/>
        <v>1.2877254923859836</v>
      </c>
      <c r="N58">
        <f t="shared" si="17"/>
        <v>5.0008931510982846E-2</v>
      </c>
      <c r="O58">
        <f t="shared" si="14"/>
        <v>2.1398202837603608</v>
      </c>
      <c r="P58">
        <f t="shared" si="15"/>
        <v>42.788762309197075</v>
      </c>
    </row>
    <row r="59" spans="1:16" x14ac:dyDescent="0.5">
      <c r="A59">
        <f t="shared" si="16"/>
        <v>4</v>
      </c>
      <c r="B59">
        <f t="shared" si="5"/>
        <v>0.99804622190007131</v>
      </c>
      <c r="C59">
        <f t="shared" si="6"/>
        <v>0.54159879523300081</v>
      </c>
      <c r="D59">
        <f t="shared" si="7"/>
        <v>0.54265903056264264</v>
      </c>
      <c r="F59">
        <f>G44/SQRT(POWER(1-B59*B59,2))</f>
        <v>112.66710633676573</v>
      </c>
      <c r="G59">
        <f t="shared" si="9"/>
        <v>64.358882882057912</v>
      </c>
      <c r="H59">
        <f t="shared" si="10"/>
        <v>0.57123045913407122</v>
      </c>
      <c r="J59">
        <f t="shared" si="11"/>
        <v>1.6393154688499184E-3</v>
      </c>
      <c r="K59">
        <f t="shared" si="12"/>
        <v>2.1109292448694109E-3</v>
      </c>
      <c r="L59">
        <f t="shared" si="13"/>
        <v>1.2876894563499475</v>
      </c>
      <c r="N59">
        <f t="shared" si="17"/>
        <v>4.0518893237228078E-2</v>
      </c>
      <c r="O59">
        <f t="shared" si="14"/>
        <v>2.1685061101768728</v>
      </c>
      <c r="P59">
        <f t="shared" si="15"/>
        <v>53.518394430983271</v>
      </c>
    </row>
    <row r="60" spans="1:16" x14ac:dyDescent="0.5">
      <c r="A60">
        <f t="shared" si="16"/>
        <v>5</v>
      </c>
      <c r="B60">
        <f t="shared" si="5"/>
        <v>1.011353504858739</v>
      </c>
      <c r="C60">
        <f t="shared" si="6"/>
        <v>0.54878462641488435</v>
      </c>
      <c r="D60">
        <f t="shared" si="7"/>
        <v>0.54262394284334436</v>
      </c>
      <c r="F60">
        <f t="shared" si="8"/>
        <v>19.260144965794865</v>
      </c>
      <c r="G60">
        <f t="shared" si="9"/>
        <v>11.001305657239568</v>
      </c>
      <c r="H60">
        <f t="shared" si="10"/>
        <v>0.57119537141477295</v>
      </c>
      <c r="J60">
        <f t="shared" si="11"/>
        <v>1.5964594030957043E-3</v>
      </c>
      <c r="K60">
        <f t="shared" si="12"/>
        <v>2.0556879247376624E-3</v>
      </c>
      <c r="L60">
        <f t="shared" si="13"/>
        <v>1.2876543686306492</v>
      </c>
      <c r="N60">
        <f t="shared" si="17"/>
        <v>4.6815424834461147E-2</v>
      </c>
      <c r="O60">
        <f t="shared" si="14"/>
        <v>2.1971941935842749</v>
      </c>
      <c r="P60">
        <f t="shared" si="15"/>
        <v>46.933125168756462</v>
      </c>
    </row>
    <row r="61" spans="1:16" x14ac:dyDescent="0.5">
      <c r="A61">
        <f t="shared" si="16"/>
        <v>6</v>
      </c>
      <c r="B61">
        <f t="shared" si="5"/>
        <v>1.0246607878174065</v>
      </c>
      <c r="C61">
        <f t="shared" si="6"/>
        <v>0.55597045759676789</v>
      </c>
      <c r="D61">
        <f t="shared" si="7"/>
        <v>0.54258976649337853</v>
      </c>
      <c r="F61">
        <f t="shared" si="8"/>
        <v>8.1796365457152209</v>
      </c>
      <c r="G61">
        <f t="shared" si="9"/>
        <v>4.6898682078238725</v>
      </c>
      <c r="H61">
        <f t="shared" si="10"/>
        <v>0.5733589972626093</v>
      </c>
      <c r="J61">
        <f t="shared" si="11"/>
        <v>1.5552621879373911E-3</v>
      </c>
      <c r="K61">
        <f t="shared" si="12"/>
        <v>2.0025869974788198E-3</v>
      </c>
      <c r="L61">
        <f t="shared" si="13"/>
        <v>1.2876201922806834</v>
      </c>
      <c r="N61">
        <f t="shared" si="17"/>
        <v>6.4864666897473694E-2</v>
      </c>
      <c r="O61">
        <f t="shared" si="14"/>
        <v>2.2258844173845502</v>
      </c>
      <c r="P61">
        <f t="shared" si="15"/>
        <v>34.315822833143116</v>
      </c>
    </row>
    <row r="62" spans="1:16" x14ac:dyDescent="0.5">
      <c r="A62">
        <f t="shared" si="16"/>
        <v>7</v>
      </c>
      <c r="B62">
        <f t="shared" si="5"/>
        <v>1.0379680707760741</v>
      </c>
      <c r="C62">
        <f t="shared" si="6"/>
        <v>0.56315628877865143</v>
      </c>
      <c r="D62">
        <f t="shared" si="7"/>
        <v>0.54255646646007849</v>
      </c>
      <c r="F62">
        <f t="shared" si="8"/>
        <v>4.060074163464912</v>
      </c>
      <c r="G62">
        <f t="shared" si="9"/>
        <v>2.3652224582339785</v>
      </c>
      <c r="H62">
        <f t="shared" si="10"/>
        <v>0.58255646646007853</v>
      </c>
      <c r="J62">
        <f t="shared" si="11"/>
        <v>1.5156393018213002E-3</v>
      </c>
      <c r="K62">
        <f t="shared" si="12"/>
        <v>1.9515172984000816E-3</v>
      </c>
      <c r="L62">
        <f t="shared" si="13"/>
        <v>1.2875868922473832</v>
      </c>
      <c r="N62">
        <f t="shared" si="17"/>
        <v>8.8014647906271393E-2</v>
      </c>
      <c r="O62">
        <f t="shared" si="14"/>
        <v>2.2545766724130059</v>
      </c>
      <c r="P62">
        <f t="shared" si="15"/>
        <v>25.615925599270145</v>
      </c>
    </row>
    <row r="63" spans="1:16" x14ac:dyDescent="0.5">
      <c r="A63">
        <f t="shared" si="16"/>
        <v>8</v>
      </c>
      <c r="B63">
        <f t="shared" si="5"/>
        <v>1.0645826366934095</v>
      </c>
      <c r="C63">
        <f t="shared" si="6"/>
        <v>0.57752795114241862</v>
      </c>
      <c r="D63">
        <f t="shared" si="7"/>
        <v>0.54249236389597588</v>
      </c>
      <c r="F63">
        <f t="shared" si="8"/>
        <v>1.7906694427650587</v>
      </c>
      <c r="G63">
        <f t="shared" si="9"/>
        <v>1.0656702591074361</v>
      </c>
      <c r="H63">
        <f t="shared" si="10"/>
        <v>0.59512394284334436</v>
      </c>
      <c r="J63">
        <f t="shared" si="11"/>
        <v>1.4408046112938733E-3</v>
      </c>
      <c r="K63">
        <f t="shared" si="12"/>
        <v>1.8550687725216225E-3</v>
      </c>
      <c r="L63">
        <f t="shared" si="13"/>
        <v>1.2875227896832806</v>
      </c>
      <c r="N63">
        <f t="shared" si="17"/>
        <v>0.14010418432665533</v>
      </c>
      <c r="O63">
        <f t="shared" si="14"/>
        <v>2.3119668733421963</v>
      </c>
      <c r="P63">
        <f t="shared" si="15"/>
        <v>16.501768911853521</v>
      </c>
    </row>
    <row r="64" spans="1:16" x14ac:dyDescent="0.5">
      <c r="A64">
        <f>A63+1</f>
        <v>9</v>
      </c>
      <c r="B64">
        <f t="shared" si="5"/>
        <v>1.5968739550401139</v>
      </c>
      <c r="C64">
        <f t="shared" si="6"/>
        <v>0.86496119841776109</v>
      </c>
      <c r="D64">
        <f t="shared" si="7"/>
        <v>0.54165903056264264</v>
      </c>
      <c r="F64">
        <f>G49/SQRT(POWER(1-B64*B64,2))</f>
        <v>4.053651128485803E-2</v>
      </c>
      <c r="G64">
        <f t="shared" si="9"/>
        <v>3.006426966191943E-2</v>
      </c>
      <c r="H64">
        <f t="shared" si="10"/>
        <v>0.7416590305626426</v>
      </c>
      <c r="J64">
        <f t="shared" si="11"/>
        <v>6.403576050194996E-4</v>
      </c>
      <c r="K64">
        <f t="shared" si="12"/>
        <v>8.2394137867209435E-4</v>
      </c>
      <c r="L64">
        <f t="shared" si="13"/>
        <v>1.2866894563499476</v>
      </c>
      <c r="N64">
        <f t="shared" si="17"/>
        <v>1.5513490497133613</v>
      </c>
      <c r="O64">
        <f>K64+C64*4</f>
        <v>3.4606687350497163</v>
      </c>
      <c r="P64">
        <f t="shared" si="15"/>
        <v>2.2307479646112749</v>
      </c>
    </row>
    <row r="66" spans="1:8" x14ac:dyDescent="0.5">
      <c r="B66" t="s">
        <v>25</v>
      </c>
      <c r="C66" t="s">
        <v>43</v>
      </c>
      <c r="D66" t="s">
        <v>28</v>
      </c>
      <c r="F66" t="s">
        <v>25</v>
      </c>
      <c r="H66" t="s">
        <v>29</v>
      </c>
    </row>
    <row r="67" spans="1:8" x14ac:dyDescent="0.5">
      <c r="A67">
        <v>0</v>
      </c>
      <c r="B67">
        <f>SQRT(POWER(1-B54*B54,2)+J54)</f>
        <v>0.9414899024390555</v>
      </c>
      <c r="C67">
        <f>1/B67</f>
        <v>1.0621462826200965</v>
      </c>
      <c r="D67">
        <f>1/(1-POWER(B39/$B$27,2))</f>
        <v>1.0762333906826742</v>
      </c>
      <c r="F67">
        <f>G39/F54</f>
        <v>0.92916648810318192</v>
      </c>
      <c r="H67">
        <f>ATAN(ABS($B$34*B54/(1-B54*B54)))</f>
        <v>1.1574130623982914E-2</v>
      </c>
    </row>
    <row r="68" spans="1:8" x14ac:dyDescent="0.5">
      <c r="A68">
        <f>A67+1</f>
        <v>1</v>
      </c>
      <c r="B68">
        <f t="shared" ref="B68:B77" si="18">SQRT(POWER(1-B55*B55,2)+J55)</f>
        <v>0.56059006202660489</v>
      </c>
      <c r="C68">
        <f t="shared" ref="C68:C77" si="19">1/B68</f>
        <v>1.7838346908699592</v>
      </c>
      <c r="D68">
        <f t="shared" ref="D68:D69" si="20">1/(1-POWER(B40/$B$27,2))</f>
        <v>1.7943961167883054</v>
      </c>
      <c r="F68">
        <f t="shared" ref="F68:F77" si="21">G40/F55</f>
        <v>0.55729055064488608</v>
      </c>
      <c r="H68">
        <f t="shared" ref="H68:H77" si="22">ATAN(ABS($B$34*B55/(1-B55*B55)))</f>
        <v>4.8208433142803354E-2</v>
      </c>
    </row>
    <row r="69" spans="1:8" x14ac:dyDescent="0.5">
      <c r="A69">
        <f t="shared" ref="A69:A77" si="23">A68+1</f>
        <v>2</v>
      </c>
      <c r="B69">
        <f t="shared" si="18"/>
        <v>0.36601436487646466</v>
      </c>
      <c r="C69">
        <f t="shared" si="19"/>
        <v>2.7321332055847454</v>
      </c>
      <c r="D69">
        <f t="shared" si="20"/>
        <v>2.7586329195033614</v>
      </c>
      <c r="F69">
        <f t="shared" si="21"/>
        <v>0.36249839292863606</v>
      </c>
      <c r="H69">
        <f t="shared" si="22"/>
        <v>8.8771503550730352E-2</v>
      </c>
    </row>
    <row r="70" spans="1:8" x14ac:dyDescent="0.5">
      <c r="A70">
        <f t="shared" si="23"/>
        <v>3</v>
      </c>
      <c r="B70">
        <f t="shared" si="18"/>
        <v>0.1392205932013594</v>
      </c>
      <c r="C70">
        <f t="shared" si="19"/>
        <v>7.1828454182325352</v>
      </c>
      <c r="D70">
        <f>1/(1-POWER(B42/$B$27,2))</f>
        <v>7.559180106866636</v>
      </c>
      <c r="F70">
        <f t="shared" si="21"/>
        <v>0.13228947926397683</v>
      </c>
      <c r="H70">
        <f t="shared" si="22"/>
        <v>0.27721409915511064</v>
      </c>
    </row>
    <row r="71" spans="1:8" x14ac:dyDescent="0.5">
      <c r="A71">
        <f t="shared" si="23"/>
        <v>4</v>
      </c>
      <c r="B71">
        <f t="shared" si="18"/>
        <v>5.1003506089287665E-2</v>
      </c>
      <c r="C71">
        <f t="shared" si="19"/>
        <v>19.606495252490717</v>
      </c>
      <c r="D71">
        <f t="shared" ref="D71:D77" si="24">1/(1-POWER(B43/$B$27,2))</f>
        <v>33.015043952716006</v>
      </c>
      <c r="F71">
        <f t="shared" si="21"/>
        <v>3.0289222132558583E-2</v>
      </c>
      <c r="H71">
        <f t="shared" si="22"/>
        <v>0.92018086459647253</v>
      </c>
    </row>
    <row r="72" spans="1:8" x14ac:dyDescent="0.5">
      <c r="A72">
        <f t="shared" si="23"/>
        <v>5</v>
      </c>
      <c r="B72">
        <f t="shared" si="18"/>
        <v>4.0676217211626536E-2</v>
      </c>
      <c r="C72">
        <f t="shared" si="19"/>
        <v>24.584390303485957</v>
      </c>
      <c r="D72">
        <f>1/(1-POWER(B44/$B$27,2))</f>
        <v>256.16466996223528</v>
      </c>
      <c r="F72">
        <f t="shared" si="21"/>
        <v>3.9037389509936071E-3</v>
      </c>
      <c r="H72">
        <f t="shared" si="22"/>
        <v>1.4743029836820341</v>
      </c>
    </row>
    <row r="73" spans="1:8" x14ac:dyDescent="0.5">
      <c r="A73">
        <f t="shared" si="23"/>
        <v>6</v>
      </c>
      <c r="B73">
        <f t="shared" si="18"/>
        <v>4.60210633338572E-2</v>
      </c>
      <c r="C73">
        <f t="shared" si="19"/>
        <v>21.729180674196002</v>
      </c>
      <c r="D73">
        <f t="shared" si="24"/>
        <v>-43.790675371039086</v>
      </c>
      <c r="F73">
        <f t="shared" si="21"/>
        <v>2.2835911790055397E-2</v>
      </c>
      <c r="H73">
        <f t="shared" si="22"/>
        <v>1.0612444927685967</v>
      </c>
    </row>
    <row r="74" spans="1:8" x14ac:dyDescent="0.5">
      <c r="A74">
        <f t="shared" si="23"/>
        <v>7</v>
      </c>
      <c r="B74">
        <f t="shared" si="18"/>
        <v>6.3625781997995054E-2</v>
      </c>
      <c r="C74">
        <f t="shared" si="19"/>
        <v>15.716899165679591</v>
      </c>
      <c r="D74">
        <f t="shared" si="24"/>
        <v>-20.028147522241433</v>
      </c>
      <c r="F74">
        <f t="shared" si="21"/>
        <v>4.9929730090588313E-2</v>
      </c>
      <c r="H74">
        <f t="shared" si="22"/>
        <v>0.69234321612908534</v>
      </c>
    </row>
    <row r="75" spans="1:8" x14ac:dyDescent="0.5">
      <c r="A75">
        <f t="shared" si="23"/>
        <v>8</v>
      </c>
      <c r="B75">
        <f t="shared" si="18"/>
        <v>8.6619571850441821E-2</v>
      </c>
      <c r="C75">
        <f t="shared" si="19"/>
        <v>11.544734967365223</v>
      </c>
      <c r="D75">
        <f t="shared" si="24"/>
        <v>-12.923617448702654</v>
      </c>
      <c r="F75">
        <f t="shared" si="21"/>
        <v>7.7377715950605275E-2</v>
      </c>
      <c r="H75">
        <f t="shared" si="22"/>
        <v>0.49672936804987228</v>
      </c>
    </row>
    <row r="76" spans="1:8" x14ac:dyDescent="0.5">
      <c r="A76">
        <f t="shared" si="23"/>
        <v>9</v>
      </c>
      <c r="B76">
        <f t="shared" si="18"/>
        <v>0.13863384964756317</v>
      </c>
      <c r="C76">
        <f t="shared" si="19"/>
        <v>7.2132455568550782</v>
      </c>
      <c r="D76">
        <f t="shared" si="24"/>
        <v>-7.4998392963070755</v>
      </c>
      <c r="F76">
        <f t="shared" si="21"/>
        <v>0.13333619034909194</v>
      </c>
      <c r="H76">
        <f t="shared" si="22"/>
        <v>0.31209255098891148</v>
      </c>
    </row>
    <row r="77" spans="1:8" x14ac:dyDescent="0.5">
      <c r="A77">
        <f t="shared" si="23"/>
        <v>10</v>
      </c>
      <c r="B77">
        <f t="shared" si="18"/>
        <v>1.5502129806356464</v>
      </c>
      <c r="C77">
        <f t="shared" si="19"/>
        <v>0.64507265291377058</v>
      </c>
      <c r="D77">
        <f t="shared" si="24"/>
        <v>-0.64515861466855529</v>
      </c>
      <c r="F77">
        <f t="shared" si="21"/>
        <v>1.5500064282854558</v>
      </c>
      <c r="H77">
        <f t="shared" si="22"/>
        <v>4.1607186513346738E-2</v>
      </c>
    </row>
  </sheetData>
  <sortState xmlns:xlrd2="http://schemas.microsoft.com/office/spreadsheetml/2017/richdata2" ref="B39:G49">
    <sortCondition ref="B39:B4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FA78-D79F-4EE5-BBE7-172FA33D6885}">
  <dimension ref="A1:L54"/>
  <sheetViews>
    <sheetView topLeftCell="A39" zoomScaleNormal="100" workbookViewId="0">
      <selection activeCell="H44" sqref="H44:H54"/>
    </sheetView>
  </sheetViews>
  <sheetFormatPr defaultRowHeight="14.35" x14ac:dyDescent="0.5"/>
  <cols>
    <col min="1" max="1" width="19.41015625" customWidth="1"/>
    <col min="2" max="2" width="13.234375" customWidth="1"/>
    <col min="3" max="3" width="11.64453125" bestFit="1" customWidth="1"/>
    <col min="6" max="6" width="11.3515625" customWidth="1"/>
    <col min="7" max="7" width="28" customWidth="1"/>
    <col min="8" max="8" width="17" customWidth="1"/>
    <col min="10" max="10" width="19.234375" customWidth="1"/>
  </cols>
  <sheetData>
    <row r="1" spans="1:12" x14ac:dyDescent="0.5">
      <c r="A1" t="s">
        <v>30</v>
      </c>
    </row>
    <row r="4" spans="1:12" x14ac:dyDescent="0.5">
      <c r="A4" t="s">
        <v>0</v>
      </c>
      <c r="B4" t="s">
        <v>18</v>
      </c>
      <c r="C4" t="s">
        <v>4</v>
      </c>
      <c r="D4" t="s">
        <v>5</v>
      </c>
      <c r="F4" t="s">
        <v>32</v>
      </c>
      <c r="G4" t="s">
        <v>4</v>
      </c>
      <c r="H4" t="s">
        <v>5</v>
      </c>
      <c r="J4" t="s">
        <v>35</v>
      </c>
      <c r="K4" t="s">
        <v>4</v>
      </c>
      <c r="L4" t="s">
        <v>5</v>
      </c>
    </row>
    <row r="5" spans="1:12" x14ac:dyDescent="0.5">
      <c r="A5">
        <v>1</v>
      </c>
      <c r="B5">
        <f>5.5*PI()/25</f>
        <v>0.69115038378975446</v>
      </c>
      <c r="F5">
        <v>13.51</v>
      </c>
      <c r="J5">
        <f>LN(2*PI()/B7)</f>
        <v>2.2072749131897211</v>
      </c>
      <c r="K5">
        <f>D7</f>
        <v>1.8181818181818184E-2</v>
      </c>
      <c r="L5">
        <f>K5/J5</f>
        <v>8.237224132422968E-3</v>
      </c>
    </row>
    <row r="6" spans="1:12" x14ac:dyDescent="0.5">
      <c r="A6">
        <v>2</v>
      </c>
      <c r="B6">
        <f>5.5*PI()/25</f>
        <v>0.69115038378975446</v>
      </c>
      <c r="F6">
        <v>13.53</v>
      </c>
    </row>
    <row r="7" spans="1:12" x14ac:dyDescent="0.5">
      <c r="A7" t="s">
        <v>34</v>
      </c>
      <c r="B7">
        <f>5.5*PI()/25</f>
        <v>0.69115038378975446</v>
      </c>
      <c r="C7">
        <f>0.1*PI()/25</f>
        <v>1.2566370614359173E-2</v>
      </c>
      <c r="D7">
        <f>C7/B7</f>
        <v>1.8181818181818184E-2</v>
      </c>
      <c r="F7">
        <f>AVERAGE(F5,F6)</f>
        <v>13.52</v>
      </c>
      <c r="G7">
        <f>0.5</f>
        <v>0.5</v>
      </c>
      <c r="H7">
        <f>G7/F7</f>
        <v>3.6982248520710061E-2</v>
      </c>
    </row>
    <row r="8" spans="1:12" x14ac:dyDescent="0.5">
      <c r="B8" t="s">
        <v>19</v>
      </c>
    </row>
    <row r="9" spans="1:12" x14ac:dyDescent="0.5">
      <c r="A9" t="s">
        <v>33</v>
      </c>
      <c r="B9">
        <f>5/(F7)</f>
        <v>0.36982248520710059</v>
      </c>
      <c r="C9">
        <f>D9*B9</f>
        <v>2.0400912242059262E-2</v>
      </c>
      <c r="D9">
        <f>D7+H7</f>
        <v>5.5164066702528242E-2</v>
      </c>
    </row>
    <row r="10" spans="1:12" x14ac:dyDescent="0.5">
      <c r="A10" t="s">
        <v>11</v>
      </c>
      <c r="B10">
        <f>B9*LN(2*PI()/B7)/(2*PI()*5)</f>
        <v>2.59836326329052E-2</v>
      </c>
      <c r="C10">
        <f>B10*D10</f>
        <v>1.6473958495073515E-3</v>
      </c>
      <c r="D10">
        <f>D9+L5</f>
        <v>6.3401290834951204E-2</v>
      </c>
    </row>
    <row r="11" spans="1:12" x14ac:dyDescent="0.5">
      <c r="A11" t="s">
        <v>12</v>
      </c>
      <c r="B11">
        <f>SQRT(B9*B9+B10*B10)</f>
        <v>0.37073416315408259</v>
      </c>
      <c r="C11">
        <f>C9+C10</f>
        <v>2.2048308091566615E-2</v>
      </c>
      <c r="D11">
        <f>C11/B11</f>
        <v>5.9472016023521986E-2</v>
      </c>
    </row>
    <row r="12" spans="1:12" x14ac:dyDescent="0.5">
      <c r="A12" t="s">
        <v>16</v>
      </c>
      <c r="B12">
        <f>2*B10/B11</f>
        <v>0.14017393170267947</v>
      </c>
      <c r="C12">
        <f>B12*D12</f>
        <v>1.7223634523662001E-2</v>
      </c>
      <c r="D12">
        <f>D10+D11</f>
        <v>0.1228733068584732</v>
      </c>
    </row>
    <row r="15" spans="1:12" x14ac:dyDescent="0.5">
      <c r="A15" t="s">
        <v>17</v>
      </c>
      <c r="B15" t="s">
        <v>36</v>
      </c>
      <c r="C15" t="s">
        <v>31</v>
      </c>
      <c r="E15" t="s">
        <v>24</v>
      </c>
      <c r="G15" t="s">
        <v>4</v>
      </c>
      <c r="H15" t="s">
        <v>5</v>
      </c>
      <c r="J15" t="s">
        <v>38</v>
      </c>
      <c r="K15" t="s">
        <v>4</v>
      </c>
      <c r="L15" t="s">
        <v>37</v>
      </c>
    </row>
    <row r="16" spans="1:12" x14ac:dyDescent="0.5">
      <c r="A16">
        <v>0</v>
      </c>
      <c r="B16">
        <v>0.1</v>
      </c>
      <c r="C16">
        <f>0.5*PI()/25</f>
        <v>6.2831853071795868E-2</v>
      </c>
      <c r="E16">
        <v>0</v>
      </c>
      <c r="F16">
        <f>B16/$B$11</f>
        <v>0.26973505530009256</v>
      </c>
      <c r="G16">
        <f>F16*H16</f>
        <v>1.9431278203498326E-2</v>
      </c>
      <c r="H16">
        <f>$C$27+$D$11</f>
        <v>7.203838663788116E-2</v>
      </c>
      <c r="J16">
        <f>$B$12*$B$12*F16*F16</f>
        <v>1.429582731886336E-3</v>
      </c>
      <c r="K16">
        <f>J16*L16</f>
        <v>2.7864239126511043E-4</v>
      </c>
      <c r="L16">
        <f>H16+$D$12</f>
        <v>0.19491169349635434</v>
      </c>
    </row>
    <row r="17" spans="1:12" x14ac:dyDescent="0.5">
      <c r="A17">
        <f>A16+1</f>
        <v>1</v>
      </c>
      <c r="B17">
        <v>0.25</v>
      </c>
      <c r="C17">
        <f>0.75*PI()/25</f>
        <v>9.4247779607693788E-2</v>
      </c>
      <c r="E17">
        <f>E16+1</f>
        <v>1</v>
      </c>
      <c r="F17">
        <f t="shared" ref="F17:F26" si="0">B17/$B$11</f>
        <v>0.67433763825023141</v>
      </c>
      <c r="G17">
        <f t="shared" ref="G17:G26" si="1">F17*H17</f>
        <v>4.8578195508745807E-2</v>
      </c>
      <c r="H17">
        <f t="shared" ref="H17:H25" si="2">$C$27+$D$11</f>
        <v>7.203838663788116E-2</v>
      </c>
      <c r="J17">
        <f t="shared" ref="J17:J26" si="3">$B$12*$B$12*F17*F17</f>
        <v>8.9348920742896003E-3</v>
      </c>
      <c r="K17">
        <f t="shared" ref="K17:K26" si="4">J17*L17</f>
        <v>1.7415149454069402E-3</v>
      </c>
      <c r="L17">
        <f t="shared" ref="L17:L26" si="5">H17+$D$12</f>
        <v>0.19491169349635434</v>
      </c>
    </row>
    <row r="18" spans="1:12" x14ac:dyDescent="0.5">
      <c r="A18">
        <f t="shared" ref="A18:A25" si="6">A17+1</f>
        <v>2</v>
      </c>
      <c r="B18">
        <v>0.3</v>
      </c>
      <c r="C18">
        <f>0.8*PI()/25</f>
        <v>0.10053096491487339</v>
      </c>
      <c r="E18">
        <f t="shared" ref="E18:E25" si="7">E17+1</f>
        <v>2</v>
      </c>
      <c r="F18">
        <f t="shared" si="0"/>
        <v>0.80920516590027758</v>
      </c>
      <c r="G18">
        <f t="shared" si="1"/>
        <v>5.8293834610494963E-2</v>
      </c>
      <c r="H18">
        <f t="shared" si="2"/>
        <v>7.203838663788116E-2</v>
      </c>
      <c r="J18">
        <f t="shared" si="3"/>
        <v>1.2866244586977021E-2</v>
      </c>
      <c r="K18">
        <f t="shared" si="4"/>
        <v>2.5077815213859936E-3</v>
      </c>
      <c r="L18">
        <f t="shared" si="5"/>
        <v>0.19491169349635434</v>
      </c>
    </row>
    <row r="19" spans="1:12" x14ac:dyDescent="0.5">
      <c r="A19">
        <f t="shared" si="6"/>
        <v>3</v>
      </c>
      <c r="B19">
        <v>0.35</v>
      </c>
      <c r="C19">
        <f>PI()/25</f>
        <v>0.12566370614359174</v>
      </c>
      <c r="E19">
        <f t="shared" si="7"/>
        <v>3</v>
      </c>
      <c r="F19">
        <f t="shared" si="0"/>
        <v>0.94407269355032386</v>
      </c>
      <c r="G19">
        <f t="shared" si="1"/>
        <v>6.8009473712244126E-2</v>
      </c>
      <c r="H19">
        <f t="shared" si="2"/>
        <v>7.203838663788116E-2</v>
      </c>
      <c r="J19">
        <f t="shared" si="3"/>
        <v>1.7512388465607612E-2</v>
      </c>
      <c r="K19">
        <f t="shared" si="4"/>
        <v>3.4133692929976022E-3</v>
      </c>
      <c r="L19">
        <f t="shared" si="5"/>
        <v>0.19491169349635434</v>
      </c>
    </row>
    <row r="20" spans="1:12" x14ac:dyDescent="0.5">
      <c r="A20">
        <f t="shared" si="6"/>
        <v>4</v>
      </c>
      <c r="B20">
        <v>0.37</v>
      </c>
      <c r="C20">
        <f>1.3*PI()/25</f>
        <v>0.16336281798666924</v>
      </c>
      <c r="E20">
        <f t="shared" si="7"/>
        <v>4</v>
      </c>
      <c r="F20">
        <f t="shared" si="0"/>
        <v>0.9980197046103424</v>
      </c>
      <c r="G20">
        <f t="shared" si="1"/>
        <v>7.1895729352943791E-2</v>
      </c>
      <c r="H20">
        <f t="shared" si="2"/>
        <v>7.203838663788116E-2</v>
      </c>
      <c r="J20">
        <f t="shared" si="3"/>
        <v>1.9570987599523935E-2</v>
      </c>
      <c r="K20">
        <f t="shared" si="4"/>
        <v>3.8146143364193611E-3</v>
      </c>
      <c r="L20">
        <f t="shared" si="5"/>
        <v>0.19491169349635434</v>
      </c>
    </row>
    <row r="21" spans="1:12" x14ac:dyDescent="0.5">
      <c r="A21">
        <f t="shared" si="6"/>
        <v>5</v>
      </c>
      <c r="B21">
        <v>0.375</v>
      </c>
      <c r="C21">
        <f>1.5*PI()/25</f>
        <v>0.18849555921538758</v>
      </c>
      <c r="E21">
        <f t="shared" si="7"/>
        <v>5</v>
      </c>
      <c r="F21">
        <f t="shared" si="0"/>
        <v>1.0115064573753472</v>
      </c>
      <c r="G21">
        <f t="shared" si="1"/>
        <v>7.2867293263118721E-2</v>
      </c>
      <c r="H21">
        <f t="shared" si="2"/>
        <v>7.203838663788116E-2</v>
      </c>
      <c r="J21">
        <f t="shared" si="3"/>
        <v>2.0103507167151601E-2</v>
      </c>
      <c r="K21">
        <f t="shared" si="4"/>
        <v>3.9184086271656154E-3</v>
      </c>
      <c r="L21">
        <f t="shared" si="5"/>
        <v>0.19491169349635434</v>
      </c>
    </row>
    <row r="22" spans="1:12" x14ac:dyDescent="0.5">
      <c r="A22">
        <f t="shared" si="6"/>
        <v>6</v>
      </c>
      <c r="B22">
        <v>0.38</v>
      </c>
      <c r="C22">
        <f>1.75*PI()/25</f>
        <v>0.21991148575128552</v>
      </c>
      <c r="E22">
        <f t="shared" si="7"/>
        <v>6</v>
      </c>
      <c r="F22">
        <f t="shared" si="0"/>
        <v>1.0249932101403516</v>
      </c>
      <c r="G22">
        <f t="shared" si="1"/>
        <v>7.3838857173293623E-2</v>
      </c>
      <c r="H22">
        <f t="shared" si="2"/>
        <v>7.203838663788116E-2</v>
      </c>
      <c r="J22">
        <f t="shared" si="3"/>
        <v>2.0643174648438685E-2</v>
      </c>
      <c r="K22">
        <f t="shared" si="4"/>
        <v>4.0235961298681934E-3</v>
      </c>
      <c r="L22">
        <f t="shared" si="5"/>
        <v>0.19491169349635434</v>
      </c>
    </row>
    <row r="23" spans="1:12" x14ac:dyDescent="0.5">
      <c r="A23">
        <f t="shared" si="6"/>
        <v>7</v>
      </c>
      <c r="B23">
        <v>0.38500000000000001</v>
      </c>
      <c r="C23">
        <f>1.5*PI()/25</f>
        <v>0.18849555921538758</v>
      </c>
      <c r="E23">
        <f t="shared" si="7"/>
        <v>7</v>
      </c>
      <c r="F23">
        <f t="shared" si="0"/>
        <v>1.0384799629053563</v>
      </c>
      <c r="G23">
        <f t="shared" si="1"/>
        <v>7.481042108346854E-2</v>
      </c>
      <c r="H23">
        <f t="shared" si="2"/>
        <v>7.203838663788116E-2</v>
      </c>
      <c r="J23">
        <f t="shared" si="3"/>
        <v>2.1189990043385211E-2</v>
      </c>
      <c r="K23">
        <f t="shared" si="4"/>
        <v>4.1301768445270986E-3</v>
      </c>
      <c r="L23">
        <f t="shared" si="5"/>
        <v>0.19491169349635434</v>
      </c>
    </row>
    <row r="24" spans="1:12" x14ac:dyDescent="0.5">
      <c r="A24">
        <f t="shared" si="6"/>
        <v>8</v>
      </c>
      <c r="B24">
        <v>0.39</v>
      </c>
      <c r="C24">
        <f>1.5*PI()/25</f>
        <v>0.18849555921538758</v>
      </c>
      <c r="E24">
        <f t="shared" si="7"/>
        <v>8</v>
      </c>
      <c r="F24">
        <f t="shared" si="0"/>
        <v>1.0519667156703609</v>
      </c>
      <c r="G24">
        <f t="shared" si="1"/>
        <v>7.5781984993643456E-2</v>
      </c>
      <c r="H24">
        <f t="shared" si="2"/>
        <v>7.203838663788116E-2</v>
      </c>
      <c r="J24">
        <f t="shared" si="3"/>
        <v>2.1743953351991169E-2</v>
      </c>
      <c r="K24">
        <f t="shared" si="4"/>
        <v>4.2381507711423292E-3</v>
      </c>
      <c r="L24">
        <f t="shared" si="5"/>
        <v>0.19491169349635434</v>
      </c>
    </row>
    <row r="25" spans="1:12" x14ac:dyDescent="0.5">
      <c r="A25">
        <f t="shared" si="6"/>
        <v>9</v>
      </c>
      <c r="B25">
        <v>0.4</v>
      </c>
      <c r="C25">
        <f>1.2*PI()/25</f>
        <v>0.15079644737231007</v>
      </c>
      <c r="E25">
        <f t="shared" si="7"/>
        <v>9</v>
      </c>
      <c r="F25">
        <f t="shared" si="0"/>
        <v>1.0789402212003703</v>
      </c>
      <c r="G25">
        <f t="shared" si="1"/>
        <v>7.7725112813993302E-2</v>
      </c>
      <c r="H25">
        <f t="shared" si="2"/>
        <v>7.203838663788116E-2</v>
      </c>
      <c r="J25">
        <f t="shared" si="3"/>
        <v>2.2873323710181376E-2</v>
      </c>
      <c r="K25">
        <f t="shared" si="4"/>
        <v>4.4582782602417669E-3</v>
      </c>
      <c r="L25">
        <f t="shared" si="5"/>
        <v>0.19491169349635434</v>
      </c>
    </row>
    <row r="26" spans="1:12" x14ac:dyDescent="0.5">
      <c r="A26">
        <f>A25+1</f>
        <v>10</v>
      </c>
      <c r="B26">
        <v>0.6</v>
      </c>
      <c r="C26">
        <f>0.6*PI()/25</f>
        <v>7.5398223686155036E-2</v>
      </c>
      <c r="E26">
        <f>E25+1</f>
        <v>10</v>
      </c>
      <c r="F26">
        <f t="shared" si="0"/>
        <v>1.6184103318005552</v>
      </c>
      <c r="G26">
        <f t="shared" si="1"/>
        <v>0.11658766922098993</v>
      </c>
      <c r="H26">
        <f>$C$27+$D$11</f>
        <v>7.203838663788116E-2</v>
      </c>
      <c r="J26">
        <f t="shared" si="3"/>
        <v>5.1464978347908086E-2</v>
      </c>
      <c r="K26">
        <f t="shared" si="4"/>
        <v>1.0031126085543974E-2</v>
      </c>
      <c r="L26">
        <f t="shared" si="5"/>
        <v>0.19491169349635434</v>
      </c>
    </row>
    <row r="27" spans="1:12" x14ac:dyDescent="0.5">
      <c r="A27" t="s">
        <v>4</v>
      </c>
      <c r="B27">
        <v>0.01</v>
      </c>
      <c r="C27">
        <f>0.1*PI()/25</f>
        <v>1.2566370614359173E-2</v>
      </c>
    </row>
    <row r="29" spans="1:12" x14ac:dyDescent="0.5">
      <c r="A29" t="s">
        <v>41</v>
      </c>
      <c r="C29" t="s">
        <v>4</v>
      </c>
      <c r="D29" t="s">
        <v>37</v>
      </c>
      <c r="F29" t="s">
        <v>42</v>
      </c>
      <c r="G29" t="s">
        <v>39</v>
      </c>
      <c r="H29" t="s">
        <v>40</v>
      </c>
      <c r="I29" t="s">
        <v>37</v>
      </c>
    </row>
    <row r="30" spans="1:12" x14ac:dyDescent="0.5">
      <c r="A30">
        <v>0</v>
      </c>
      <c r="B30">
        <f>C16/(SQRT(POWER(1-F16*F16,2)+J16))</f>
        <v>6.7705749054972536E-2</v>
      </c>
      <c r="C30">
        <f>D30*B30</f>
        <v>3.3101295872939199E-3</v>
      </c>
      <c r="D30">
        <f>I30+$C$27</f>
        <v>4.8889933772186998E-2</v>
      </c>
      <c r="F30">
        <f>B30/C16</f>
        <v>1.0775704637838299</v>
      </c>
      <c r="G30">
        <f>1/(SQRT(POWER(1-F16*F16,2)+J16))</f>
        <v>1.0775704637838299</v>
      </c>
      <c r="H30">
        <f>0.5*(4*G16)+K16</f>
        <v>3.9141198798261764E-2</v>
      </c>
      <c r="I30">
        <f>H30/G30</f>
        <v>3.6323563157827823E-2</v>
      </c>
    </row>
    <row r="31" spans="1:12" x14ac:dyDescent="0.5">
      <c r="A31">
        <f>A30+1</f>
        <v>1</v>
      </c>
      <c r="B31">
        <f>C17/(SQRT(POWER(1-F17*F17,2)+J17))</f>
        <v>0.17030642067549565</v>
      </c>
      <c r="C31">
        <f t="shared" ref="C31:C40" si="8">D31*B31</f>
        <v>1.1461041645066927E-2</v>
      </c>
      <c r="D31">
        <f t="shared" ref="D31:D40" si="9">I31+$C$27</f>
        <v>6.72965916352911E-2</v>
      </c>
      <c r="F31">
        <f t="shared" ref="F31:F40" si="10">B31/C17</f>
        <v>1.8070072460528599</v>
      </c>
      <c r="G31">
        <f t="shared" ref="G31:G40" si="11">1/(SQRT(POWER(1-F17*F17,2)+J17))</f>
        <v>1.8070072460528601</v>
      </c>
      <c r="H31">
        <f t="shared" ref="H31:H40" si="12">0.5*(4*G17)+K17</f>
        <v>9.8897905962898561E-2</v>
      </c>
      <c r="I31">
        <f t="shared" ref="I31:I40" si="13">H31/G31</f>
        <v>5.4730221020931932E-2</v>
      </c>
    </row>
    <row r="32" spans="1:12" x14ac:dyDescent="0.5">
      <c r="A32">
        <f t="shared" ref="A32:A39" si="14">A31+1</f>
        <v>2</v>
      </c>
      <c r="B32">
        <f t="shared" ref="B32:B40" si="15">C18/(SQRT(POWER(1-F18*F18,2)+J18))</f>
        <v>0.27668109019184894</v>
      </c>
      <c r="C32">
        <f t="shared" si="8"/>
        <v>1.5449657701438536E-2</v>
      </c>
      <c r="D32">
        <f t="shared" si="9"/>
        <v>5.583922519144998E-2</v>
      </c>
      <c r="F32">
        <f t="shared" si="10"/>
        <v>2.752197697755455</v>
      </c>
      <c r="G32">
        <f t="shared" si="11"/>
        <v>2.752197697755455</v>
      </c>
      <c r="H32">
        <f t="shared" si="12"/>
        <v>0.11909545074237592</v>
      </c>
      <c r="I32">
        <f t="shared" si="13"/>
        <v>4.3272854577090805E-2</v>
      </c>
    </row>
    <row r="33" spans="1:9" x14ac:dyDescent="0.5">
      <c r="A33">
        <f t="shared" si="14"/>
        <v>3</v>
      </c>
      <c r="B33">
        <f t="shared" si="15"/>
        <v>0.73371095126301389</v>
      </c>
      <c r="C33">
        <f t="shared" si="8"/>
        <v>2.6741665412291411E-2</v>
      </c>
      <c r="D33">
        <f t="shared" si="9"/>
        <v>3.6447139525801225E-2</v>
      </c>
      <c r="F33">
        <f t="shared" si="10"/>
        <v>5.838686234708268</v>
      </c>
      <c r="G33">
        <f t="shared" si="11"/>
        <v>5.838686234708268</v>
      </c>
      <c r="H33">
        <f t="shared" si="12"/>
        <v>0.13943231671748585</v>
      </c>
      <c r="I33">
        <f t="shared" si="13"/>
        <v>2.388076891144205E-2</v>
      </c>
    </row>
    <row r="34" spans="1:9" x14ac:dyDescent="0.5">
      <c r="A34">
        <f t="shared" si="14"/>
        <v>4</v>
      </c>
      <c r="B34">
        <f t="shared" si="15"/>
        <v>1.1672750812331678</v>
      </c>
      <c r="C34">
        <f t="shared" si="8"/>
        <v>3.878175532381959E-2</v>
      </c>
      <c r="D34">
        <f t="shared" si="9"/>
        <v>3.3224178214143495E-2</v>
      </c>
      <c r="F34">
        <f t="shared" si="10"/>
        <v>7.1452922740866285</v>
      </c>
      <c r="G34">
        <f t="shared" si="11"/>
        <v>7.1452922740866285</v>
      </c>
      <c r="H34">
        <f t="shared" si="12"/>
        <v>0.14760607304230694</v>
      </c>
      <c r="I34">
        <f t="shared" si="13"/>
        <v>2.065780759978432E-2</v>
      </c>
    </row>
    <row r="35" spans="1:9" x14ac:dyDescent="0.5">
      <c r="A35">
        <f t="shared" si="14"/>
        <v>5</v>
      </c>
      <c r="B35">
        <f t="shared" si="15"/>
        <v>1.3120626106789446</v>
      </c>
      <c r="C35">
        <f t="shared" si="8"/>
        <v>4.4696790044733661E-2</v>
      </c>
      <c r="D35">
        <f>I35+$C$27</f>
        <v>3.4066049654143185E-2</v>
      </c>
      <c r="F35">
        <f t="shared" si="10"/>
        <v>6.9607083378537027</v>
      </c>
      <c r="G35">
        <f t="shared" si="11"/>
        <v>6.9607083378537018</v>
      </c>
      <c r="H35">
        <f t="shared" si="12"/>
        <v>0.14965299515340305</v>
      </c>
      <c r="I35">
        <f t="shared" si="13"/>
        <v>2.1499679039784014E-2</v>
      </c>
    </row>
    <row r="36" spans="1:9" x14ac:dyDescent="0.5">
      <c r="A36">
        <f t="shared" si="14"/>
        <v>6</v>
      </c>
      <c r="B36">
        <f t="shared" si="15"/>
        <v>1.4436447772087839</v>
      </c>
      <c r="C36">
        <f t="shared" si="8"/>
        <v>5.1502235883183929E-2</v>
      </c>
      <c r="D36">
        <f t="shared" si="9"/>
        <v>3.56751443958125E-2</v>
      </c>
      <c r="F36">
        <f t="shared" si="10"/>
        <v>6.5646629246164547</v>
      </c>
      <c r="G36">
        <f t="shared" si="11"/>
        <v>6.5646629246164547</v>
      </c>
      <c r="H36">
        <f t="shared" si="12"/>
        <v>0.15170131047645544</v>
      </c>
      <c r="I36">
        <f t="shared" si="13"/>
        <v>2.3108773781453325E-2</v>
      </c>
    </row>
    <row r="37" spans="1:9" x14ac:dyDescent="0.5">
      <c r="A37">
        <f t="shared" si="14"/>
        <v>7</v>
      </c>
      <c r="B37">
        <f t="shared" si="15"/>
        <v>1.1399312336537615</v>
      </c>
      <c r="C37">
        <f t="shared" si="8"/>
        <v>4.3306182665478456E-2</v>
      </c>
      <c r="D37">
        <f t="shared" si="9"/>
        <v>3.7990171149773162E-2</v>
      </c>
      <c r="F37">
        <f t="shared" si="10"/>
        <v>6.0475230206946158</v>
      </c>
      <c r="G37">
        <f t="shared" si="11"/>
        <v>6.0475230206946158</v>
      </c>
      <c r="H37">
        <f t="shared" si="12"/>
        <v>0.15375101901146418</v>
      </c>
      <c r="I37">
        <f t="shared" si="13"/>
        <v>2.5423800535413987E-2</v>
      </c>
    </row>
    <row r="38" spans="1:9" x14ac:dyDescent="0.5">
      <c r="A38">
        <f t="shared" si="14"/>
        <v>8</v>
      </c>
      <c r="B38">
        <f t="shared" si="15"/>
        <v>1.0358344152145804</v>
      </c>
      <c r="C38">
        <f t="shared" si="8"/>
        <v>4.2384687035997889E-2</v>
      </c>
      <c r="D38">
        <f t="shared" si="9"/>
        <v>4.0918400097005467E-2</v>
      </c>
      <c r="F38">
        <f t="shared" si="10"/>
        <v>5.4952722468701083</v>
      </c>
      <c r="G38">
        <f t="shared" si="11"/>
        <v>5.4952722468701083</v>
      </c>
      <c r="H38">
        <f t="shared" si="12"/>
        <v>0.15580212075842925</v>
      </c>
      <c r="I38">
        <f t="shared" si="13"/>
        <v>2.8352029482646295E-2</v>
      </c>
    </row>
    <row r="39" spans="1:9" x14ac:dyDescent="0.5">
      <c r="A39">
        <f t="shared" si="14"/>
        <v>9</v>
      </c>
      <c r="B39">
        <f t="shared" si="15"/>
        <v>0.67569384300897606</v>
      </c>
      <c r="C39">
        <f t="shared" si="8"/>
        <v>3.2604653544057484E-2</v>
      </c>
      <c r="D39">
        <f t="shared" si="9"/>
        <v>4.8253589819412281E-2</v>
      </c>
      <c r="F39">
        <f t="shared" si="10"/>
        <v>4.4808339638182355</v>
      </c>
      <c r="G39">
        <f t="shared" si="11"/>
        <v>4.4808339638182355</v>
      </c>
      <c r="H39">
        <f t="shared" si="12"/>
        <v>0.15990850388822836</v>
      </c>
      <c r="I39">
        <f t="shared" si="13"/>
        <v>3.5687219205053106E-2</v>
      </c>
    </row>
    <row r="40" spans="1:9" x14ac:dyDescent="0.5">
      <c r="A40">
        <f>A39+1</f>
        <v>10</v>
      </c>
      <c r="B40">
        <f t="shared" si="15"/>
        <v>4.6113249716727429E-2</v>
      </c>
      <c r="C40">
        <f t="shared" si="8"/>
        <v>1.8916811600538059E-2</v>
      </c>
      <c r="D40">
        <f t="shared" si="9"/>
        <v>0.41022508100694643</v>
      </c>
      <c r="F40">
        <f t="shared" si="10"/>
        <v>0.61159596953734274</v>
      </c>
      <c r="G40">
        <f t="shared" si="11"/>
        <v>0.61159596953734274</v>
      </c>
      <c r="H40">
        <f t="shared" si="12"/>
        <v>0.24320646452752381</v>
      </c>
      <c r="I40">
        <f t="shared" si="13"/>
        <v>0.39765871039258727</v>
      </c>
    </row>
    <row r="43" spans="1:9" x14ac:dyDescent="0.5">
      <c r="H43" t="s">
        <v>45</v>
      </c>
    </row>
    <row r="44" spans="1:9" x14ac:dyDescent="0.5">
      <c r="G44">
        <v>0</v>
      </c>
      <c r="H44">
        <f>ATAN(ABS($B$12*F16/(1-F16*F16)))</f>
        <v>4.0754029137982865E-2</v>
      </c>
    </row>
    <row r="45" spans="1:9" x14ac:dyDescent="0.5">
      <c r="G45">
        <f>G44+1</f>
        <v>1</v>
      </c>
      <c r="H45">
        <f t="shared" ref="H45:H54" si="16">ATAN(ABS($B$12*F17/(1-F17*F17)))</f>
        <v>0.17164820200619738</v>
      </c>
    </row>
    <row r="46" spans="1:9" x14ac:dyDescent="0.5">
      <c r="G46">
        <f t="shared" ref="G46:G54" si="17">G45+1</f>
        <v>2</v>
      </c>
      <c r="H46">
        <f t="shared" si="16"/>
        <v>0.31748719367967942</v>
      </c>
    </row>
    <row r="47" spans="1:9" x14ac:dyDescent="0.5">
      <c r="G47">
        <f t="shared" si="17"/>
        <v>3</v>
      </c>
      <c r="H47">
        <f t="shared" si="16"/>
        <v>0.88301901165814167</v>
      </c>
    </row>
    <row r="48" spans="1:9" x14ac:dyDescent="0.5">
      <c r="G48">
        <f t="shared" si="17"/>
        <v>4</v>
      </c>
      <c r="H48">
        <f t="shared" si="16"/>
        <v>1.5425210013528801</v>
      </c>
    </row>
    <row r="49" spans="7:8" x14ac:dyDescent="0.5">
      <c r="G49">
        <f t="shared" si="17"/>
        <v>5</v>
      </c>
      <c r="H49">
        <f t="shared" si="16"/>
        <v>1.4089833384555213</v>
      </c>
    </row>
    <row r="50" spans="7:8" x14ac:dyDescent="0.5">
      <c r="G50">
        <f t="shared" si="17"/>
        <v>6</v>
      </c>
      <c r="H50">
        <f t="shared" si="16"/>
        <v>1.2321138669449987</v>
      </c>
    </row>
    <row r="51" spans="7:8" x14ac:dyDescent="0.5">
      <c r="G51">
        <f t="shared" si="17"/>
        <v>7</v>
      </c>
      <c r="H51">
        <f t="shared" si="16"/>
        <v>1.0765463327246034</v>
      </c>
    </row>
    <row r="52" spans="7:8" x14ac:dyDescent="0.5">
      <c r="G52">
        <f t="shared" si="17"/>
        <v>8</v>
      </c>
      <c r="H52">
        <f t="shared" si="16"/>
        <v>0.94470407368155529</v>
      </c>
    </row>
    <row r="53" spans="7:8" x14ac:dyDescent="0.5">
      <c r="G53">
        <f t="shared" si="17"/>
        <v>9</v>
      </c>
      <c r="H53">
        <f t="shared" si="16"/>
        <v>0.74460059715867677</v>
      </c>
    </row>
    <row r="54" spans="7:8" x14ac:dyDescent="0.5">
      <c r="G54">
        <f t="shared" si="17"/>
        <v>10</v>
      </c>
      <c r="H54">
        <f t="shared" si="16"/>
        <v>0.13919506795723893</v>
      </c>
    </row>
  </sheetData>
  <sortState xmlns:xlrd2="http://schemas.microsoft.com/office/spreadsheetml/2017/richdata2" ref="B16:C26">
    <sortCondition ref="B16:B2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archW</dc:creator>
  <cp:lastModifiedBy>archW</cp:lastModifiedBy>
  <dcterms:created xsi:type="dcterms:W3CDTF">2015-06-05T18:17:20Z</dcterms:created>
  <dcterms:modified xsi:type="dcterms:W3CDTF">2021-11-23T20:44:57Z</dcterms:modified>
</cp:coreProperties>
</file>