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rchW\Desktop\fizikalni-praktikum\meritve vaja 3\"/>
    </mc:Choice>
  </mc:AlternateContent>
  <xr:revisionPtr revIDLastSave="0" documentId="13_ncr:1_{4B5280A7-16DA-41D0-835C-2BC951D8B2B7}" xr6:coauthVersionLast="47" xr6:coauthVersionMax="47" xr10:uidLastSave="{00000000-0000-0000-0000-000000000000}"/>
  <bookViews>
    <workbookView xWindow="0" yWindow="1950" windowWidth="2160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B51" i="1"/>
  <c r="G33" i="1"/>
  <c r="C39" i="1"/>
  <c r="D39" i="1"/>
  <c r="I57" i="1"/>
  <c r="H57" i="1"/>
  <c r="L56" i="1"/>
  <c r="K56" i="1"/>
  <c r="L55" i="1"/>
  <c r="K55" i="1"/>
  <c r="J55" i="1"/>
  <c r="I56" i="1"/>
  <c r="H56" i="1"/>
  <c r="I55" i="1"/>
  <c r="H55" i="1"/>
  <c r="I54" i="1"/>
  <c r="H54" i="1"/>
  <c r="G51" i="1"/>
  <c r="G52" i="1" s="1"/>
  <c r="G53" i="1" s="1"/>
  <c r="C27" i="1"/>
  <c r="D27" i="1"/>
  <c r="C16" i="1"/>
  <c r="D16" i="1"/>
  <c r="C46" i="1"/>
  <c r="D46" i="1"/>
  <c r="D45" i="1"/>
  <c r="B46" i="1"/>
  <c r="B42" i="1"/>
  <c r="C45" i="1"/>
  <c r="B45" i="1"/>
  <c r="E42" i="1"/>
  <c r="I44" i="1"/>
  <c r="J44" i="1" s="1"/>
  <c r="H44" i="1"/>
  <c r="G41" i="1"/>
  <c r="G42" i="1" s="1"/>
  <c r="G43" i="1" s="1"/>
  <c r="M17" i="1"/>
  <c r="M18" i="1"/>
  <c r="M19" i="1"/>
  <c r="M20" i="1"/>
  <c r="M16" i="1"/>
  <c r="L16" i="1"/>
  <c r="J18" i="1"/>
  <c r="J21" i="1" s="1"/>
  <c r="K21" i="1" s="1"/>
  <c r="C26" i="1"/>
  <c r="D26" i="1" s="1"/>
  <c r="B27" i="1"/>
  <c r="B26" i="1"/>
  <c r="H35" i="1"/>
  <c r="G32" i="1"/>
  <c r="B19" i="1"/>
  <c r="D20" i="1"/>
  <c r="D19" i="1"/>
  <c r="C20" i="1"/>
  <c r="B20" i="1"/>
  <c r="C15" i="1"/>
  <c r="C19" i="1"/>
  <c r="H28" i="1"/>
  <c r="B15" i="1"/>
  <c r="B16" i="1"/>
  <c r="I14" i="1"/>
  <c r="J14" i="1" s="1"/>
  <c r="G27" i="1"/>
  <c r="G26" i="1"/>
  <c r="D11" i="1"/>
  <c r="J17" i="1"/>
  <c r="J19" i="1"/>
  <c r="J20" i="1"/>
  <c r="J16" i="1"/>
  <c r="G18" i="1"/>
  <c r="G19" i="1"/>
  <c r="G20" i="1"/>
  <c r="G17" i="1"/>
  <c r="D15" i="1"/>
  <c r="H14" i="1"/>
  <c r="B6" i="1"/>
  <c r="B10" i="1"/>
  <c r="B9" i="1"/>
  <c r="B7" i="1"/>
  <c r="D4" i="1"/>
  <c r="D3" i="1"/>
  <c r="J5" i="1"/>
  <c r="N4" i="1"/>
  <c r="J4" i="1"/>
  <c r="J3" i="1"/>
  <c r="R3" i="1"/>
  <c r="P3" i="1"/>
  <c r="L2" i="1"/>
  <c r="D2" i="1"/>
  <c r="G34" i="1" l="1"/>
  <c r="D7" i="1"/>
  <c r="L21" i="1"/>
  <c r="D6" i="1"/>
  <c r="D8" i="1"/>
  <c r="B8" i="1"/>
  <c r="B23" i="1" s="1"/>
  <c r="C6" i="1" l="1"/>
  <c r="D10" i="1"/>
  <c r="C10" i="1" s="1"/>
  <c r="D9" i="1"/>
  <c r="C9" i="1" s="1"/>
  <c r="C7" i="1"/>
  <c r="D23" i="1"/>
  <c r="D24" i="1" s="1"/>
  <c r="D38" i="1" s="1"/>
  <c r="C23" i="1"/>
  <c r="C43" i="1" s="1"/>
  <c r="B24" i="1"/>
  <c r="B43" i="1"/>
  <c r="B37" i="1"/>
  <c r="B39" i="1" s="1"/>
  <c r="C8" i="1"/>
  <c r="C42" i="1" l="1"/>
  <c r="C37" i="1"/>
  <c r="B38" i="1"/>
  <c r="C38" i="1" s="1"/>
  <c r="C24" i="1"/>
  <c r="D37" i="1" l="1"/>
</calcChain>
</file>

<file path=xl/sharedStrings.xml><?xml version="1.0" encoding="utf-8"?>
<sst xmlns="http://schemas.openxmlformats.org/spreadsheetml/2006/main" count="58" uniqueCount="50">
  <si>
    <t>abs</t>
  </si>
  <si>
    <t>rel</t>
  </si>
  <si>
    <t>izracun tezisca</t>
  </si>
  <si>
    <t>M</t>
  </si>
  <si>
    <t>m</t>
  </si>
  <si>
    <t>alum</t>
  </si>
  <si>
    <t>volume</t>
  </si>
  <si>
    <t>r</t>
  </si>
  <si>
    <t>d</t>
  </si>
  <si>
    <t>g/cm3</t>
  </si>
  <si>
    <t>kg/m3</t>
  </si>
  <si>
    <t>baker</t>
  </si>
  <si>
    <t>tezisce</t>
  </si>
  <si>
    <t>A-cm</t>
  </si>
  <si>
    <t>A-rad</t>
  </si>
  <si>
    <t>J</t>
  </si>
  <si>
    <t>D</t>
  </si>
  <si>
    <t>t0-izmer</t>
  </si>
  <si>
    <t>w0-izmer</t>
  </si>
  <si>
    <t>k</t>
  </si>
  <si>
    <t>k - koef vzmeti</t>
  </si>
  <si>
    <t>D'</t>
  </si>
  <si>
    <t>d(os,vzmet)</t>
  </si>
  <si>
    <t>w1-izrac</t>
  </si>
  <si>
    <t>t1-izrac</t>
  </si>
  <si>
    <t>t1-izmer</t>
  </si>
  <si>
    <t>w1-izmer</t>
  </si>
  <si>
    <t>t0-izmer - eno nihalo</t>
  </si>
  <si>
    <t>w0-izmer-eno nihalo</t>
  </si>
  <si>
    <t>dve nihali ista smer</t>
  </si>
  <si>
    <t>eno nihalo</t>
  </si>
  <si>
    <t>w0-izrac-dve nihali</t>
  </si>
  <si>
    <t>t0-izrac-dve nihali</t>
  </si>
  <si>
    <t>dve nihali nasprotna smer</t>
  </si>
  <si>
    <t>t0 - 35nihajev</t>
  </si>
  <si>
    <t>t0-20 eno nihalo</t>
  </si>
  <si>
    <t>t1 - 35 nasprotno</t>
  </si>
  <si>
    <t>w' - izrac</t>
  </si>
  <si>
    <t>t' - izrac</t>
  </si>
  <si>
    <t>T -izrac</t>
  </si>
  <si>
    <t>wu</t>
  </si>
  <si>
    <t>T - 4pavze</t>
  </si>
  <si>
    <t>T-izmer</t>
  </si>
  <si>
    <t>wu-izmer</t>
  </si>
  <si>
    <t>t' - 20</t>
  </si>
  <si>
    <t>l</t>
  </si>
  <si>
    <t>w'</t>
  </si>
  <si>
    <t>t'</t>
  </si>
  <si>
    <t>napaka-w'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</si>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</sst>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A13" workbookViewId="0">
      <selection activeCell="C52" sqref="C52"/>
    </sheetView>
  </sheetViews>
  <sheetFormatPr defaultRowHeight="15" x14ac:dyDescent="0.25"/>
  <cols>
    <col min="1" max="1" width="19.7109375" customWidth="1"/>
    <col min="2" max="2" width="10.42578125" customWidth="1"/>
    <col min="8" max="8" width="9.28515625" customWidth="1"/>
    <col min="9" max="9" width="18.42578125" customWidth="1"/>
    <col min="11" max="11" width="12.42578125" customWidth="1"/>
    <col min="15" max="15" width="10.28515625" customWidth="1"/>
    <col min="16" max="16" width="13.85546875" customWidth="1"/>
  </cols>
  <sheetData>
    <row r="1" spans="1:18" x14ac:dyDescent="0.25">
      <c r="C1" t="s">
        <v>0</v>
      </c>
      <c r="D1" t="s">
        <v>1</v>
      </c>
      <c r="I1" t="s">
        <v>2</v>
      </c>
      <c r="J1" t="s">
        <v>4</v>
      </c>
      <c r="K1" t="s">
        <v>0</v>
      </c>
      <c r="L1" t="s">
        <v>1</v>
      </c>
    </row>
    <row r="2" spans="1:18" x14ac:dyDescent="0.25">
      <c r="A2" t="s">
        <v>13</v>
      </c>
      <c r="B2">
        <v>0.14000000000000001</v>
      </c>
      <c r="C2">
        <v>5.0000000000000001E-3</v>
      </c>
      <c r="D2">
        <f>C2/B2</f>
        <v>3.5714285714285712E-2</v>
      </c>
      <c r="I2" t="s">
        <v>3</v>
      </c>
      <c r="J2">
        <v>1.26</v>
      </c>
      <c r="K2">
        <v>5.0000000000000001E-3</v>
      </c>
      <c r="L2">
        <f>K2/J2</f>
        <v>3.968253968253968E-3</v>
      </c>
      <c r="N2" t="s">
        <v>7</v>
      </c>
      <c r="O2" t="s">
        <v>8</v>
      </c>
      <c r="P2" t="s">
        <v>6</v>
      </c>
      <c r="Q2" t="s">
        <v>9</v>
      </c>
      <c r="R2" t="s">
        <v>10</v>
      </c>
    </row>
    <row r="3" spans="1:18" x14ac:dyDescent="0.25">
      <c r="A3" t="s">
        <v>12</v>
      </c>
      <c r="B3">
        <v>0.79616459995537103</v>
      </c>
      <c r="C3">
        <v>5.0000000000000001E-3</v>
      </c>
      <c r="D3">
        <f>C3/B3</f>
        <v>6.2801084100954432E-3</v>
      </c>
      <c r="I3" t="s">
        <v>5</v>
      </c>
      <c r="J3">
        <f>R3*P3</f>
        <v>0.25145778838230737</v>
      </c>
      <c r="N3">
        <v>0.98</v>
      </c>
      <c r="O3">
        <v>1.0999999999999999E-2</v>
      </c>
      <c r="P3">
        <f>PI()*(O3/2)*O3/2*N3</f>
        <v>9.3132514215669396E-5</v>
      </c>
      <c r="Q3">
        <v>2.7</v>
      </c>
      <c r="R3">
        <f>Q3/1000*1000000</f>
        <v>2700</v>
      </c>
    </row>
    <row r="4" spans="1:18" x14ac:dyDescent="0.25">
      <c r="A4" t="s">
        <v>7</v>
      </c>
      <c r="B4">
        <v>0.98</v>
      </c>
      <c r="C4">
        <v>2E-3</v>
      </c>
      <c r="D4">
        <f>C4/B4</f>
        <v>2.0408163265306124E-3</v>
      </c>
      <c r="I4" t="s">
        <v>11</v>
      </c>
      <c r="J4">
        <f>J2-J3</f>
        <v>1.0085422116176925</v>
      </c>
      <c r="N4">
        <f>0.83+0.085/2</f>
        <v>0.87249999999999994</v>
      </c>
    </row>
    <row r="5" spans="1:18" x14ac:dyDescent="0.25">
      <c r="A5" t="s">
        <v>14</v>
      </c>
      <c r="I5" t="s">
        <v>12</v>
      </c>
      <c r="J5">
        <f>1/J2 * (N3/2*J3 + J4*N4)</f>
        <v>0.79616459995537081</v>
      </c>
    </row>
    <row r="6" spans="1:18" x14ac:dyDescent="0.25">
      <c r="A6" t="s">
        <v>15</v>
      </c>
      <c r="B6">
        <f>B3*B3*J2</f>
        <v>0.79868636847984098</v>
      </c>
      <c r="C6">
        <f>B6*D6</f>
        <v>1.3201064310548155E-2</v>
      </c>
      <c r="D6">
        <f>D3*2+L2</f>
        <v>1.6528470788444855E-2</v>
      </c>
    </row>
    <row r="7" spans="1:18" x14ac:dyDescent="0.25">
      <c r="A7" t="s">
        <v>16</v>
      </c>
      <c r="B7">
        <f>J2*9.81*B3</f>
        <v>9.8410721542083603</v>
      </c>
      <c r="C7">
        <f>B7*D7</f>
        <v>0.10085487362781095</v>
      </c>
      <c r="D7">
        <f>D3+L2</f>
        <v>1.0248362378349411E-2</v>
      </c>
    </row>
    <row r="8" spans="1:18" x14ac:dyDescent="0.25">
      <c r="A8" t="s">
        <v>21</v>
      </c>
      <c r="B8">
        <f>J21*B11*B11</f>
        <v>0.36555157894736851</v>
      </c>
      <c r="C8">
        <f>B8*D8</f>
        <v>1.5437842105263224E-2</v>
      </c>
      <c r="D8">
        <f>D11+L21</f>
        <v>4.2231638418079268E-2</v>
      </c>
    </row>
    <row r="9" spans="1:18" x14ac:dyDescent="0.25">
      <c r="A9" t="s">
        <v>31</v>
      </c>
      <c r="B9">
        <f>SQRT(B7/B6)</f>
        <v>3.5102097801423864</v>
      </c>
      <c r="C9">
        <f>D9*B9</f>
        <v>9.3992301663322259E-2</v>
      </c>
      <c r="D9">
        <f>D6+D7</f>
        <v>2.6776833166794266E-2</v>
      </c>
      <c r="G9" t="s">
        <v>34</v>
      </c>
      <c r="I9" t="s">
        <v>0</v>
      </c>
      <c r="J9" t="s">
        <v>1</v>
      </c>
    </row>
    <row r="10" spans="1:18" x14ac:dyDescent="0.25">
      <c r="A10" t="s">
        <v>32</v>
      </c>
      <c r="B10">
        <f>2*PI()*SQRT(B6/B7)</f>
        <v>1.789974303736547</v>
      </c>
      <c r="C10">
        <f>D10*B10</f>
        <v>4.7929843304002247E-2</v>
      </c>
      <c r="D10">
        <f>D6+D7</f>
        <v>2.6776833166794266E-2</v>
      </c>
      <c r="G10">
        <v>1</v>
      </c>
      <c r="H10">
        <v>64.599999999999994</v>
      </c>
    </row>
    <row r="11" spans="1:18" x14ac:dyDescent="0.25">
      <c r="A11" t="s">
        <v>22</v>
      </c>
      <c r="B11">
        <v>0.12</v>
      </c>
      <c r="C11">
        <v>1E-3</v>
      </c>
      <c r="D11">
        <f>C11/B11</f>
        <v>8.3333333333333332E-3</v>
      </c>
      <c r="G11">
        <v>2</v>
      </c>
      <c r="H11">
        <v>65.09</v>
      </c>
    </row>
    <row r="12" spans="1:18" x14ac:dyDescent="0.25">
      <c r="G12">
        <v>3</v>
      </c>
      <c r="H12">
        <v>65.09</v>
      </c>
    </row>
    <row r="13" spans="1:18" x14ac:dyDescent="0.25">
      <c r="G13">
        <v>4</v>
      </c>
      <c r="H13">
        <v>65.099999999999994</v>
      </c>
    </row>
    <row r="14" spans="1:18" x14ac:dyDescent="0.25">
      <c r="A14" t="s">
        <v>29</v>
      </c>
      <c r="H14">
        <f>(H13+H12+H11+H10)/4</f>
        <v>64.97</v>
      </c>
      <c r="I14">
        <f>H13-H14+0.2</f>
        <v>0.32999999999999546</v>
      </c>
      <c r="J14">
        <f>I14/H14</f>
        <v>5.0792673541633906E-3</v>
      </c>
    </row>
    <row r="15" spans="1:18" x14ac:dyDescent="0.25">
      <c r="A15" t="s">
        <v>17</v>
      </c>
      <c r="B15">
        <f>1/(35/H14)</f>
        <v>1.8562857142857141</v>
      </c>
      <c r="C15">
        <f>I14/35</f>
        <v>9.4285714285712984E-3</v>
      </c>
      <c r="D15">
        <f>C15/B15</f>
        <v>5.0792673541633906E-3</v>
      </c>
      <c r="J15" t="s">
        <v>19</v>
      </c>
    </row>
    <row r="16" spans="1:18" x14ac:dyDescent="0.25">
      <c r="A16" t="s">
        <v>18</v>
      </c>
      <c r="B16">
        <f>2*PI()/B15</f>
        <v>3.3848158496426897</v>
      </c>
      <c r="C16">
        <f>B16*D16</f>
        <v>1.7192384644944932E-2</v>
      </c>
      <c r="D16">
        <f>D15</f>
        <v>5.0792673541633906E-3</v>
      </c>
      <c r="G16">
        <v>1</v>
      </c>
      <c r="H16">
        <v>70.3</v>
      </c>
      <c r="I16">
        <v>0.01</v>
      </c>
      <c r="J16">
        <f>I16*9.81/((H16-69.5)/100)</f>
        <v>12.262500000000044</v>
      </c>
      <c r="L16">
        <f>0.1</f>
        <v>0.1</v>
      </c>
      <c r="M16">
        <f>L$16/H16</f>
        <v>1.4224751066856331E-3</v>
      </c>
    </row>
    <row r="17" spans="1:13" x14ac:dyDescent="0.25">
      <c r="G17">
        <f>1+G16</f>
        <v>2</v>
      </c>
      <c r="H17">
        <v>70.5</v>
      </c>
      <c r="I17">
        <v>1.9E-2</v>
      </c>
      <c r="J17">
        <f>I17*9.81/((H17-69.5)/100)</f>
        <v>18.638999999999999</v>
      </c>
      <c r="M17">
        <f t="shared" ref="M17:M20" si="0">L$16/H17</f>
        <v>1.4184397163120568E-3</v>
      </c>
    </row>
    <row r="18" spans="1:13" x14ac:dyDescent="0.25">
      <c r="A18" t="s">
        <v>30</v>
      </c>
      <c r="G18">
        <f t="shared" ref="G18:G20" si="1">1+G17</f>
        <v>3</v>
      </c>
      <c r="H18">
        <v>71.5</v>
      </c>
      <c r="I18">
        <v>0.05</v>
      </c>
      <c r="J18">
        <f>I18*9.81/((H18-69.5)/100)</f>
        <v>24.525000000000002</v>
      </c>
      <c r="M18">
        <f t="shared" si="0"/>
        <v>1.3986013986013986E-3</v>
      </c>
    </row>
    <row r="19" spans="1:13" x14ac:dyDescent="0.25">
      <c r="A19" t="s">
        <v>27</v>
      </c>
      <c r="B19">
        <f>1/(20/H28)</f>
        <v>1.8574999999999999</v>
      </c>
      <c r="C19">
        <f>I28/20</f>
        <v>0.02</v>
      </c>
      <c r="D19">
        <f>C19/B19</f>
        <v>1.0767160161507403E-2</v>
      </c>
      <c r="G19">
        <f t="shared" si="1"/>
        <v>4</v>
      </c>
      <c r="H19">
        <v>73.3</v>
      </c>
      <c r="I19">
        <v>0.1</v>
      </c>
      <c r="J19">
        <f t="shared" ref="J19:J20" si="2">I19*9.81/((H19-69.5)/100)</f>
        <v>25.815789473684234</v>
      </c>
      <c r="M19">
        <f t="shared" si="0"/>
        <v>1.3642564802182813E-3</v>
      </c>
    </row>
    <row r="20" spans="1:13" x14ac:dyDescent="0.25">
      <c r="A20" t="s">
        <v>28</v>
      </c>
      <c r="B20">
        <f>2*PI()/B19</f>
        <v>3.3826031263416345</v>
      </c>
      <c r="C20">
        <f>I28/20</f>
        <v>0.02</v>
      </c>
      <c r="D20">
        <f>C20/B20</f>
        <v>5.9126061358639121E-3</v>
      </c>
      <c r="G20">
        <f t="shared" si="1"/>
        <v>5</v>
      </c>
      <c r="H20">
        <v>75.2</v>
      </c>
      <c r="I20">
        <v>0.15</v>
      </c>
      <c r="J20">
        <f t="shared" si="2"/>
        <v>25.815789473684198</v>
      </c>
      <c r="M20">
        <f t="shared" si="0"/>
        <v>1.3297872340425532E-3</v>
      </c>
    </row>
    <row r="21" spans="1:13" x14ac:dyDescent="0.25">
      <c r="I21" t="s">
        <v>20</v>
      </c>
      <c r="J21">
        <f>AVERAGE(J18:J20)</f>
        <v>25.38552631578948</v>
      </c>
      <c r="K21">
        <f>MAX(J21-MIN(J18:J21),MAX(J18:J20)-J21)</f>
        <v>0.86052631578947825</v>
      </c>
      <c r="L21">
        <f>K21/J21</f>
        <v>3.3898305084745936E-2</v>
      </c>
    </row>
    <row r="22" spans="1:13" x14ac:dyDescent="0.25">
      <c r="A22" t="s">
        <v>33</v>
      </c>
    </row>
    <row r="23" spans="1:13" x14ac:dyDescent="0.25">
      <c r="A23" t="s">
        <v>23</v>
      </c>
      <c r="B23">
        <f>SQRT((B7+B8*2)/B6)</f>
        <v>3.6382625992845568</v>
      </c>
      <c r="C23">
        <f>D23*B23</f>
        <v>0.15560292914700133</v>
      </c>
      <c r="D23">
        <f>((D7+D8)/2+D6)</f>
        <v>4.276847118665919E-2</v>
      </c>
    </row>
    <row r="24" spans="1:13" x14ac:dyDescent="0.25">
      <c r="A24" t="s">
        <v>24</v>
      </c>
      <c r="B24">
        <f>2*PI()/B23</f>
        <v>1.726974108030338</v>
      </c>
      <c r="C24">
        <f>B24*D24</f>
        <v>7.3860042379401969E-2</v>
      </c>
      <c r="D24">
        <f>D23</f>
        <v>4.276847118665919E-2</v>
      </c>
      <c r="G24" t="s">
        <v>35</v>
      </c>
    </row>
    <row r="25" spans="1:13" x14ac:dyDescent="0.25">
      <c r="G25">
        <v>1</v>
      </c>
      <c r="H25">
        <v>37.19</v>
      </c>
    </row>
    <row r="26" spans="1:13" x14ac:dyDescent="0.25">
      <c r="A26" t="s">
        <v>25</v>
      </c>
      <c r="B26">
        <f>H35/35</f>
        <v>1.6898571428571427</v>
      </c>
      <c r="C26">
        <f>I35/35</f>
        <v>1.4285714285714285E-2</v>
      </c>
      <c r="D26">
        <f>C26/B26</f>
        <v>8.4537999830924006E-3</v>
      </c>
      <c r="G26">
        <f>1+G25</f>
        <v>2</v>
      </c>
      <c r="H26">
        <v>37.25</v>
      </c>
    </row>
    <row r="27" spans="1:13" x14ac:dyDescent="0.25">
      <c r="A27" t="s">
        <v>26</v>
      </c>
      <c r="B27">
        <f>2*PI()/B26</f>
        <v>3.7181754290520845</v>
      </c>
      <c r="C27">
        <f>D27*B27</f>
        <v>3.1432711379255095E-2</v>
      </c>
      <c r="D27">
        <f>D26</f>
        <v>8.4537999830924006E-3</v>
      </c>
      <c r="G27">
        <f t="shared" ref="G27" si="3">1+G26</f>
        <v>3</v>
      </c>
      <c r="H27">
        <v>37.01</v>
      </c>
    </row>
    <row r="28" spans="1:13" x14ac:dyDescent="0.25">
      <c r="H28">
        <f>AVERAGE(H25:H27)</f>
        <v>37.15</v>
      </c>
      <c r="I28">
        <v>0.4</v>
      </c>
    </row>
    <row r="30" spans="1:13" x14ac:dyDescent="0.25">
      <c r="G30" t="s">
        <v>36</v>
      </c>
    </row>
    <row r="31" spans="1:13" x14ac:dyDescent="0.25">
      <c r="G31">
        <v>1</v>
      </c>
      <c r="H31">
        <v>59.16</v>
      </c>
    </row>
    <row r="32" spans="1:13" x14ac:dyDescent="0.25">
      <c r="G32">
        <f>1+G31</f>
        <v>2</v>
      </c>
      <c r="H32">
        <v>59.26</v>
      </c>
    </row>
    <row r="33" spans="1:10" x14ac:dyDescent="0.25">
      <c r="G33" t="b">
        <f>A63=1+G32</f>
        <v>0</v>
      </c>
      <c r="H33">
        <v>59.12</v>
      </c>
    </row>
    <row r="34" spans="1:10" x14ac:dyDescent="0.25">
      <c r="G34">
        <f t="shared" ref="G33:G34" si="4">1+G33</f>
        <v>1</v>
      </c>
      <c r="H34">
        <v>59.04</v>
      </c>
    </row>
    <row r="35" spans="1:10" x14ac:dyDescent="0.25">
      <c r="H35">
        <f>AVERAGE(H31:H34)</f>
        <v>59.144999999999996</v>
      </c>
      <c r="I35">
        <v>0.5</v>
      </c>
    </row>
    <row r="37" spans="1:10" x14ac:dyDescent="0.25">
      <c r="A37" t="s">
        <v>37</v>
      </c>
      <c r="B37">
        <f>(B23+B9)/2</f>
        <v>3.5742361897134716</v>
      </c>
      <c r="C37">
        <f>(C23+C9)/2</f>
        <v>0.12479761540516179</v>
      </c>
      <c r="D37">
        <f>C37/B37</f>
        <v>3.4915883780799108E-2</v>
      </c>
    </row>
    <row r="38" spans="1:10" x14ac:dyDescent="0.25">
      <c r="A38" t="s">
        <v>38</v>
      </c>
      <c r="B38">
        <f>2*B24*B10/(B10+B24)</f>
        <v>1.7579099347889704</v>
      </c>
      <c r="C38">
        <f>D38*B38</f>
        <v>0.18338157216128773</v>
      </c>
      <c r="D38">
        <f>(D10+D24)/2+D10+D24</f>
        <v>0.10431795653018019</v>
      </c>
    </row>
    <row r="39" spans="1:10" x14ac:dyDescent="0.25">
      <c r="A39" t="s">
        <v>38</v>
      </c>
      <c r="B39">
        <f>2*PI()/B37</f>
        <v>1.7579099347889702</v>
      </c>
      <c r="C39">
        <f>D39*B39</f>
        <v>6.1378978980203822E-2</v>
      </c>
      <c r="D39">
        <f>D37</f>
        <v>3.4915883780799108E-2</v>
      </c>
      <c r="G39" t="s">
        <v>41</v>
      </c>
    </row>
    <row r="40" spans="1:10" x14ac:dyDescent="0.25">
      <c r="G40">
        <v>1</v>
      </c>
      <c r="H40">
        <v>74.900000000000006</v>
      </c>
    </row>
    <row r="41" spans="1:10" x14ac:dyDescent="0.25">
      <c r="G41">
        <f>1+G40</f>
        <v>2</v>
      </c>
      <c r="H41">
        <v>74.040000000000006</v>
      </c>
    </row>
    <row r="42" spans="1:10" x14ac:dyDescent="0.25">
      <c r="A42" t="s">
        <v>39</v>
      </c>
      <c r="B42">
        <f>2*PI()/(B23-B9)</f>
        <v>49.067137680145045</v>
      </c>
      <c r="C42">
        <f>2*(C23+C9)/(B23-B9)/(B23-B9)</f>
        <v>30.443038027919503</v>
      </c>
      <c r="E42">
        <f>2*PI()/(B27-B16)</f>
        <v>18.848071857755983</v>
      </c>
      <c r="G42">
        <f t="shared" ref="G42:G43" si="5">1+G41</f>
        <v>3</v>
      </c>
      <c r="H42">
        <v>74.34</v>
      </c>
    </row>
    <row r="43" spans="1:10" x14ac:dyDescent="0.25">
      <c r="A43" t="s">
        <v>40</v>
      </c>
      <c r="B43">
        <f>B23-B9</f>
        <v>0.12805281914217037</v>
      </c>
      <c r="C43">
        <f>C9+C23</f>
        <v>0.24959523081032359</v>
      </c>
      <c r="G43">
        <f t="shared" si="5"/>
        <v>4</v>
      </c>
      <c r="H43">
        <v>74.400000000000006</v>
      </c>
    </row>
    <row r="44" spans="1:10" x14ac:dyDescent="0.25">
      <c r="H44">
        <f>AVERAGE(H40:H43)</f>
        <v>74.42</v>
      </c>
      <c r="I44">
        <f>MAX(H44-MIN(H41:H44),MAX(H41:H43)-H44)+0.5</f>
        <v>0.87999999999999545</v>
      </c>
      <c r="J44">
        <f>I44/H44</f>
        <v>1.1824778285407088E-2</v>
      </c>
    </row>
    <row r="45" spans="1:10" x14ac:dyDescent="0.25">
      <c r="A45" t="s">
        <v>42</v>
      </c>
      <c r="B45">
        <f>H44/4</f>
        <v>18.605</v>
      </c>
      <c r="C45">
        <f>I44/4</f>
        <v>0.21999999999999886</v>
      </c>
      <c r="D45">
        <f>C45/B45</f>
        <v>1.1824778285407088E-2</v>
      </c>
    </row>
    <row r="46" spans="1:10" x14ac:dyDescent="0.25">
      <c r="A46" t="s">
        <v>43</v>
      </c>
      <c r="B46">
        <f>2*PI()/B45</f>
        <v>0.33771487810693823</v>
      </c>
      <c r="C46">
        <f>D46*B46</f>
        <v>3.9934035572978246E-3</v>
      </c>
      <c r="D46">
        <f>D45</f>
        <v>1.1824778285407088E-2</v>
      </c>
    </row>
    <row r="49" spans="1:12" x14ac:dyDescent="0.25">
      <c r="G49" t="s">
        <v>44</v>
      </c>
      <c r="H49" t="s">
        <v>45</v>
      </c>
      <c r="I49" t="s">
        <v>8</v>
      </c>
    </row>
    <row r="50" spans="1:12" x14ac:dyDescent="0.25">
      <c r="G50">
        <v>1</v>
      </c>
      <c r="H50">
        <v>36.869999999999997</v>
      </c>
      <c r="I50">
        <v>36.67</v>
      </c>
    </row>
    <row r="51" spans="1:12" x14ac:dyDescent="0.25">
      <c r="A51" t="s">
        <v>49</v>
      </c>
      <c r="B51">
        <f>B8/(B8+B7)</f>
        <v>3.5815132261601032E-2</v>
      </c>
      <c r="C51">
        <f>D51*B51</f>
        <v>2.4523208003741307E-3</v>
      </c>
      <c r="D51">
        <f>(D8+D7)/2+D8</f>
        <v>6.8471638816293603E-2</v>
      </c>
      <c r="G51">
        <f>1+G50</f>
        <v>2</v>
      </c>
      <c r="H51">
        <v>37.03</v>
      </c>
      <c r="I51">
        <v>36.770000000000003</v>
      </c>
    </row>
    <row r="52" spans="1:12" x14ac:dyDescent="0.25">
      <c r="G52">
        <f t="shared" ref="G52:G53" si="6">1+G51</f>
        <v>3</v>
      </c>
      <c r="H52">
        <v>37.18</v>
      </c>
      <c r="I52">
        <v>36.799999999999997</v>
      </c>
    </row>
    <row r="53" spans="1:12" x14ac:dyDescent="0.25">
      <c r="G53">
        <f t="shared" si="6"/>
        <v>4</v>
      </c>
      <c r="H53">
        <v>37.03</v>
      </c>
      <c r="I53">
        <v>36.880000000000003</v>
      </c>
    </row>
    <row r="54" spans="1:12" x14ac:dyDescent="0.25">
      <c r="H54">
        <f>AVERAGE(H50:H53)</f>
        <v>37.027500000000003</v>
      </c>
      <c r="I54">
        <f>AVERAGE(I50:I53)</f>
        <v>36.78</v>
      </c>
      <c r="J54">
        <v>0.5</v>
      </c>
    </row>
    <row r="55" spans="1:12" x14ac:dyDescent="0.25">
      <c r="G55" t="s">
        <v>47</v>
      </c>
      <c r="H55">
        <f>H54/20</f>
        <v>1.8513750000000002</v>
      </c>
      <c r="I55">
        <f>I54/20</f>
        <v>1.839</v>
      </c>
      <c r="J55">
        <f>J54/20</f>
        <v>2.5000000000000001E-2</v>
      </c>
      <c r="K55">
        <f>$J$55/H55</f>
        <v>1.350347714536493E-2</v>
      </c>
      <c r="L55">
        <f>$J$55/I55</f>
        <v>1.3594344752582926E-2</v>
      </c>
    </row>
    <row r="56" spans="1:12" x14ac:dyDescent="0.25">
      <c r="G56" t="s">
        <v>46</v>
      </c>
      <c r="H56">
        <f>2*PI()/H55</f>
        <v>3.3937939678236906</v>
      </c>
      <c r="I56">
        <f>2*PI()/I55</f>
        <v>3.4166314884065176</v>
      </c>
      <c r="K56">
        <f>K55</f>
        <v>1.350347714536493E-2</v>
      </c>
      <c r="L56">
        <f>L55</f>
        <v>1.3594344752582926E-2</v>
      </c>
    </row>
    <row r="57" spans="1:12" x14ac:dyDescent="0.25">
      <c r="G57" t="s">
        <v>48</v>
      </c>
      <c r="H57">
        <f>H56*K56</f>
        <v>4.5828019280584567E-2</v>
      </c>
      <c r="I57">
        <f>I56*L56</f>
        <v>4.6446866345928733E-2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2021-11-14T17:34:53Z</dcterms:modified>
</cp:coreProperties>
</file>