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aru\Desktop\パワプロデータ＆調査\"/>
    </mc:Choice>
  </mc:AlternateContent>
  <bookViews>
    <workbookView xWindow="0" yWindow="0" windowWidth="17175" windowHeight="9645"/>
  </bookViews>
  <sheets>
    <sheet name="投手能力" sheetId="3" r:id="rId1"/>
    <sheet name="センス○" sheetId="4" r:id="rId2"/>
    <sheet name="変化球経験点" sheetId="1" r:id="rId3"/>
    <sheet name="スライダーコツLv5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4" l="1"/>
  <c r="F38" i="4"/>
  <c r="F43" i="4" s="1"/>
  <c r="E38" i="4"/>
  <c r="E42" i="4" s="1"/>
  <c r="E34" i="4"/>
  <c r="E33" i="4"/>
  <c r="E32" i="4"/>
  <c r="K31" i="4"/>
  <c r="F31" i="4"/>
  <c r="F37" i="4" s="1"/>
  <c r="E31" i="4"/>
  <c r="E37" i="4" s="1"/>
  <c r="G37" i="4" s="1"/>
  <c r="K30" i="4"/>
  <c r="F29" i="4"/>
  <c r="K28" i="4"/>
  <c r="K27" i="4"/>
  <c r="K26" i="4"/>
  <c r="E26" i="4"/>
  <c r="K25" i="4"/>
  <c r="F25" i="4"/>
  <c r="E25" i="4"/>
  <c r="G25" i="4" s="1"/>
  <c r="K24" i="4"/>
  <c r="G24" i="4"/>
  <c r="F24" i="4"/>
  <c r="F30" i="4" s="1"/>
  <c r="E24" i="4"/>
  <c r="E29" i="4" s="1"/>
  <c r="G29" i="4" s="1"/>
  <c r="K23" i="4"/>
  <c r="K22" i="4"/>
  <c r="K21" i="4"/>
  <c r="K19" i="4"/>
  <c r="K18" i="4"/>
  <c r="K17" i="4"/>
  <c r="K16" i="4"/>
  <c r="J16" i="4"/>
  <c r="K15" i="4"/>
  <c r="J15" i="4"/>
  <c r="F15" i="4"/>
  <c r="E15" i="4"/>
  <c r="G15" i="4" s="1"/>
  <c r="K14" i="4"/>
  <c r="J14" i="4"/>
  <c r="K13" i="4"/>
  <c r="J13" i="4"/>
  <c r="F13" i="4"/>
  <c r="E13" i="4"/>
  <c r="G13" i="4" s="1"/>
  <c r="K12" i="4"/>
  <c r="J12" i="4"/>
  <c r="J18" i="4" s="1"/>
  <c r="K11" i="4"/>
  <c r="J11" i="4"/>
  <c r="J17" i="4" s="1"/>
  <c r="J27" i="4" s="1"/>
  <c r="F11" i="4"/>
  <c r="E11" i="4"/>
  <c r="G11" i="4" s="1"/>
  <c r="K10" i="4"/>
  <c r="J10" i="4"/>
  <c r="J21" i="4" s="1"/>
  <c r="J30" i="4" s="1"/>
  <c r="J35" i="4" s="1"/>
  <c r="G10" i="4"/>
  <c r="F10" i="4"/>
  <c r="F16" i="4" s="1"/>
  <c r="E10" i="4"/>
  <c r="E16" i="4" s="1"/>
  <c r="E9" i="4"/>
  <c r="E8" i="4"/>
  <c r="N7" i="4"/>
  <c r="E7" i="4"/>
  <c r="E6" i="4"/>
  <c r="E5" i="4"/>
  <c r="E4" i="4"/>
  <c r="N3" i="4"/>
  <c r="F3" i="4"/>
  <c r="M19" i="4" s="1"/>
  <c r="J188" i="3"/>
  <c r="N187" i="3"/>
  <c r="L187" i="3"/>
  <c r="J187" i="3"/>
  <c r="N186" i="3"/>
  <c r="K160" i="3"/>
  <c r="L159" i="3"/>
  <c r="L168" i="3" s="1"/>
  <c r="L156" i="3"/>
  <c r="L165" i="3" s="1"/>
  <c r="H150" i="3"/>
  <c r="K148" i="3"/>
  <c r="K149" i="3" s="1"/>
  <c r="L147" i="3"/>
  <c r="J147" i="3"/>
  <c r="H147" i="3"/>
  <c r="L146" i="3"/>
  <c r="J146" i="3"/>
  <c r="J159" i="3" s="1"/>
  <c r="H146" i="3"/>
  <c r="L145" i="3"/>
  <c r="L148" i="3" s="1"/>
  <c r="K145" i="3"/>
  <c r="J145" i="3"/>
  <c r="J157" i="3" s="1"/>
  <c r="L144" i="3"/>
  <c r="J144" i="3"/>
  <c r="J156" i="3" s="1"/>
  <c r="I134" i="3"/>
  <c r="I133" i="3"/>
  <c r="I132" i="3"/>
  <c r="I131" i="3"/>
  <c r="I130" i="3"/>
  <c r="I129" i="3"/>
  <c r="I128" i="3"/>
  <c r="I127" i="3"/>
  <c r="I125" i="3"/>
  <c r="G125" i="3"/>
  <c r="I124" i="3"/>
  <c r="I123" i="3"/>
  <c r="G123" i="3"/>
  <c r="I122" i="3"/>
  <c r="I121" i="3"/>
  <c r="N119" i="3"/>
  <c r="I119" i="3"/>
  <c r="N118" i="3"/>
  <c r="N117" i="3"/>
  <c r="I117" i="3"/>
  <c r="I116" i="3"/>
  <c r="G116" i="3"/>
  <c r="G133" i="3" s="1"/>
  <c r="B116" i="3"/>
  <c r="I115" i="3"/>
  <c r="I114" i="3"/>
  <c r="I113" i="3"/>
  <c r="G132" i="3" s="1"/>
  <c r="L118" i="3" s="1"/>
  <c r="I112" i="3"/>
  <c r="G131" i="3" s="1"/>
  <c r="L117" i="3" s="1"/>
  <c r="I109" i="3"/>
  <c r="G129" i="3" s="1"/>
  <c r="I108" i="3"/>
  <c r="G124" i="3" s="1"/>
  <c r="I107" i="3"/>
  <c r="G119" i="3" s="1"/>
  <c r="I106" i="3"/>
  <c r="G109" i="3" s="1"/>
  <c r="I105" i="3"/>
  <c r="G108" i="3" s="1"/>
  <c r="G105" i="3"/>
  <c r="I104" i="3"/>
  <c r="G117" i="3" s="1"/>
  <c r="I103" i="3"/>
  <c r="G114" i="3" s="1"/>
  <c r="G103" i="3"/>
  <c r="G104" i="3" s="1"/>
  <c r="G107" i="3" s="1"/>
  <c r="I102" i="3"/>
  <c r="I101" i="3"/>
  <c r="G130" i="3" s="1"/>
  <c r="I100" i="3"/>
  <c r="G101" i="3" s="1"/>
  <c r="G100" i="3"/>
  <c r="I99" i="3"/>
  <c r="G121" i="3" s="1"/>
  <c r="I98" i="3"/>
  <c r="I97" i="3"/>
  <c r="G97" i="3"/>
  <c r="I96" i="3"/>
  <c r="G112" i="3" s="1"/>
  <c r="G113" i="3" s="1"/>
  <c r="G96" i="3"/>
  <c r="C63" i="3"/>
  <c r="J24" i="4" l="1"/>
  <c r="J19" i="4"/>
  <c r="J32" i="4"/>
  <c r="J37" i="4" s="1"/>
  <c r="J28" i="4"/>
  <c r="G16" i="4"/>
  <c r="F4" i="4"/>
  <c r="G4" i="4" s="1"/>
  <c r="F9" i="4"/>
  <c r="G9" i="4" s="1"/>
  <c r="G3" i="4"/>
  <c r="F7" i="4"/>
  <c r="G7" i="4" s="1"/>
  <c r="F8" i="4"/>
  <c r="G8" i="4" s="1"/>
  <c r="M11" i="4"/>
  <c r="M13" i="4"/>
  <c r="M15" i="4"/>
  <c r="M18" i="4"/>
  <c r="J23" i="4"/>
  <c r="F6" i="4"/>
  <c r="G6" i="4" s="1"/>
  <c r="E12" i="4"/>
  <c r="G12" i="4" s="1"/>
  <c r="E14" i="4"/>
  <c r="M17" i="4"/>
  <c r="F26" i="4"/>
  <c r="G26" i="4" s="1"/>
  <c r="E27" i="4"/>
  <c r="G31" i="4"/>
  <c r="F32" i="4"/>
  <c r="G32" i="4" s="1"/>
  <c r="F33" i="4"/>
  <c r="G33" i="4" s="1"/>
  <c r="F34" i="4"/>
  <c r="G34" i="4" s="1"/>
  <c r="G38" i="4"/>
  <c r="E40" i="4"/>
  <c r="F41" i="4"/>
  <c r="G41" i="4" s="1"/>
  <c r="E44" i="4"/>
  <c r="G44" i="4" s="1"/>
  <c r="F35" i="4"/>
  <c r="F36" i="4"/>
  <c r="F42" i="4"/>
  <c r="G42" i="4" s="1"/>
  <c r="F5" i="4"/>
  <c r="G5" i="4" s="1"/>
  <c r="M10" i="4"/>
  <c r="F12" i="4"/>
  <c r="M12" i="4"/>
  <c r="F14" i="4"/>
  <c r="M14" i="4"/>
  <c r="M16" i="4"/>
  <c r="J22" i="4"/>
  <c r="J31" i="4" s="1"/>
  <c r="J36" i="4" s="1"/>
  <c r="F27" i="4"/>
  <c r="E28" i="4"/>
  <c r="E30" i="4"/>
  <c r="G30" i="4" s="1"/>
  <c r="E39" i="4"/>
  <c r="G39" i="4" s="1"/>
  <c r="F40" i="4"/>
  <c r="E43" i="4"/>
  <c r="G43" i="4" s="1"/>
  <c r="F44" i="4"/>
  <c r="F28" i="4"/>
  <c r="E35" i="4"/>
  <c r="G35" i="4" s="1"/>
  <c r="E36" i="4"/>
  <c r="G36" i="4" s="1"/>
  <c r="F39" i="4"/>
  <c r="H156" i="3"/>
  <c r="J165" i="3"/>
  <c r="G115" i="3"/>
  <c r="G134" i="3"/>
  <c r="L119" i="3" s="1"/>
  <c r="M165" i="3"/>
  <c r="L177" i="3"/>
  <c r="M177" i="3" s="1"/>
  <c r="H157" i="3"/>
  <c r="J166" i="3"/>
  <c r="H159" i="3"/>
  <c r="J168" i="3"/>
  <c r="J161" i="3"/>
  <c r="M168" i="3"/>
  <c r="L180" i="3"/>
  <c r="M180" i="3" s="1"/>
  <c r="L158" i="3"/>
  <c r="L149" i="3"/>
  <c r="G122" i="3"/>
  <c r="G127" i="3"/>
  <c r="L157" i="3"/>
  <c r="G102" i="3"/>
  <c r="G106" i="3"/>
  <c r="M156" i="3"/>
  <c r="M159" i="3"/>
  <c r="L161" i="3"/>
  <c r="G128" i="3"/>
  <c r="J148" i="3"/>
  <c r="G21" i="2"/>
  <c r="G14" i="2"/>
  <c r="G15" i="2"/>
  <c r="G44" i="2"/>
  <c r="G43" i="2"/>
  <c r="G42" i="2"/>
  <c r="G41" i="2"/>
  <c r="G40" i="2"/>
  <c r="K9" i="2"/>
  <c r="K8" i="2"/>
  <c r="K7" i="2"/>
  <c r="K6" i="2"/>
  <c r="K5" i="2"/>
  <c r="K4" i="2"/>
  <c r="K3" i="2"/>
  <c r="K2" i="2"/>
  <c r="G29" i="1"/>
  <c r="K3" i="1"/>
  <c r="K4" i="1"/>
  <c r="K5" i="1"/>
  <c r="K6" i="1"/>
  <c r="G28" i="1" s="1"/>
  <c r="K7" i="1"/>
  <c r="K8" i="1"/>
  <c r="K9" i="1"/>
  <c r="K2" i="1"/>
  <c r="G40" i="4" l="1"/>
  <c r="G28" i="4"/>
  <c r="G14" i="4"/>
  <c r="G27" i="4"/>
  <c r="J33" i="4"/>
  <c r="J25" i="4"/>
  <c r="J26" i="4" s="1"/>
  <c r="L166" i="3"/>
  <c r="M157" i="3"/>
  <c r="J158" i="3"/>
  <c r="J149" i="3"/>
  <c r="H166" i="3"/>
  <c r="J178" i="3"/>
  <c r="H178" i="3" s="1"/>
  <c r="M161" i="3"/>
  <c r="L170" i="3"/>
  <c r="M170" i="3" s="1"/>
  <c r="L151" i="3"/>
  <c r="M151" i="3" s="1"/>
  <c r="L150" i="3"/>
  <c r="L160" i="3"/>
  <c r="H161" i="3"/>
  <c r="J170" i="3"/>
  <c r="H170" i="3" s="1"/>
  <c r="L167" i="3"/>
  <c r="M158" i="3"/>
  <c r="H168" i="3"/>
  <c r="J180" i="3"/>
  <c r="H180" i="3" s="1"/>
  <c r="H165" i="3"/>
  <c r="J177" i="3"/>
  <c r="H177" i="3" s="1"/>
  <c r="G27" i="1"/>
  <c r="M167" i="3" l="1"/>
  <c r="L179" i="3"/>
  <c r="M179" i="3" s="1"/>
  <c r="L152" i="3"/>
  <c r="L162" i="3"/>
  <c r="L153" i="3"/>
  <c r="M153" i="3" s="1"/>
  <c r="M150" i="3"/>
  <c r="M166" i="3"/>
  <c r="L178" i="3"/>
  <c r="M178" i="3" s="1"/>
  <c r="J160" i="3"/>
  <c r="J151" i="3"/>
  <c r="H151" i="3" s="1"/>
  <c r="J150" i="3"/>
  <c r="M160" i="3"/>
  <c r="L169" i="3"/>
  <c r="M169" i="3" s="1"/>
  <c r="H158" i="3"/>
  <c r="J167" i="3"/>
  <c r="H160" i="3" l="1"/>
  <c r="J169" i="3"/>
  <c r="H169" i="3" s="1"/>
  <c r="M162" i="3"/>
  <c r="L171" i="3"/>
  <c r="M171" i="3" s="1"/>
  <c r="H167" i="3"/>
  <c r="J179" i="3"/>
  <c r="H179" i="3" s="1"/>
  <c r="J152" i="3"/>
  <c r="J154" i="3" s="1"/>
  <c r="J162" i="3"/>
  <c r="J153" i="3"/>
  <c r="M152" i="3"/>
  <c r="L154" i="3"/>
  <c r="M154" i="3" s="1"/>
  <c r="H162" i="3" l="1"/>
  <c r="J171" i="3"/>
  <c r="H171" i="3" s="1"/>
</calcChain>
</file>

<file path=xl/sharedStrings.xml><?xml version="1.0" encoding="utf-8"?>
<sst xmlns="http://schemas.openxmlformats.org/spreadsheetml/2006/main" count="564" uniqueCount="441">
  <si>
    <t>①</t>
    <phoneticPr fontId="1"/>
  </si>
  <si>
    <t>技術</t>
    <rPh sb="0" eb="2">
      <t>ギジュツ</t>
    </rPh>
    <phoneticPr fontId="1"/>
  </si>
  <si>
    <t>変化</t>
    <rPh sb="0" eb="2">
      <t>ヘンカ</t>
    </rPh>
    <phoneticPr fontId="1"/>
  </si>
  <si>
    <t>精神</t>
    <rPh sb="0" eb="2">
      <t>セイシン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</si>
  <si>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</si>
  <si>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</si>
  <si>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</si>
  <si>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</si>
  <si>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</si>
  <si>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</si>
  <si>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</si>
  <si>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グループ</t>
    <phoneticPr fontId="1"/>
  </si>
  <si>
    <t>対応球種</t>
    <rPh sb="0" eb="2">
      <t>タイオウ</t>
    </rPh>
    <rPh sb="2" eb="4">
      <t>キュウシュ</t>
    </rPh>
    <phoneticPr fontId="1"/>
  </si>
  <si>
    <t>スライダー,ｶｯﾄﾎﾞｰﾙ,パーム</t>
    <phoneticPr fontId="1"/>
  </si>
  <si>
    <t>シュート,Hシュート</t>
    <phoneticPr fontId="1"/>
  </si>
  <si>
    <t>Hスライダー,カーブ,スローカーブ,ドロップ,Dカーブ,スラーブ,フォーク,Vスライダー,SFF</t>
    <phoneticPr fontId="1"/>
  </si>
  <si>
    <t>シンカー,Hシンカー</t>
    <phoneticPr fontId="1"/>
  </si>
  <si>
    <t>ナックルカーブ,チェンジアップ</t>
    <phoneticPr fontId="1"/>
  </si>
  <si>
    <t>サークルチェンジ</t>
    <phoneticPr fontId="1"/>
  </si>
  <si>
    <t>ナックル,オリジナル</t>
    <phoneticPr fontId="1"/>
  </si>
  <si>
    <t>現在値</t>
    <rPh sb="0" eb="2">
      <t>ゲンザイ</t>
    </rPh>
    <rPh sb="2" eb="3">
      <t>アタイ</t>
    </rPh>
    <phoneticPr fontId="1"/>
  </si>
  <si>
    <t>目標値</t>
    <rPh sb="0" eb="2">
      <t>モクヒョウ</t>
    </rPh>
    <rPh sb="2" eb="3">
      <t>アタイ</t>
    </rPh>
    <phoneticPr fontId="1"/>
  </si>
  <si>
    <t>①1</t>
    <phoneticPr fontId="1"/>
  </si>
  <si>
    <t>①1④1</t>
    <phoneticPr fontId="1"/>
  </si>
  <si>
    <t>①2</t>
    <phoneticPr fontId="1"/>
  </si>
  <si>
    <t>①2④1</t>
    <phoneticPr fontId="1"/>
  </si>
  <si>
    <t>①3④1</t>
    <phoneticPr fontId="1"/>
  </si>
  <si>
    <t>①3</t>
  </si>
  <si>
    <t>①4</t>
  </si>
  <si>
    <t>①5</t>
  </si>
  <si>
    <t>①6</t>
  </si>
  <si>
    <t>①7</t>
  </si>
  <si>
    <t>①4④1</t>
    <phoneticPr fontId="1"/>
  </si>
  <si>
    <t>①5④1</t>
    <phoneticPr fontId="1"/>
  </si>
  <si>
    <t>①6④1</t>
    <phoneticPr fontId="1"/>
  </si>
  <si>
    <t>①7④1</t>
    <phoneticPr fontId="1"/>
  </si>
  <si>
    <t>①2④1</t>
    <phoneticPr fontId="1"/>
  </si>
  <si>
    <t>①1④2</t>
    <phoneticPr fontId="1"/>
  </si>
  <si>
    <t>⑤1</t>
    <phoneticPr fontId="1"/>
  </si>
  <si>
    <t>⑤2</t>
  </si>
  <si>
    <t>⑤3</t>
  </si>
  <si>
    <t>⑤4</t>
  </si>
  <si>
    <t>⑤5</t>
  </si>
  <si>
    <t>⑤6</t>
  </si>
  <si>
    <t>⑤7</t>
  </si>
  <si>
    <t>⑤1①1</t>
  </si>
  <si>
    <t>⑤1①1</t>
    <phoneticPr fontId="1"/>
  </si>
  <si>
    <t>実測値</t>
    <rPh sb="0" eb="2">
      <t>ジッソク</t>
    </rPh>
    <rPh sb="2" eb="3">
      <t>アタイ</t>
    </rPh>
    <phoneticPr fontId="1"/>
  </si>
  <si>
    <t>計算式</t>
    <rPh sb="0" eb="3">
      <t>ケイサンシキ</t>
    </rPh>
    <phoneticPr fontId="1"/>
  </si>
  <si>
    <t>ワーク</t>
    <phoneticPr fontId="1"/>
  </si>
  <si>
    <t>⑤2①1</t>
  </si>
  <si>
    <t>⑤3①1</t>
  </si>
  <si>
    <t>⑤4①1</t>
  </si>
  <si>
    <t>⑤5①1</t>
  </si>
  <si>
    <t>⑤6①1</t>
  </si>
  <si>
    <t>⑤7①1</t>
  </si>
  <si>
    <t>⑤2①2</t>
    <phoneticPr fontId="1"/>
  </si>
  <si>
    <t>⑤2①3</t>
  </si>
  <si>
    <t>⑤2①4</t>
  </si>
  <si>
    <t>⑤2①5</t>
  </si>
  <si>
    <t>⑤2①6</t>
  </si>
  <si>
    <t>⑤2①2</t>
    <phoneticPr fontId="1"/>
  </si>
  <si>
    <t>⑤1①1</t>
    <phoneticPr fontId="1"/>
  </si>
  <si>
    <t>⑤1①2</t>
  </si>
  <si>
    <t>⑤1①3</t>
  </si>
  <si>
    <t>⑤1①4</t>
  </si>
  <si>
    <t>⑤1①5</t>
  </si>
  <si>
    <t>⑤1①6</t>
  </si>
  <si>
    <t>⑤1①7</t>
  </si>
  <si>
    <t>⑤2①7</t>
    <phoneticPr fontId="1"/>
  </si>
  <si>
    <t>⑤1④1</t>
    <phoneticPr fontId="1"/>
  </si>
  <si>
    <t>⑤1④2</t>
  </si>
  <si>
    <t>⑤1④3</t>
  </si>
  <si>
    <t>⑤1④4</t>
  </si>
  <si>
    <t>⑤1④5</t>
  </si>
  <si>
    <t>⑤1④6</t>
  </si>
  <si>
    <t>⑤1④7</t>
  </si>
  <si>
    <t>⑤1④1①1</t>
    <phoneticPr fontId="1"/>
  </si>
  <si>
    <t>⑤1④1①2</t>
  </si>
  <si>
    <t>⑤1④1①2</t>
    <phoneticPr fontId="1"/>
  </si>
  <si>
    <t>⑤1④1①3</t>
  </si>
  <si>
    <t>⑤1④1①4</t>
  </si>
  <si>
    <t>⑤1④1①5</t>
  </si>
  <si>
    <t>⑤1④1①6</t>
  </si>
  <si>
    <t>⑤1④1①7</t>
  </si>
  <si>
    <t>割引率</t>
    <rPh sb="0" eb="2">
      <t>ワリビキ</t>
    </rPh>
    <rPh sb="2" eb="3">
      <t>リツ</t>
    </rPh>
    <phoneticPr fontId="1"/>
  </si>
  <si>
    <t>筋力</t>
    <rPh sb="0" eb="2">
      <t>キンリョク</t>
    </rPh>
    <phoneticPr fontId="1"/>
  </si>
  <si>
    <t>敏捷</t>
    <rPh sb="0" eb="2">
      <t>ビンショウ</t>
    </rPh>
    <phoneticPr fontId="1"/>
  </si>
  <si>
    <t>変化球</t>
    <rPh sb="0" eb="3">
      <t>ヘンカキュウ</t>
    </rPh>
    <phoneticPr fontId="1"/>
  </si>
  <si>
    <t>球速</t>
    <rPh sb="0" eb="2">
      <t>キュウソク</t>
    </rPh>
    <phoneticPr fontId="1"/>
  </si>
  <si>
    <t>121-130</t>
    <phoneticPr fontId="1"/>
  </si>
  <si>
    <t>131-135</t>
    <phoneticPr fontId="1"/>
  </si>
  <si>
    <t>136-140</t>
    <phoneticPr fontId="1"/>
  </si>
  <si>
    <t>コントロール</t>
    <phoneticPr fontId="1"/>
  </si>
  <si>
    <t>G(1-10)</t>
    <phoneticPr fontId="1"/>
  </si>
  <si>
    <t>G(11-20)</t>
    <phoneticPr fontId="1"/>
  </si>
  <si>
    <t>F(21-30)</t>
    <phoneticPr fontId="1"/>
  </si>
  <si>
    <t>F(31-40)</t>
    <phoneticPr fontId="1"/>
  </si>
  <si>
    <t>E(41-50)</t>
    <phoneticPr fontId="1"/>
  </si>
  <si>
    <t>D(51-60)</t>
    <phoneticPr fontId="1"/>
  </si>
  <si>
    <t>C(61-70)</t>
    <phoneticPr fontId="1"/>
  </si>
  <si>
    <t>B(71-80)</t>
    <phoneticPr fontId="1"/>
  </si>
  <si>
    <t>A(81-90)</t>
    <phoneticPr fontId="1"/>
  </si>
  <si>
    <t>S(91-99)</t>
    <phoneticPr fontId="1"/>
  </si>
  <si>
    <t>S(100)</t>
    <phoneticPr fontId="1"/>
  </si>
  <si>
    <t>スタミナ</t>
    <phoneticPr fontId="1"/>
  </si>
  <si>
    <t>G(1～20)</t>
    <phoneticPr fontId="1"/>
  </si>
  <si>
    <t>E(41-50)</t>
    <phoneticPr fontId="1"/>
  </si>
  <si>
    <t>C(61-70)</t>
    <phoneticPr fontId="1"/>
  </si>
  <si>
    <t>A(81-90)</t>
    <phoneticPr fontId="1"/>
  </si>
  <si>
    <t>S(100)</t>
    <phoneticPr fontId="1"/>
  </si>
  <si>
    <t>ツーシーム</t>
    <phoneticPr fontId="1"/>
  </si>
  <si>
    <t>ムービングファースト</t>
    <phoneticPr fontId="1"/>
  </si>
  <si>
    <t>超スローボール</t>
    <rPh sb="0" eb="1">
      <t>チョウ</t>
    </rPh>
    <phoneticPr fontId="1"/>
  </si>
  <si>
    <t>スライダー</t>
    <phoneticPr fontId="1"/>
  </si>
  <si>
    <t>Hスライダー</t>
    <phoneticPr fontId="1"/>
  </si>
  <si>
    <t>④</t>
    <phoneticPr fontId="1"/>
  </si>
  <si>
    <t>カットボール</t>
    <phoneticPr fontId="1"/>
  </si>
  <si>
    <t>①</t>
    <phoneticPr fontId="1"/>
  </si>
  <si>
    <t>カーブ</t>
    <phoneticPr fontId="1"/>
  </si>
  <si>
    <t>スローカーブ</t>
    <phoneticPr fontId="1"/>
  </si>
  <si>
    <t>ドロップ</t>
    <phoneticPr fontId="1"/>
  </si>
  <si>
    <t>Dカーブ</t>
    <phoneticPr fontId="1"/>
  </si>
  <si>
    <t>スラーブ</t>
    <phoneticPr fontId="1"/>
  </si>
  <si>
    <t>ナックルカーブ</t>
    <phoneticPr fontId="1"/>
  </si>
  <si>
    <t>⑥</t>
    <phoneticPr fontId="1"/>
  </si>
  <si>
    <t>フォーク</t>
    <phoneticPr fontId="1"/>
  </si>
  <si>
    <t>④</t>
    <phoneticPr fontId="1"/>
  </si>
  <si>
    <t>パーム</t>
    <phoneticPr fontId="1"/>
  </si>
  <si>
    <t>①</t>
    <phoneticPr fontId="1"/>
  </si>
  <si>
    <t>チェンジアップ</t>
    <phoneticPr fontId="1"/>
  </si>
  <si>
    <t>⑥</t>
    <phoneticPr fontId="1"/>
  </si>
  <si>
    <t>Vスライダー</t>
    <phoneticPr fontId="1"/>
  </si>
  <si>
    <t>ナックル</t>
    <phoneticPr fontId="1"/>
  </si>
  <si>
    <t>⑧</t>
    <phoneticPr fontId="1"/>
  </si>
  <si>
    <t>SFF</t>
    <phoneticPr fontId="1"/>
  </si>
  <si>
    <t>シンカー</t>
    <phoneticPr fontId="1"/>
  </si>
  <si>
    <t>⑤</t>
    <phoneticPr fontId="1"/>
  </si>
  <si>
    <t>Hシンカー</t>
    <phoneticPr fontId="1"/>
  </si>
  <si>
    <t>サークルチェンジ</t>
    <phoneticPr fontId="1"/>
  </si>
  <si>
    <t>⑦</t>
    <phoneticPr fontId="1"/>
  </si>
  <si>
    <t>シュート</t>
    <phoneticPr fontId="1"/>
  </si>
  <si>
    <t>②</t>
    <phoneticPr fontId="1"/>
  </si>
  <si>
    <t>Hシュート</t>
    <phoneticPr fontId="1"/>
  </si>
  <si>
    <t>③</t>
    <phoneticPr fontId="1"/>
  </si>
  <si>
    <t>X1</t>
    <phoneticPr fontId="1"/>
  </si>
  <si>
    <t>X</t>
    <phoneticPr fontId="1"/>
  </si>
  <si>
    <t>X1Y1</t>
    <phoneticPr fontId="1"/>
  </si>
  <si>
    <t>X1+Y1+12*6</t>
    <phoneticPr fontId="1"/>
  </si>
  <si>
    <t>X2</t>
    <phoneticPr fontId="1"/>
  </si>
  <si>
    <t>X*3</t>
    <phoneticPr fontId="1"/>
  </si>
  <si>
    <t>X2Y1</t>
    <phoneticPr fontId="1"/>
  </si>
  <si>
    <t>X*3+Y1+12*7</t>
    <phoneticPr fontId="1"/>
  </si>
  <si>
    <t>X3</t>
    <phoneticPr fontId="1"/>
  </si>
  <si>
    <t>X*6</t>
    <phoneticPr fontId="1"/>
  </si>
  <si>
    <t>X3Y1</t>
    <phoneticPr fontId="1"/>
  </si>
  <si>
    <t>X*6+Y+12*8</t>
    <phoneticPr fontId="1"/>
  </si>
  <si>
    <t>X4</t>
    <phoneticPr fontId="1"/>
  </si>
  <si>
    <t>X*10</t>
    <phoneticPr fontId="1"/>
  </si>
  <si>
    <t>X4Y1</t>
    <phoneticPr fontId="1"/>
  </si>
  <si>
    <t>X*10+Y+12*9</t>
    <phoneticPr fontId="1"/>
  </si>
  <si>
    <t>X5</t>
    <phoneticPr fontId="1"/>
  </si>
  <si>
    <t>X*15</t>
    <phoneticPr fontId="1"/>
  </si>
  <si>
    <t>X5Y1</t>
    <phoneticPr fontId="1"/>
  </si>
  <si>
    <t>X*15+Y+12*10</t>
    <phoneticPr fontId="1"/>
  </si>
  <si>
    <t>X6</t>
    <phoneticPr fontId="1"/>
  </si>
  <si>
    <t>X*21</t>
    <phoneticPr fontId="1"/>
  </si>
  <si>
    <t>X6Y1</t>
    <phoneticPr fontId="1"/>
  </si>
  <si>
    <t>X*21+Y+12*11</t>
    <phoneticPr fontId="1"/>
  </si>
  <si>
    <t>X7</t>
    <phoneticPr fontId="1"/>
  </si>
  <si>
    <t>X*28</t>
    <phoneticPr fontId="1"/>
  </si>
  <si>
    <t>X7Y1</t>
    <phoneticPr fontId="1"/>
  </si>
  <si>
    <t>X*28+Y+12*12</t>
    <phoneticPr fontId="1"/>
  </si>
  <si>
    <t>X2Y2</t>
    <phoneticPr fontId="1"/>
  </si>
  <si>
    <t>X*3+Y*3+12*9</t>
    <phoneticPr fontId="1"/>
  </si>
  <si>
    <t>X3Y2</t>
    <phoneticPr fontId="1"/>
  </si>
  <si>
    <t>X*6+Y*3+12*11</t>
    <phoneticPr fontId="1"/>
  </si>
  <si>
    <t>X4Y2</t>
    <phoneticPr fontId="1"/>
  </si>
  <si>
    <t>X*10+Y*3+12*13</t>
    <phoneticPr fontId="1"/>
  </si>
  <si>
    <t>X5Y2</t>
    <phoneticPr fontId="1"/>
  </si>
  <si>
    <t>X*15+Y*3+12*15</t>
    <phoneticPr fontId="1"/>
  </si>
  <si>
    <t>X3Y3</t>
    <phoneticPr fontId="1"/>
  </si>
  <si>
    <t>X*6+Y*6+12*14</t>
    <phoneticPr fontId="1"/>
  </si>
  <si>
    <t>1-3-6-10</t>
    <phoneticPr fontId="1"/>
  </si>
  <si>
    <t>X4Y3</t>
    <phoneticPr fontId="1"/>
  </si>
  <si>
    <t>X*10+Y*6+12*17</t>
    <phoneticPr fontId="1"/>
  </si>
  <si>
    <t>X5Y3</t>
    <phoneticPr fontId="1"/>
  </si>
  <si>
    <t>X*15+Y*6+12*20</t>
    <phoneticPr fontId="1"/>
  </si>
  <si>
    <t>1-&gt;4-&gt;10-&gt;20</t>
    <phoneticPr fontId="1"/>
  </si>
  <si>
    <t>法則</t>
    <rPh sb="0" eb="2">
      <t>ホウソク</t>
    </rPh>
    <phoneticPr fontId="1"/>
  </si>
  <si>
    <t>X+Y+Z+12*(20+AB+BC+CA)</t>
    <phoneticPr fontId="1"/>
  </si>
  <si>
    <t>X1Y1Z1</t>
    <phoneticPr fontId="1"/>
  </si>
  <si>
    <t>X+Y+Z+12*23</t>
    <phoneticPr fontId="1"/>
  </si>
  <si>
    <t>X2Y1Z1</t>
    <phoneticPr fontId="1"/>
  </si>
  <si>
    <t>X*3+Y+Z+12*25</t>
    <phoneticPr fontId="1"/>
  </si>
  <si>
    <t>X2Y2Z1</t>
    <phoneticPr fontId="1"/>
  </si>
  <si>
    <t>X*3+Y*3+Z+12*28</t>
    <phoneticPr fontId="1"/>
  </si>
  <si>
    <t>X2Y2Z2</t>
    <phoneticPr fontId="1"/>
  </si>
  <si>
    <t>X*3+Y*3+Z*3+12*32</t>
    <phoneticPr fontId="1"/>
  </si>
  <si>
    <t>X3Y1Z1</t>
    <phoneticPr fontId="1"/>
  </si>
  <si>
    <t>X*6+Y+Z+12*27</t>
    <phoneticPr fontId="1"/>
  </si>
  <si>
    <t>X+Y+Z+K+W+12*(100+AB+AC+AD+AE+BC+BD+BE+CD+CE+DE)</t>
    <phoneticPr fontId="1"/>
  </si>
  <si>
    <t>X3Y2Z1</t>
    <phoneticPr fontId="1"/>
  </si>
  <si>
    <t>X*6+Y*3+Z+12*31</t>
    <phoneticPr fontId="1"/>
  </si>
  <si>
    <t>X1Y1Z1K1W1</t>
    <phoneticPr fontId="1"/>
  </si>
  <si>
    <t>X3Y2Z2</t>
    <phoneticPr fontId="1"/>
  </si>
  <si>
    <t>X2Y1Z1K1W1</t>
    <phoneticPr fontId="1"/>
  </si>
  <si>
    <t>X3Y3Z1</t>
    <phoneticPr fontId="1"/>
  </si>
  <si>
    <t>X*6+Y*6+Z+12*35</t>
    <phoneticPr fontId="1"/>
  </si>
  <si>
    <t>X2Y2Z1K1W1</t>
    <phoneticPr fontId="1"/>
  </si>
  <si>
    <t>X2Y2Z1K1W1</t>
    <phoneticPr fontId="1"/>
  </si>
  <si>
    <t>X3Y3Z2</t>
    <phoneticPr fontId="1"/>
  </si>
  <si>
    <t>X4Y1Z1</t>
    <phoneticPr fontId="1"/>
  </si>
  <si>
    <t>X*10+Y+Z+12*29</t>
    <phoneticPr fontId="1"/>
  </si>
  <si>
    <t>X4Y2Z1</t>
    <phoneticPr fontId="1"/>
  </si>
  <si>
    <t>X*10+Y*3+Z+12*34</t>
    <phoneticPr fontId="1"/>
  </si>
  <si>
    <t>X4Y2Z2</t>
    <phoneticPr fontId="1"/>
  </si>
  <si>
    <t>X*10+Y*3+Z*3+12*40</t>
    <phoneticPr fontId="1"/>
  </si>
  <si>
    <t>フォーク、スライダー、他</t>
    <rPh sb="11" eb="12">
      <t>タ</t>
    </rPh>
    <phoneticPr fontId="1"/>
  </si>
  <si>
    <t>X4Y3Z1</t>
    <phoneticPr fontId="1"/>
  </si>
  <si>
    <t>X*10+Y*6+Z+12*39</t>
    <phoneticPr fontId="1"/>
  </si>
  <si>
    <t>X</t>
    <phoneticPr fontId="1"/>
  </si>
  <si>
    <t>X4Y3Z2</t>
    <phoneticPr fontId="1"/>
  </si>
  <si>
    <t>X*10+Y*6+Z*3+12*44</t>
    <phoneticPr fontId="1"/>
  </si>
  <si>
    <t>Y</t>
    <phoneticPr fontId="1"/>
  </si>
  <si>
    <t>Z</t>
    <phoneticPr fontId="1"/>
  </si>
  <si>
    <t>X5Y1Z1</t>
    <phoneticPr fontId="1"/>
  </si>
  <si>
    <t>X*15+Y+Z+12*31</t>
    <phoneticPr fontId="1"/>
  </si>
  <si>
    <t>X+Y+Z+K+12*(50+AB+AC+AD+BC+BD+CD)</t>
    <phoneticPr fontId="1"/>
  </si>
  <si>
    <t>オリ</t>
    <phoneticPr fontId="1"/>
  </si>
  <si>
    <t>X5Y2Z1</t>
    <phoneticPr fontId="1"/>
  </si>
  <si>
    <t>X*15+Y*3+Z+12*37</t>
    <phoneticPr fontId="1"/>
  </si>
  <si>
    <t>K</t>
    <phoneticPr fontId="1"/>
  </si>
  <si>
    <t>X5Y3Z1</t>
    <phoneticPr fontId="1"/>
  </si>
  <si>
    <t>X*15+Y*6+Z+12*43</t>
    <phoneticPr fontId="1"/>
  </si>
  <si>
    <t>X6Y1Z1</t>
    <phoneticPr fontId="1"/>
  </si>
  <si>
    <t>X*21+Y+Z+12*33</t>
    <phoneticPr fontId="1"/>
  </si>
  <si>
    <t>X1Y1Z1K1</t>
    <phoneticPr fontId="1"/>
  </si>
  <si>
    <t>X+Y+Z+K+12*56</t>
    <phoneticPr fontId="1"/>
  </si>
  <si>
    <t>X2Y1Z1K1</t>
    <phoneticPr fontId="1"/>
  </si>
  <si>
    <t>X2Y1Z1K1</t>
    <phoneticPr fontId="1"/>
  </si>
  <si>
    <t>X*3+Y+Z+K+12*59</t>
    <phoneticPr fontId="1"/>
  </si>
  <si>
    <t>X3Y1Z1K1</t>
    <phoneticPr fontId="1"/>
  </si>
  <si>
    <t>X3Y1Z1K1</t>
    <phoneticPr fontId="1"/>
  </si>
  <si>
    <t>X*6+Y+Z+K+12*62</t>
    <phoneticPr fontId="1"/>
  </si>
  <si>
    <t>X2Y2Z1K1</t>
    <phoneticPr fontId="1"/>
  </si>
  <si>
    <t>X2Y2Z1K1</t>
    <phoneticPr fontId="1"/>
  </si>
  <si>
    <t>X*3+Y*3+Z+K+12*63</t>
    <phoneticPr fontId="1"/>
  </si>
  <si>
    <t>Xスライダー</t>
    <phoneticPr fontId="1"/>
  </si>
  <si>
    <t>Yシュート</t>
    <phoneticPr fontId="1"/>
  </si>
  <si>
    <t>Zフォーク</t>
    <phoneticPr fontId="1"/>
  </si>
  <si>
    <t>Kシンカー</t>
    <phoneticPr fontId="1"/>
  </si>
  <si>
    <t>X1</t>
    <phoneticPr fontId="1"/>
  </si>
  <si>
    <t>①1</t>
    <phoneticPr fontId="1"/>
  </si>
  <si>
    <t>X2</t>
    <phoneticPr fontId="1"/>
  </si>
  <si>
    <t>①2</t>
    <phoneticPr fontId="1"/>
  </si>
  <si>
    <t>①3</t>
    <phoneticPr fontId="1"/>
  </si>
  <si>
    <t>X4</t>
  </si>
  <si>
    <t>①4</t>
    <phoneticPr fontId="1"/>
  </si>
  <si>
    <t>X5</t>
  </si>
  <si>
    <t>①5</t>
    <phoneticPr fontId="1"/>
  </si>
  <si>
    <t>X6</t>
  </si>
  <si>
    <t>①6</t>
    <phoneticPr fontId="1"/>
  </si>
  <si>
    <t>X7</t>
  </si>
  <si>
    <t>①7</t>
    <phoneticPr fontId="1"/>
  </si>
  <si>
    <t>２球種</t>
    <rPh sb="1" eb="3">
      <t>キュウシュ</t>
    </rPh>
    <phoneticPr fontId="1"/>
  </si>
  <si>
    <t>法則XA+YB+14+3*AB</t>
    <rPh sb="0" eb="2">
      <t>ホウソク</t>
    </rPh>
    <phoneticPr fontId="1"/>
  </si>
  <si>
    <t>法則XA+YB+8+floor(1.5*AB)</t>
    <rPh sb="0" eb="2">
      <t>ホウソク</t>
    </rPh>
    <phoneticPr fontId="1"/>
  </si>
  <si>
    <t>②1</t>
    <phoneticPr fontId="1"/>
  </si>
  <si>
    <t>X1+Y1</t>
    <phoneticPr fontId="1"/>
  </si>
  <si>
    <t>②2</t>
    <phoneticPr fontId="1"/>
  </si>
  <si>
    <t>X2+Y1</t>
    <phoneticPr fontId="1"/>
  </si>
  <si>
    <t>②3</t>
    <phoneticPr fontId="1"/>
  </si>
  <si>
    <t>X3+Y1</t>
    <phoneticPr fontId="1"/>
  </si>
  <si>
    <t>②4</t>
    <phoneticPr fontId="1"/>
  </si>
  <si>
    <t>②5</t>
    <phoneticPr fontId="1"/>
  </si>
  <si>
    <t>X2+Y2</t>
    <phoneticPr fontId="1"/>
  </si>
  <si>
    <t>②6</t>
    <phoneticPr fontId="1"/>
  </si>
  <si>
    <t>X3+Y2</t>
    <phoneticPr fontId="1"/>
  </si>
  <si>
    <t>②7</t>
    <phoneticPr fontId="1"/>
  </si>
  <si>
    <t>X4+Y2</t>
    <phoneticPr fontId="1"/>
  </si>
  <si>
    <t>③1</t>
    <phoneticPr fontId="1"/>
  </si>
  <si>
    <t>X3+Y3</t>
    <phoneticPr fontId="1"/>
  </si>
  <si>
    <t>③2</t>
    <phoneticPr fontId="1"/>
  </si>
  <si>
    <t>X5+Y2</t>
    <phoneticPr fontId="1"/>
  </si>
  <si>
    <t>③3</t>
    <phoneticPr fontId="1"/>
  </si>
  <si>
    <t>X4+Y3</t>
    <phoneticPr fontId="1"/>
  </si>
  <si>
    <t>③4</t>
    <phoneticPr fontId="1"/>
  </si>
  <si>
    <t>X5Y3</t>
    <phoneticPr fontId="1"/>
  </si>
  <si>
    <t>③5</t>
    <phoneticPr fontId="1"/>
  </si>
  <si>
    <t>３球種</t>
    <rPh sb="1" eb="3">
      <t>キュウシュ</t>
    </rPh>
    <phoneticPr fontId="1"/>
  </si>
  <si>
    <t>法則XA+YB+ZC+58+3*(AB+BC+CA)</t>
    <rPh sb="0" eb="2">
      <t>ホウソク</t>
    </rPh>
    <phoneticPr fontId="1"/>
  </si>
  <si>
    <t>法則XA+YB+ZC+30+floor(1.5*(AB+BC+CA))</t>
    <rPh sb="0" eb="2">
      <t>ホウソク</t>
    </rPh>
    <phoneticPr fontId="1"/>
  </si>
  <si>
    <t>③6</t>
    <phoneticPr fontId="1"/>
  </si>
  <si>
    <t>X1Y1Z1</t>
    <phoneticPr fontId="1"/>
  </si>
  <si>
    <t>③7</t>
    <phoneticPr fontId="1"/>
  </si>
  <si>
    <t>X2Y1Z1</t>
    <phoneticPr fontId="1"/>
  </si>
  <si>
    <t>④1</t>
    <phoneticPr fontId="1"/>
  </si>
  <si>
    <t>X2Y2Z1</t>
    <phoneticPr fontId="1"/>
  </si>
  <si>
    <t>④2</t>
    <phoneticPr fontId="1"/>
  </si>
  <si>
    <t>X3Y1Z1</t>
    <phoneticPr fontId="1"/>
  </si>
  <si>
    <t>④3</t>
    <phoneticPr fontId="1"/>
  </si>
  <si>
    <t>X3Y2Z1</t>
    <phoneticPr fontId="1"/>
  </si>
  <si>
    <t>④4</t>
    <phoneticPr fontId="1"/>
  </si>
  <si>
    <t>X4Y1Z1</t>
    <phoneticPr fontId="1"/>
  </si>
  <si>
    <t>④5</t>
    <phoneticPr fontId="1"/>
  </si>
  <si>
    <t>X4Y2Z1</t>
    <phoneticPr fontId="1"/>
  </si>
  <si>
    <t>④6</t>
    <phoneticPr fontId="1"/>
  </si>
  <si>
    <t>X4Y2Z2</t>
    <phoneticPr fontId="1"/>
  </si>
  <si>
    <t>④7</t>
    <phoneticPr fontId="1"/>
  </si>
  <si>
    <t>４球種</t>
    <rPh sb="1" eb="3">
      <t>キュウシュ</t>
    </rPh>
    <phoneticPr fontId="1"/>
  </si>
  <si>
    <t>法則XA+YB+ZC+KD+147+3*(AB+AC+AD+BC+BD+CD)</t>
    <rPh sb="0" eb="2">
      <t>ホウソク</t>
    </rPh>
    <phoneticPr fontId="1"/>
  </si>
  <si>
    <t>法則XA+YB+ZC+KD+75+floor(1.5*(AB+AC+AD+BC+BD+CD))</t>
    <phoneticPr fontId="1"/>
  </si>
  <si>
    <t>X1Y1Z1K1</t>
    <phoneticPr fontId="1"/>
  </si>
  <si>
    <t>←ズレ-1</t>
    <phoneticPr fontId="1"/>
  </si>
  <si>
    <t>⑤2</t>
    <phoneticPr fontId="1"/>
  </si>
  <si>
    <t>⑤3</t>
    <phoneticPr fontId="1"/>
  </si>
  <si>
    <t>⑤4</t>
    <phoneticPr fontId="1"/>
  </si>
  <si>
    <t>⑤5</t>
    <phoneticPr fontId="1"/>
  </si>
  <si>
    <t>X3Y2Z1K1</t>
    <phoneticPr fontId="1"/>
  </si>
  <si>
    <t>⑤6</t>
    <phoneticPr fontId="1"/>
  </si>
  <si>
    <t>X4Y1Z1K1</t>
    <phoneticPr fontId="1"/>
  </si>
  <si>
    <t>⑤7</t>
    <phoneticPr fontId="1"/>
  </si>
  <si>
    <t>X4Y2Z1K1</t>
    <phoneticPr fontId="1"/>
  </si>
  <si>
    <t>⑥1</t>
    <phoneticPr fontId="1"/>
  </si>
  <si>
    <t>⑥2</t>
    <phoneticPr fontId="1"/>
  </si>
  <si>
    <t>⑥3</t>
    <phoneticPr fontId="1"/>
  </si>
  <si>
    <t>⑥4</t>
    <phoneticPr fontId="1"/>
  </si>
  <si>
    <t>⑥5</t>
    <phoneticPr fontId="1"/>
  </si>
  <si>
    <t>５球種</t>
    <rPh sb="1" eb="3">
      <t>キュウシュ</t>
    </rPh>
    <phoneticPr fontId="1"/>
  </si>
  <si>
    <t>法則XA+YB+ZC+KD+WE+296+3*(AB+AC+AD+AE+BC+BD+BE+CD+CE+DE)</t>
    <rPh sb="0" eb="2">
      <t>ホウソク</t>
    </rPh>
    <phoneticPr fontId="1"/>
  </si>
  <si>
    <t>法則XA+YB+ZC+KD+WE+150+1.5*(AB+AC+AD+AE+BC+BD+BE+CD+CE+DE)</t>
    <rPh sb="0" eb="2">
      <t>ホウソク</t>
    </rPh>
    <phoneticPr fontId="1"/>
  </si>
  <si>
    <t>⑥6</t>
    <phoneticPr fontId="1"/>
  </si>
  <si>
    <t>X1Y1Z1K1W1</t>
    <phoneticPr fontId="1"/>
  </si>
  <si>
    <t>ズレ-1</t>
    <phoneticPr fontId="1"/>
  </si>
  <si>
    <t>⑥7</t>
    <phoneticPr fontId="1"/>
  </si>
  <si>
    <t>X2Y1Z1K1W1</t>
    <phoneticPr fontId="1"/>
  </si>
  <si>
    <t>ズレ-1</t>
    <phoneticPr fontId="1"/>
  </si>
  <si>
    <t>⑦1</t>
    <phoneticPr fontId="1"/>
  </si>
  <si>
    <t>⑦2</t>
    <phoneticPr fontId="1"/>
  </si>
  <si>
    <t>X3Y1Z1K1W1</t>
    <phoneticPr fontId="1"/>
  </si>
  <si>
    <t>ズレ-1</t>
    <phoneticPr fontId="1"/>
  </si>
  <si>
    <t>⑦3</t>
    <phoneticPr fontId="1"/>
  </si>
  <si>
    <t>⑦4</t>
    <phoneticPr fontId="1"/>
  </si>
  <si>
    <t>⑦5</t>
    <phoneticPr fontId="1"/>
  </si>
  <si>
    <t>⑦6</t>
    <phoneticPr fontId="1"/>
  </si>
  <si>
    <t>⑦7</t>
    <phoneticPr fontId="1"/>
  </si>
  <si>
    <t>⑧1</t>
    <phoneticPr fontId="1"/>
  </si>
  <si>
    <t>⑧2</t>
    <phoneticPr fontId="1"/>
  </si>
  <si>
    <t>3球種</t>
    <rPh sb="1" eb="3">
      <t>キュウシュ</t>
    </rPh>
    <phoneticPr fontId="1"/>
  </si>
  <si>
    <t>⑧3</t>
    <phoneticPr fontId="1"/>
  </si>
  <si>
    <t>4球種</t>
    <rPh sb="1" eb="3">
      <t>キュウシュ</t>
    </rPh>
    <phoneticPr fontId="1"/>
  </si>
  <si>
    <t>⑧4</t>
    <phoneticPr fontId="1"/>
  </si>
  <si>
    <t>⑧5</t>
    <phoneticPr fontId="1"/>
  </si>
  <si>
    <t>⑧6</t>
    <phoneticPr fontId="1"/>
  </si>
  <si>
    <t>⑧7</t>
    <phoneticPr fontId="1"/>
  </si>
  <si>
    <t>値</t>
    <rPh sb="0" eb="1">
      <t>アタイ</t>
    </rPh>
    <phoneticPr fontId="1"/>
  </si>
  <si>
    <t>①1</t>
  </si>
  <si>
    <t>X</t>
    <phoneticPr fontId="1"/>
  </si>
  <si>
    <t>スライダー</t>
    <phoneticPr fontId="1"/>
  </si>
  <si>
    <t>①</t>
    <phoneticPr fontId="1"/>
  </si>
  <si>
    <t>①2</t>
  </si>
  <si>
    <t>Y</t>
    <phoneticPr fontId="1"/>
  </si>
  <si>
    <t>フォーク</t>
    <phoneticPr fontId="1"/>
  </si>
  <si>
    <t>④</t>
    <phoneticPr fontId="1"/>
  </si>
  <si>
    <t>Z</t>
    <phoneticPr fontId="1"/>
  </si>
  <si>
    <t>シンカー</t>
    <phoneticPr fontId="1"/>
  </si>
  <si>
    <t>⑤</t>
    <phoneticPr fontId="1"/>
  </si>
  <si>
    <t>K</t>
    <phoneticPr fontId="1"/>
  </si>
  <si>
    <t>カーブ</t>
    <phoneticPr fontId="1"/>
  </si>
  <si>
    <t>W</t>
    <phoneticPr fontId="1"/>
  </si>
  <si>
    <t>②</t>
    <phoneticPr fontId="1"/>
  </si>
  <si>
    <t>実測値</t>
    <rPh sb="0" eb="3">
      <t>ジッソクチ</t>
    </rPh>
    <phoneticPr fontId="1"/>
  </si>
  <si>
    <t>②1</t>
  </si>
  <si>
    <t>①1④1</t>
    <phoneticPr fontId="1"/>
  </si>
  <si>
    <t>②2</t>
  </si>
  <si>
    <t>①2④1</t>
  </si>
  <si>
    <t>②3</t>
  </si>
  <si>
    <t>①3④1</t>
  </si>
  <si>
    <t>②4</t>
  </si>
  <si>
    <t>①4④1</t>
  </si>
  <si>
    <t>②5</t>
  </si>
  <si>
    <t>①5④1</t>
  </si>
  <si>
    <t>②6</t>
  </si>
  <si>
    <t>①6④1</t>
  </si>
  <si>
    <t>②7</t>
  </si>
  <si>
    <t>①7④1</t>
  </si>
  <si>
    <t>③1</t>
  </si>
  <si>
    <t>①2④2</t>
  </si>
  <si>
    <t>③2</t>
  </si>
  <si>
    <t>①3④2</t>
  </si>
  <si>
    <t>③3</t>
  </si>
  <si>
    <t>①3④3</t>
  </si>
  <si>
    <t>③4</t>
  </si>
  <si>
    <t>③5</t>
  </si>
  <si>
    <t>①1④1⑤1</t>
  </si>
  <si>
    <t>③6</t>
  </si>
  <si>
    <t>①2④1⑤1</t>
  </si>
  <si>
    <t>③7</t>
  </si>
  <si>
    <t>①3④1⑤1</t>
  </si>
  <si>
    <t>④1</t>
  </si>
  <si>
    <t>①3④2⑤1</t>
  </si>
  <si>
    <t>④2</t>
  </si>
  <si>
    <t>①3④2⑤2</t>
  </si>
  <si>
    <t>④3</t>
  </si>
  <si>
    <t>①3④3⑤2</t>
  </si>
  <si>
    <t>④4</t>
  </si>
  <si>
    <t>①2④2⑤1</t>
  </si>
  <si>
    <t>④5</t>
  </si>
  <si>
    <t>①2④2⑤2</t>
  </si>
  <si>
    <t>④6</t>
  </si>
  <si>
    <t>④7</t>
  </si>
  <si>
    <t>①1④1⑤1K1</t>
  </si>
  <si>
    <t>⑤1</t>
  </si>
  <si>
    <t>①2④1⑤1K1</t>
  </si>
  <si>
    <t>①2④2⑤1K1</t>
  </si>
  <si>
    <t>①3④2⑤1K1</t>
  </si>
  <si>
    <t>①1④1⑤1K1W1</t>
  </si>
  <si>
    <t>①2④1⑤1K1W1</t>
  </si>
  <si>
    <t>①2④2⑤1K1W1</t>
  </si>
  <si>
    <t>⑥1</t>
  </si>
  <si>
    <t>⑥2</t>
  </si>
  <si>
    <t>⑥3</t>
  </si>
  <si>
    <t>⑥4</t>
  </si>
  <si>
    <t>⑥5</t>
  </si>
  <si>
    <t>⑥6</t>
  </si>
  <si>
    <t>⑥7</t>
  </si>
  <si>
    <t>⑦1</t>
  </si>
  <si>
    <t>⑦2</t>
  </si>
  <si>
    <t>⑦3</t>
  </si>
  <si>
    <t>⑦4</t>
  </si>
  <si>
    <t>⑦5</t>
  </si>
  <si>
    <t>⑦6</t>
  </si>
  <si>
    <t>⑦7</t>
  </si>
  <si>
    <t>⑧1</t>
  </si>
  <si>
    <t>⑧2</t>
  </si>
  <si>
    <t>⑧3</t>
  </si>
  <si>
    <t>⑧4</t>
  </si>
  <si>
    <t>⑧5</t>
  </si>
  <si>
    <t>⑧6</t>
  </si>
  <si>
    <t>⑧7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</si>
</sst>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2"/>
  <sheetViews>
    <sheetView tabSelected="1" topLeftCell="A91" zoomScaleNormal="100" workbookViewId="0"/>
  </sheetViews>
  <sheetFormatPr defaultRowHeight="13.5" x14ac:dyDescent="0.15"/>
  <cols>
    <col min="8" max="8" width="17.5" bestFit="1" customWidth="1"/>
  </cols>
  <sheetData>
    <row r="1" spans="1:7" x14ac:dyDescent="0.15">
      <c r="C1" t="s">
        <v>86</v>
      </c>
      <c r="D1" t="s">
        <v>87</v>
      </c>
      <c r="E1" t="s">
        <v>1</v>
      </c>
      <c r="F1" t="s">
        <v>88</v>
      </c>
      <c r="G1" t="s">
        <v>3</v>
      </c>
    </row>
    <row r="2" spans="1:7" x14ac:dyDescent="0.15">
      <c r="A2" t="s">
        <v>89</v>
      </c>
      <c r="B2" t="s">
        <v>90</v>
      </c>
      <c r="C2">
        <v>25</v>
      </c>
      <c r="D2">
        <v>0</v>
      </c>
      <c r="E2">
        <v>12</v>
      </c>
      <c r="F2">
        <v>0</v>
      </c>
      <c r="G2">
        <v>3</v>
      </c>
    </row>
    <row r="3" spans="1:7" x14ac:dyDescent="0.15">
      <c r="B3" t="s">
        <v>91</v>
      </c>
      <c r="C3">
        <v>28</v>
      </c>
      <c r="D3">
        <v>0</v>
      </c>
      <c r="E3">
        <v>14</v>
      </c>
      <c r="F3">
        <v>0</v>
      </c>
      <c r="G3">
        <v>3</v>
      </c>
    </row>
    <row r="4" spans="1:7" x14ac:dyDescent="0.15">
      <c r="B4" t="s">
        <v>92</v>
      </c>
      <c r="C4">
        <v>31</v>
      </c>
      <c r="D4">
        <v>0</v>
      </c>
      <c r="E4">
        <v>14</v>
      </c>
      <c r="F4">
        <v>0</v>
      </c>
      <c r="G4">
        <v>3</v>
      </c>
    </row>
    <row r="5" spans="1:7" x14ac:dyDescent="0.15">
      <c r="B5">
        <v>141</v>
      </c>
      <c r="C5">
        <v>34</v>
      </c>
      <c r="D5">
        <v>0</v>
      </c>
      <c r="E5">
        <v>17</v>
      </c>
      <c r="F5">
        <v>0</v>
      </c>
      <c r="G5">
        <v>3</v>
      </c>
    </row>
    <row r="6" spans="1:7" x14ac:dyDescent="0.15">
      <c r="B6">
        <v>142</v>
      </c>
      <c r="C6">
        <v>37</v>
      </c>
      <c r="D6">
        <v>0</v>
      </c>
      <c r="E6">
        <v>18</v>
      </c>
      <c r="F6">
        <v>0</v>
      </c>
      <c r="G6">
        <v>4</v>
      </c>
    </row>
    <row r="7" spans="1:7" x14ac:dyDescent="0.15">
      <c r="B7">
        <v>143</v>
      </c>
      <c r="C7">
        <v>40</v>
      </c>
      <c r="D7">
        <v>0</v>
      </c>
      <c r="E7">
        <v>20</v>
      </c>
      <c r="F7">
        <v>0</v>
      </c>
      <c r="G7">
        <v>4</v>
      </c>
    </row>
    <row r="8" spans="1:7" x14ac:dyDescent="0.15">
      <c r="B8">
        <v>144</v>
      </c>
      <c r="C8">
        <v>43</v>
      </c>
      <c r="D8">
        <v>0</v>
      </c>
      <c r="E8">
        <v>21</v>
      </c>
      <c r="F8">
        <v>0</v>
      </c>
      <c r="G8">
        <v>4</v>
      </c>
    </row>
    <row r="9" spans="1:7" x14ac:dyDescent="0.15">
      <c r="B9">
        <v>145</v>
      </c>
      <c r="C9">
        <v>46</v>
      </c>
      <c r="D9">
        <v>0</v>
      </c>
      <c r="E9">
        <v>23</v>
      </c>
      <c r="F9">
        <v>0</v>
      </c>
      <c r="G9">
        <v>5</v>
      </c>
    </row>
    <row r="10" spans="1:7" x14ac:dyDescent="0.15">
      <c r="B10">
        <v>146</v>
      </c>
      <c r="C10">
        <v>49</v>
      </c>
      <c r="D10">
        <v>0</v>
      </c>
      <c r="E10">
        <v>24</v>
      </c>
      <c r="F10">
        <v>0</v>
      </c>
      <c r="G10">
        <v>5</v>
      </c>
    </row>
    <row r="11" spans="1:7" x14ac:dyDescent="0.15">
      <c r="B11">
        <v>147</v>
      </c>
      <c r="C11">
        <v>52</v>
      </c>
      <c r="D11">
        <v>0</v>
      </c>
      <c r="E11">
        <v>26</v>
      </c>
      <c r="F11">
        <v>0</v>
      </c>
      <c r="G11">
        <v>5</v>
      </c>
    </row>
    <row r="12" spans="1:7" x14ac:dyDescent="0.15">
      <c r="B12">
        <v>148</v>
      </c>
      <c r="C12">
        <v>55</v>
      </c>
      <c r="D12">
        <v>0</v>
      </c>
      <c r="E12">
        <v>27</v>
      </c>
      <c r="F12">
        <v>0</v>
      </c>
      <c r="G12">
        <v>5</v>
      </c>
    </row>
    <row r="13" spans="1:7" x14ac:dyDescent="0.15">
      <c r="B13">
        <v>149</v>
      </c>
      <c r="C13">
        <v>58</v>
      </c>
      <c r="D13">
        <v>0</v>
      </c>
      <c r="E13">
        <v>29</v>
      </c>
      <c r="F13">
        <v>0</v>
      </c>
      <c r="G13">
        <v>6</v>
      </c>
    </row>
    <row r="14" spans="1:7" x14ac:dyDescent="0.15">
      <c r="B14">
        <v>150</v>
      </c>
      <c r="C14">
        <v>61</v>
      </c>
      <c r="D14">
        <v>0</v>
      </c>
      <c r="E14">
        <v>30</v>
      </c>
      <c r="F14">
        <v>0</v>
      </c>
      <c r="G14">
        <v>6</v>
      </c>
    </row>
    <row r="15" spans="1:7" x14ac:dyDescent="0.15">
      <c r="B15">
        <v>151</v>
      </c>
      <c r="C15">
        <v>64</v>
      </c>
      <c r="D15">
        <v>0</v>
      </c>
      <c r="E15">
        <v>32</v>
      </c>
      <c r="F15">
        <v>0</v>
      </c>
      <c r="G15">
        <v>6</v>
      </c>
    </row>
    <row r="16" spans="1:7" x14ac:dyDescent="0.15">
      <c r="B16">
        <v>152</v>
      </c>
      <c r="C16">
        <v>67</v>
      </c>
      <c r="D16">
        <v>0</v>
      </c>
      <c r="E16">
        <v>33</v>
      </c>
      <c r="F16">
        <v>0</v>
      </c>
      <c r="G16">
        <v>7</v>
      </c>
    </row>
    <row r="17" spans="2:7" x14ac:dyDescent="0.15">
      <c r="B17">
        <v>153</v>
      </c>
      <c r="C17">
        <v>70</v>
      </c>
      <c r="D17">
        <v>0</v>
      </c>
      <c r="E17">
        <v>35</v>
      </c>
      <c r="F17">
        <v>0</v>
      </c>
      <c r="G17">
        <v>7</v>
      </c>
    </row>
    <row r="18" spans="2:7" x14ac:dyDescent="0.15">
      <c r="B18">
        <v>154</v>
      </c>
      <c r="C18">
        <v>73</v>
      </c>
      <c r="D18">
        <v>0</v>
      </c>
      <c r="E18">
        <v>36</v>
      </c>
      <c r="F18">
        <v>0</v>
      </c>
      <c r="G18">
        <v>7</v>
      </c>
    </row>
    <row r="19" spans="2:7" x14ac:dyDescent="0.15">
      <c r="B19">
        <v>155</v>
      </c>
      <c r="C19">
        <v>76</v>
      </c>
      <c r="D19">
        <v>0</v>
      </c>
      <c r="E19">
        <v>38</v>
      </c>
      <c r="F19">
        <v>0</v>
      </c>
      <c r="G19">
        <v>8</v>
      </c>
    </row>
    <row r="20" spans="2:7" x14ac:dyDescent="0.15">
      <c r="B20">
        <v>156</v>
      </c>
      <c r="C20">
        <v>79</v>
      </c>
      <c r="D20">
        <v>0</v>
      </c>
      <c r="E20">
        <v>39</v>
      </c>
      <c r="F20">
        <v>0</v>
      </c>
      <c r="G20">
        <v>8</v>
      </c>
    </row>
    <row r="21" spans="2:7" x14ac:dyDescent="0.15">
      <c r="B21">
        <v>157</v>
      </c>
      <c r="C21">
        <v>82</v>
      </c>
      <c r="D21">
        <v>0</v>
      </c>
      <c r="E21">
        <v>41</v>
      </c>
      <c r="F21">
        <v>0</v>
      </c>
      <c r="G21">
        <v>8</v>
      </c>
    </row>
    <row r="22" spans="2:7" x14ac:dyDescent="0.15">
      <c r="B22">
        <v>158</v>
      </c>
      <c r="C22">
        <v>85</v>
      </c>
      <c r="D22">
        <v>0</v>
      </c>
      <c r="E22">
        <v>42</v>
      </c>
      <c r="F22">
        <v>0</v>
      </c>
      <c r="G22">
        <v>9</v>
      </c>
    </row>
    <row r="23" spans="2:7" x14ac:dyDescent="0.15">
      <c r="B23">
        <v>159</v>
      </c>
      <c r="C23">
        <v>88</v>
      </c>
      <c r="D23">
        <v>0</v>
      </c>
      <c r="E23">
        <v>44</v>
      </c>
      <c r="F23">
        <v>0</v>
      </c>
      <c r="G23">
        <v>9</v>
      </c>
    </row>
    <row r="24" spans="2:7" x14ac:dyDescent="0.15">
      <c r="B24">
        <v>160</v>
      </c>
      <c r="C24">
        <v>91</v>
      </c>
      <c r="D24">
        <v>0</v>
      </c>
      <c r="E24">
        <v>45</v>
      </c>
      <c r="F24">
        <v>0</v>
      </c>
      <c r="G24">
        <v>9</v>
      </c>
    </row>
    <row r="25" spans="2:7" x14ac:dyDescent="0.15">
      <c r="B25">
        <v>161</v>
      </c>
      <c r="C25">
        <v>94</v>
      </c>
      <c r="D25">
        <v>0</v>
      </c>
      <c r="E25">
        <v>47</v>
      </c>
      <c r="F25">
        <v>0</v>
      </c>
      <c r="G25">
        <v>9</v>
      </c>
    </row>
    <row r="26" spans="2:7" x14ac:dyDescent="0.15">
      <c r="B26">
        <v>162</v>
      </c>
      <c r="C26">
        <v>97</v>
      </c>
      <c r="D26">
        <v>0</v>
      </c>
      <c r="E26">
        <v>48</v>
      </c>
      <c r="F26">
        <v>0</v>
      </c>
      <c r="G26">
        <v>10</v>
      </c>
    </row>
    <row r="27" spans="2:7" x14ac:dyDescent="0.15">
      <c r="B27">
        <v>163</v>
      </c>
      <c r="C27">
        <v>100</v>
      </c>
      <c r="D27">
        <v>0</v>
      </c>
      <c r="E27">
        <v>50</v>
      </c>
      <c r="F27">
        <v>0</v>
      </c>
      <c r="G27">
        <v>10</v>
      </c>
    </row>
    <row r="28" spans="2:7" x14ac:dyDescent="0.15">
      <c r="B28">
        <v>164</v>
      </c>
      <c r="C28">
        <v>103</v>
      </c>
      <c r="D28">
        <v>0</v>
      </c>
      <c r="E28">
        <v>51</v>
      </c>
      <c r="F28">
        <v>0</v>
      </c>
      <c r="G28">
        <v>10</v>
      </c>
    </row>
    <row r="29" spans="2:7" x14ac:dyDescent="0.15">
      <c r="B29">
        <v>165</v>
      </c>
      <c r="C29">
        <v>106</v>
      </c>
      <c r="D29">
        <v>0</v>
      </c>
      <c r="E29">
        <v>53</v>
      </c>
      <c r="F29">
        <v>0</v>
      </c>
      <c r="G29">
        <v>11</v>
      </c>
    </row>
    <row r="30" spans="2:7" x14ac:dyDescent="0.15">
      <c r="B30">
        <v>166</v>
      </c>
      <c r="C30">
        <v>109</v>
      </c>
      <c r="D30">
        <v>0</v>
      </c>
      <c r="E30">
        <v>54</v>
      </c>
      <c r="F30">
        <v>0</v>
      </c>
      <c r="G30">
        <v>11</v>
      </c>
    </row>
    <row r="31" spans="2:7" x14ac:dyDescent="0.15">
      <c r="B31">
        <v>167</v>
      </c>
      <c r="C31">
        <v>112</v>
      </c>
      <c r="D31">
        <v>0</v>
      </c>
      <c r="E31">
        <v>56</v>
      </c>
      <c r="F31">
        <v>0</v>
      </c>
      <c r="G31">
        <v>11</v>
      </c>
    </row>
    <row r="32" spans="2:7" x14ac:dyDescent="0.15">
      <c r="B32">
        <v>168</v>
      </c>
      <c r="C32">
        <v>115</v>
      </c>
      <c r="D32">
        <v>0</v>
      </c>
      <c r="E32">
        <v>57</v>
      </c>
      <c r="F32">
        <v>0</v>
      </c>
      <c r="G32">
        <v>12</v>
      </c>
    </row>
    <row r="33" spans="1:7" x14ac:dyDescent="0.15">
      <c r="B33">
        <v>169</v>
      </c>
      <c r="C33">
        <v>120</v>
      </c>
      <c r="D33">
        <v>0</v>
      </c>
      <c r="E33">
        <v>60</v>
      </c>
      <c r="F33">
        <v>0</v>
      </c>
      <c r="G33">
        <v>12</v>
      </c>
    </row>
    <row r="34" spans="1:7" x14ac:dyDescent="0.15">
      <c r="B34">
        <v>170</v>
      </c>
      <c r="C34">
        <v>144</v>
      </c>
      <c r="D34">
        <v>0</v>
      </c>
      <c r="E34">
        <v>72</v>
      </c>
      <c r="F34">
        <v>0</v>
      </c>
      <c r="G34">
        <v>14</v>
      </c>
    </row>
    <row r="35" spans="1:7" x14ac:dyDescent="0.15">
      <c r="A35" t="s">
        <v>93</v>
      </c>
      <c r="B35" t="s">
        <v>94</v>
      </c>
      <c r="C35">
        <v>0</v>
      </c>
      <c r="D35">
        <v>0</v>
      </c>
      <c r="E35">
        <v>9</v>
      </c>
      <c r="F35">
        <v>0</v>
      </c>
      <c r="G35">
        <v>8</v>
      </c>
    </row>
    <row r="36" spans="1:7" x14ac:dyDescent="0.15">
      <c r="B36" t="s">
        <v>95</v>
      </c>
      <c r="C36">
        <v>0</v>
      </c>
      <c r="D36">
        <v>0</v>
      </c>
      <c r="E36">
        <v>10</v>
      </c>
      <c r="F36">
        <v>0</v>
      </c>
      <c r="G36">
        <v>9</v>
      </c>
    </row>
    <row r="37" spans="1:7" x14ac:dyDescent="0.15">
      <c r="B37" t="s">
        <v>96</v>
      </c>
      <c r="C37">
        <v>0</v>
      </c>
      <c r="D37">
        <v>0</v>
      </c>
      <c r="E37">
        <v>11</v>
      </c>
      <c r="F37">
        <v>0</v>
      </c>
      <c r="G37">
        <v>10</v>
      </c>
    </row>
    <row r="38" spans="1:7" x14ac:dyDescent="0.15">
      <c r="B38" t="s">
        <v>97</v>
      </c>
      <c r="C38">
        <v>0</v>
      </c>
      <c r="D38">
        <v>0</v>
      </c>
      <c r="E38">
        <v>12</v>
      </c>
      <c r="F38">
        <v>0</v>
      </c>
      <c r="G38">
        <v>11</v>
      </c>
    </row>
    <row r="39" spans="1:7" x14ac:dyDescent="0.15">
      <c r="B39" t="s">
        <v>98</v>
      </c>
      <c r="C39">
        <v>0</v>
      </c>
      <c r="D39">
        <v>0</v>
      </c>
      <c r="E39">
        <v>13</v>
      </c>
      <c r="F39">
        <v>0</v>
      </c>
      <c r="G39">
        <v>12</v>
      </c>
    </row>
    <row r="40" spans="1:7" x14ac:dyDescent="0.15">
      <c r="B40" t="s">
        <v>99</v>
      </c>
      <c r="C40">
        <v>0</v>
      </c>
      <c r="D40">
        <v>0</v>
      </c>
      <c r="E40">
        <v>14</v>
      </c>
      <c r="F40">
        <v>0</v>
      </c>
      <c r="G40">
        <v>13</v>
      </c>
    </row>
    <row r="41" spans="1:7" x14ac:dyDescent="0.15">
      <c r="B41" t="s">
        <v>100</v>
      </c>
      <c r="C41">
        <v>0</v>
      </c>
      <c r="D41">
        <v>0</v>
      </c>
      <c r="E41">
        <v>16</v>
      </c>
      <c r="F41">
        <v>0</v>
      </c>
      <c r="G41">
        <v>14</v>
      </c>
    </row>
    <row r="42" spans="1:7" x14ac:dyDescent="0.15">
      <c r="B42" t="s">
        <v>101</v>
      </c>
      <c r="C42">
        <v>0</v>
      </c>
      <c r="D42">
        <v>0</v>
      </c>
      <c r="E42">
        <v>18</v>
      </c>
      <c r="F42">
        <v>0</v>
      </c>
      <c r="G42">
        <v>16</v>
      </c>
    </row>
    <row r="43" spans="1:7" x14ac:dyDescent="0.15">
      <c r="B43" t="s">
        <v>102</v>
      </c>
      <c r="C43">
        <v>0</v>
      </c>
      <c r="D43">
        <v>0</v>
      </c>
      <c r="E43">
        <v>20</v>
      </c>
      <c r="F43">
        <v>0</v>
      </c>
      <c r="G43">
        <v>18</v>
      </c>
    </row>
    <row r="44" spans="1:7" x14ac:dyDescent="0.15">
      <c r="B44" t="s">
        <v>103</v>
      </c>
      <c r="C44">
        <v>0</v>
      </c>
      <c r="D44">
        <v>0</v>
      </c>
      <c r="E44">
        <v>22</v>
      </c>
      <c r="F44">
        <v>0</v>
      </c>
      <c r="G44">
        <v>20</v>
      </c>
    </row>
    <row r="45" spans="1:7" x14ac:dyDescent="0.15">
      <c r="B45" t="s">
        <v>104</v>
      </c>
      <c r="C45">
        <v>0</v>
      </c>
      <c r="D45">
        <v>0</v>
      </c>
      <c r="E45">
        <v>66</v>
      </c>
      <c r="F45">
        <v>0</v>
      </c>
      <c r="G45">
        <v>60</v>
      </c>
    </row>
    <row r="46" spans="1:7" x14ac:dyDescent="0.15">
      <c r="A46" t="s">
        <v>105</v>
      </c>
      <c r="B46" t="s">
        <v>106</v>
      </c>
      <c r="C46">
        <v>6</v>
      </c>
      <c r="D46">
        <v>0</v>
      </c>
      <c r="E46">
        <v>0</v>
      </c>
      <c r="F46">
        <v>0</v>
      </c>
      <c r="G46">
        <v>4</v>
      </c>
    </row>
    <row r="47" spans="1:7" x14ac:dyDescent="0.15">
      <c r="B47" t="s">
        <v>95</v>
      </c>
      <c r="C47">
        <v>7</v>
      </c>
      <c r="D47">
        <v>0</v>
      </c>
      <c r="E47">
        <v>0</v>
      </c>
      <c r="F47">
        <v>0</v>
      </c>
      <c r="G47">
        <v>5</v>
      </c>
    </row>
    <row r="48" spans="1:7" x14ac:dyDescent="0.15">
      <c r="B48" t="s">
        <v>96</v>
      </c>
      <c r="C48">
        <v>8</v>
      </c>
      <c r="D48">
        <v>0</v>
      </c>
      <c r="E48">
        <v>0</v>
      </c>
      <c r="F48">
        <v>0</v>
      </c>
      <c r="G48">
        <v>6</v>
      </c>
    </row>
    <row r="49" spans="1:7" x14ac:dyDescent="0.15">
      <c r="B49" t="s">
        <v>97</v>
      </c>
      <c r="C49">
        <v>9</v>
      </c>
      <c r="D49">
        <v>0</v>
      </c>
      <c r="E49">
        <v>0</v>
      </c>
      <c r="F49">
        <v>0</v>
      </c>
      <c r="G49">
        <v>6</v>
      </c>
    </row>
    <row r="50" spans="1:7" x14ac:dyDescent="0.15">
      <c r="B50" t="s">
        <v>107</v>
      </c>
      <c r="C50">
        <v>10</v>
      </c>
      <c r="D50">
        <v>0</v>
      </c>
      <c r="E50">
        <v>0</v>
      </c>
      <c r="F50">
        <v>0</v>
      </c>
      <c r="G50">
        <v>7</v>
      </c>
    </row>
    <row r="51" spans="1:7" x14ac:dyDescent="0.15">
      <c r="B51" t="s">
        <v>99</v>
      </c>
      <c r="C51">
        <v>11</v>
      </c>
      <c r="D51">
        <v>0</v>
      </c>
      <c r="E51">
        <v>0</v>
      </c>
      <c r="F51">
        <v>0</v>
      </c>
      <c r="G51">
        <v>8</v>
      </c>
    </row>
    <row r="52" spans="1:7" x14ac:dyDescent="0.15">
      <c r="B52" t="s">
        <v>108</v>
      </c>
      <c r="C52">
        <v>12</v>
      </c>
      <c r="D52">
        <v>0</v>
      </c>
      <c r="E52">
        <v>0</v>
      </c>
      <c r="F52">
        <v>0</v>
      </c>
      <c r="G52">
        <v>8</v>
      </c>
    </row>
    <row r="53" spans="1:7" x14ac:dyDescent="0.15">
      <c r="B53" t="s">
        <v>101</v>
      </c>
      <c r="C53">
        <v>13</v>
      </c>
      <c r="D53">
        <v>0</v>
      </c>
      <c r="E53">
        <v>0</v>
      </c>
      <c r="F53">
        <v>0</v>
      </c>
      <c r="G53">
        <v>9</v>
      </c>
    </row>
    <row r="54" spans="1:7" x14ac:dyDescent="0.15">
      <c r="B54" t="s">
        <v>109</v>
      </c>
      <c r="C54">
        <v>14</v>
      </c>
      <c r="D54">
        <v>0</v>
      </c>
      <c r="E54">
        <v>0</v>
      </c>
      <c r="F54">
        <v>0</v>
      </c>
      <c r="G54">
        <v>10</v>
      </c>
    </row>
    <row r="55" spans="1:7" x14ac:dyDescent="0.15">
      <c r="B55" t="s">
        <v>103</v>
      </c>
      <c r="C55">
        <v>15</v>
      </c>
      <c r="D55">
        <v>0</v>
      </c>
      <c r="E55">
        <v>0</v>
      </c>
      <c r="F55">
        <v>0</v>
      </c>
      <c r="G55">
        <v>11</v>
      </c>
    </row>
    <row r="56" spans="1:7" x14ac:dyDescent="0.15">
      <c r="B56" t="s">
        <v>110</v>
      </c>
      <c r="C56">
        <v>45</v>
      </c>
      <c r="D56">
        <v>0</v>
      </c>
      <c r="E56">
        <v>0</v>
      </c>
      <c r="F56">
        <v>0</v>
      </c>
      <c r="G56">
        <v>33</v>
      </c>
    </row>
    <row r="60" spans="1:7" x14ac:dyDescent="0.15">
      <c r="A60" t="s">
        <v>111</v>
      </c>
      <c r="C60">
        <v>90</v>
      </c>
      <c r="E60">
        <v>90</v>
      </c>
      <c r="F60">
        <v>60</v>
      </c>
      <c r="G60">
        <v>20</v>
      </c>
    </row>
    <row r="61" spans="1:7" x14ac:dyDescent="0.15">
      <c r="A61" t="s">
        <v>112</v>
      </c>
      <c r="C61">
        <v>40</v>
      </c>
      <c r="E61">
        <v>130</v>
      </c>
      <c r="F61">
        <v>110</v>
      </c>
      <c r="G61">
        <v>20</v>
      </c>
    </row>
    <row r="62" spans="1:7" x14ac:dyDescent="0.15">
      <c r="A62" t="s">
        <v>113</v>
      </c>
      <c r="C62">
        <v>50</v>
      </c>
      <c r="E62">
        <v>100</v>
      </c>
      <c r="F62">
        <v>10</v>
      </c>
      <c r="G62">
        <v>60</v>
      </c>
    </row>
    <row r="63" spans="1:7" x14ac:dyDescent="0.15">
      <c r="A63" t="s">
        <v>114</v>
      </c>
      <c r="C63" t="str">
        <f>C86</f>
        <v>①</v>
      </c>
    </row>
    <row r="64" spans="1:7" x14ac:dyDescent="0.15">
      <c r="A64" t="s">
        <v>115</v>
      </c>
      <c r="C64" t="s">
        <v>116</v>
      </c>
    </row>
    <row r="65" spans="1:3" x14ac:dyDescent="0.15">
      <c r="A65" t="s">
        <v>117</v>
      </c>
      <c r="C65" t="s">
        <v>118</v>
      </c>
    </row>
    <row r="66" spans="1:3" x14ac:dyDescent="0.15">
      <c r="A66" t="s">
        <v>119</v>
      </c>
      <c r="C66" t="s">
        <v>116</v>
      </c>
    </row>
    <row r="67" spans="1:3" x14ac:dyDescent="0.15">
      <c r="A67" t="s">
        <v>120</v>
      </c>
      <c r="C67" t="s">
        <v>116</v>
      </c>
    </row>
    <row r="68" spans="1:3" x14ac:dyDescent="0.15">
      <c r="A68" t="s">
        <v>121</v>
      </c>
      <c r="C68" t="s">
        <v>116</v>
      </c>
    </row>
    <row r="69" spans="1:3" x14ac:dyDescent="0.15">
      <c r="A69" t="s">
        <v>122</v>
      </c>
      <c r="C69" t="s">
        <v>116</v>
      </c>
    </row>
    <row r="70" spans="1:3" x14ac:dyDescent="0.15">
      <c r="A70" t="s">
        <v>123</v>
      </c>
      <c r="C70" t="s">
        <v>116</v>
      </c>
    </row>
    <row r="71" spans="1:3" x14ac:dyDescent="0.15">
      <c r="A71" t="s">
        <v>124</v>
      </c>
      <c r="C71" t="s">
        <v>125</v>
      </c>
    </row>
    <row r="72" spans="1:3" x14ac:dyDescent="0.15">
      <c r="A72" t="s">
        <v>126</v>
      </c>
      <c r="C72" t="s">
        <v>127</v>
      </c>
    </row>
    <row r="73" spans="1:3" x14ac:dyDescent="0.15">
      <c r="A73" t="s">
        <v>128</v>
      </c>
      <c r="C73" t="s">
        <v>129</v>
      </c>
    </row>
    <row r="74" spans="1:3" x14ac:dyDescent="0.15">
      <c r="A74" t="s">
        <v>130</v>
      </c>
      <c r="C74" t="s">
        <v>131</v>
      </c>
    </row>
    <row r="75" spans="1:3" x14ac:dyDescent="0.15">
      <c r="A75" t="s">
        <v>132</v>
      </c>
      <c r="C75" t="s">
        <v>127</v>
      </c>
    </row>
    <row r="76" spans="1:3" x14ac:dyDescent="0.15">
      <c r="A76" t="s">
        <v>133</v>
      </c>
      <c r="C76" t="s">
        <v>134</v>
      </c>
    </row>
    <row r="77" spans="1:3" x14ac:dyDescent="0.15">
      <c r="A77" t="s">
        <v>135</v>
      </c>
      <c r="C77" t="s">
        <v>127</v>
      </c>
    </row>
    <row r="78" spans="1:3" x14ac:dyDescent="0.15">
      <c r="A78" t="s">
        <v>136</v>
      </c>
      <c r="C78" t="s">
        <v>137</v>
      </c>
    </row>
    <row r="79" spans="1:3" x14ac:dyDescent="0.15">
      <c r="A79" t="s">
        <v>138</v>
      </c>
      <c r="C79" t="s">
        <v>137</v>
      </c>
    </row>
    <row r="80" spans="1:3" x14ac:dyDescent="0.15">
      <c r="A80" t="s">
        <v>139</v>
      </c>
      <c r="C80" t="s">
        <v>140</v>
      </c>
    </row>
    <row r="81" spans="1:12" x14ac:dyDescent="0.15">
      <c r="A81" t="s">
        <v>141</v>
      </c>
      <c r="C81" t="s">
        <v>142</v>
      </c>
    </row>
    <row r="82" spans="1:12" x14ac:dyDescent="0.15">
      <c r="A82" t="s">
        <v>143</v>
      </c>
      <c r="C82" t="s">
        <v>142</v>
      </c>
    </row>
    <row r="86" spans="1:12" x14ac:dyDescent="0.15">
      <c r="C86" t="s">
        <v>129</v>
      </c>
      <c r="E86">
        <v>8</v>
      </c>
      <c r="F86">
        <v>26</v>
      </c>
      <c r="G86">
        <v>4</v>
      </c>
      <c r="L86">
        <v>13</v>
      </c>
    </row>
    <row r="87" spans="1:12" x14ac:dyDescent="0.15">
      <c r="C87" t="s">
        <v>142</v>
      </c>
      <c r="E87">
        <v>8</v>
      </c>
      <c r="F87">
        <v>27</v>
      </c>
      <c r="G87">
        <v>4</v>
      </c>
      <c r="L87">
        <v>14</v>
      </c>
    </row>
    <row r="88" spans="1:12" x14ac:dyDescent="0.15">
      <c r="C88" t="s">
        <v>144</v>
      </c>
      <c r="E88">
        <v>8</v>
      </c>
      <c r="F88">
        <v>28</v>
      </c>
      <c r="G88">
        <v>4</v>
      </c>
    </row>
    <row r="89" spans="1:12" x14ac:dyDescent="0.15">
      <c r="C89" t="s">
        <v>127</v>
      </c>
      <c r="E89">
        <v>9</v>
      </c>
      <c r="F89">
        <v>29</v>
      </c>
      <c r="G89">
        <v>5</v>
      </c>
    </row>
    <row r="90" spans="1:12" x14ac:dyDescent="0.15">
      <c r="C90" t="s">
        <v>137</v>
      </c>
      <c r="E90">
        <v>9</v>
      </c>
      <c r="F90">
        <v>30</v>
      </c>
      <c r="G90">
        <v>5</v>
      </c>
    </row>
    <row r="91" spans="1:12" x14ac:dyDescent="0.15">
      <c r="C91" t="s">
        <v>131</v>
      </c>
      <c r="E91">
        <v>9</v>
      </c>
      <c r="F91">
        <v>31</v>
      </c>
      <c r="G91">
        <v>5</v>
      </c>
    </row>
    <row r="92" spans="1:12" x14ac:dyDescent="0.15">
      <c r="C92" t="s">
        <v>140</v>
      </c>
      <c r="E92">
        <v>9</v>
      </c>
      <c r="F92">
        <v>32</v>
      </c>
      <c r="G92">
        <v>5</v>
      </c>
    </row>
    <row r="93" spans="1:12" x14ac:dyDescent="0.15">
      <c r="C93" t="s">
        <v>134</v>
      </c>
      <c r="E93">
        <v>10</v>
      </c>
      <c r="F93">
        <v>33</v>
      </c>
      <c r="G93">
        <v>5</v>
      </c>
    </row>
    <row r="96" spans="1:12" x14ac:dyDescent="0.15">
      <c r="C96" t="s">
        <v>145</v>
      </c>
      <c r="D96" t="s">
        <v>146</v>
      </c>
      <c r="F96" t="s">
        <v>147</v>
      </c>
      <c r="G96">
        <f>29+102</f>
        <v>131</v>
      </c>
      <c r="H96" t="s">
        <v>148</v>
      </c>
      <c r="I96">
        <f>C125+C126+12*6</f>
        <v>127</v>
      </c>
    </row>
    <row r="97" spans="3:14" x14ac:dyDescent="0.15">
      <c r="C97" t="s">
        <v>149</v>
      </c>
      <c r="D97" t="s">
        <v>150</v>
      </c>
      <c r="F97" t="s">
        <v>151</v>
      </c>
      <c r="G97">
        <f>29+58+114</f>
        <v>201</v>
      </c>
      <c r="H97" t="s">
        <v>152</v>
      </c>
      <c r="I97">
        <f>C125*3+C126+84</f>
        <v>197</v>
      </c>
    </row>
    <row r="98" spans="3:14" x14ac:dyDescent="0.15">
      <c r="C98" t="s">
        <v>153</v>
      </c>
      <c r="D98" t="s">
        <v>154</v>
      </c>
      <c r="F98" t="s">
        <v>155</v>
      </c>
      <c r="G98">
        <v>300</v>
      </c>
      <c r="H98" t="s">
        <v>156</v>
      </c>
      <c r="I98">
        <f>C125*6+C126+96</f>
        <v>296</v>
      </c>
    </row>
    <row r="99" spans="3:14" x14ac:dyDescent="0.15">
      <c r="C99" t="s">
        <v>157</v>
      </c>
      <c r="D99" t="s">
        <v>158</v>
      </c>
      <c r="F99" t="s">
        <v>159</v>
      </c>
      <c r="G99">
        <v>428</v>
      </c>
      <c r="H99" t="s">
        <v>160</v>
      </c>
      <c r="I99">
        <f>C125*10+C126+108</f>
        <v>424</v>
      </c>
    </row>
    <row r="100" spans="3:14" x14ac:dyDescent="0.15">
      <c r="C100" t="s">
        <v>161</v>
      </c>
      <c r="D100" t="s">
        <v>162</v>
      </c>
      <c r="F100" t="s">
        <v>163</v>
      </c>
      <c r="G100">
        <f>29*15+150</f>
        <v>585</v>
      </c>
      <c r="H100" t="s">
        <v>164</v>
      </c>
      <c r="I100">
        <f>29*15+C126+120</f>
        <v>581</v>
      </c>
    </row>
    <row r="101" spans="3:14" x14ac:dyDescent="0.15">
      <c r="C101" t="s">
        <v>165</v>
      </c>
      <c r="D101" t="s">
        <v>166</v>
      </c>
      <c r="F101" t="s">
        <v>167</v>
      </c>
      <c r="G101">
        <f>I100+186</f>
        <v>767</v>
      </c>
      <c r="H101" t="s">
        <v>168</v>
      </c>
      <c r="I101">
        <f>C125*21+C126+12*11</f>
        <v>767</v>
      </c>
    </row>
    <row r="102" spans="3:14" x14ac:dyDescent="0.15">
      <c r="C102" t="s">
        <v>169</v>
      </c>
      <c r="D102" t="s">
        <v>170</v>
      </c>
      <c r="F102" t="s">
        <v>171</v>
      </c>
      <c r="G102">
        <f>I101+215</f>
        <v>982</v>
      </c>
      <c r="H102" t="s">
        <v>172</v>
      </c>
      <c r="I102">
        <f>C125*28+C126+12*12</f>
        <v>982</v>
      </c>
    </row>
    <row r="103" spans="3:14" x14ac:dyDescent="0.15">
      <c r="F103" t="s">
        <v>173</v>
      </c>
      <c r="G103">
        <f>29+58+114+84</f>
        <v>285</v>
      </c>
      <c r="H103" t="s">
        <v>174</v>
      </c>
      <c r="I103">
        <f>C125*3+C126*3+12*9</f>
        <v>273</v>
      </c>
    </row>
    <row r="104" spans="3:14" x14ac:dyDescent="0.15">
      <c r="F104" t="s">
        <v>175</v>
      </c>
      <c r="G104">
        <f>G103+111</f>
        <v>396</v>
      </c>
      <c r="H104" t="s">
        <v>176</v>
      </c>
      <c r="I104">
        <f>C125*6+C126*3+132</f>
        <v>384</v>
      </c>
    </row>
    <row r="105" spans="3:14" x14ac:dyDescent="0.15">
      <c r="F105" t="s">
        <v>177</v>
      </c>
      <c r="G105">
        <f>G99+108</f>
        <v>536</v>
      </c>
      <c r="H105" t="s">
        <v>178</v>
      </c>
      <c r="I105">
        <f>C125*10+C126*3+156</f>
        <v>524</v>
      </c>
    </row>
    <row r="106" spans="3:14" x14ac:dyDescent="0.15">
      <c r="F106" t="s">
        <v>179</v>
      </c>
      <c r="G106">
        <f>I100+112</f>
        <v>693</v>
      </c>
      <c r="H106" t="s">
        <v>180</v>
      </c>
      <c r="I106">
        <f>C125*15+C126*3+12*15</f>
        <v>693</v>
      </c>
    </row>
    <row r="107" spans="3:14" x14ac:dyDescent="0.15">
      <c r="F107" t="s">
        <v>181</v>
      </c>
      <c r="G107">
        <f>G104+126</f>
        <v>522</v>
      </c>
      <c r="H107" t="s">
        <v>182</v>
      </c>
      <c r="I107">
        <f>C125*6+C126*6+168</f>
        <v>498</v>
      </c>
      <c r="N107" t="s">
        <v>183</v>
      </c>
    </row>
    <row r="108" spans="3:14" x14ac:dyDescent="0.15">
      <c r="F108" t="s">
        <v>184</v>
      </c>
      <c r="G108">
        <f>I105+126</f>
        <v>650</v>
      </c>
      <c r="H108" t="s">
        <v>185</v>
      </c>
      <c r="I108">
        <f>C125*10+C126*6+12*17</f>
        <v>650</v>
      </c>
    </row>
    <row r="109" spans="3:14" x14ac:dyDescent="0.15">
      <c r="F109" t="s">
        <v>186</v>
      </c>
      <c r="G109">
        <f>I106+138</f>
        <v>831</v>
      </c>
      <c r="H109" t="s">
        <v>187</v>
      </c>
      <c r="I109">
        <f>C125*15+C126*6+12*20</f>
        <v>831</v>
      </c>
      <c r="N109" t="s">
        <v>188</v>
      </c>
    </row>
    <row r="111" spans="3:14" x14ac:dyDescent="0.15">
      <c r="G111" t="s">
        <v>189</v>
      </c>
      <c r="H111" t="s">
        <v>190</v>
      </c>
    </row>
    <row r="112" spans="3:14" ht="12.75" customHeight="1" x14ac:dyDescent="0.15">
      <c r="F112" t="s">
        <v>191</v>
      </c>
      <c r="G112">
        <f>I96+234</f>
        <v>361</v>
      </c>
      <c r="H112" t="s">
        <v>192</v>
      </c>
      <c r="I112">
        <f>C125+C126+C127+12*23</f>
        <v>361</v>
      </c>
    </row>
    <row r="113" spans="2:14" x14ac:dyDescent="0.15">
      <c r="F113" t="s">
        <v>193</v>
      </c>
      <c r="G113">
        <f>G112+82</f>
        <v>443</v>
      </c>
      <c r="H113" t="s">
        <v>194</v>
      </c>
      <c r="I113">
        <f>C125*3+C126+C127+12*25</f>
        <v>443</v>
      </c>
    </row>
    <row r="114" spans="2:14" x14ac:dyDescent="0.15">
      <c r="F114" t="s">
        <v>195</v>
      </c>
      <c r="G114">
        <f>I103+258</f>
        <v>531</v>
      </c>
      <c r="H114" t="s">
        <v>196</v>
      </c>
      <c r="I114">
        <f>C125*3+C126*3+C127+12*28</f>
        <v>531</v>
      </c>
    </row>
    <row r="115" spans="2:14" x14ac:dyDescent="0.15">
      <c r="F115" t="s">
        <v>197</v>
      </c>
      <c r="G115">
        <f>G114+108</f>
        <v>639</v>
      </c>
      <c r="H115" t="s">
        <v>198</v>
      </c>
      <c r="I115">
        <f>C125*3+C126*3+C127*3+12*32</f>
        <v>639</v>
      </c>
      <c r="K115" t="s">
        <v>189</v>
      </c>
    </row>
    <row r="116" spans="2:14" x14ac:dyDescent="0.15">
      <c r="B116">
        <f>156+81+12*11</f>
        <v>369</v>
      </c>
      <c r="F116" t="s">
        <v>199</v>
      </c>
      <c r="G116">
        <f>I98+258</f>
        <v>554</v>
      </c>
      <c r="H116" t="s">
        <v>200</v>
      </c>
      <c r="I116">
        <f>C125*6+C126+C127+12*27</f>
        <v>554</v>
      </c>
      <c r="K116" t="s">
        <v>201</v>
      </c>
    </row>
    <row r="117" spans="2:14" x14ac:dyDescent="0.15">
      <c r="F117" t="s">
        <v>202</v>
      </c>
      <c r="G117">
        <f>I104+270</f>
        <v>654</v>
      </c>
      <c r="H117" t="s">
        <v>203</v>
      </c>
      <c r="I117">
        <f>C125*6+C126*3+C127+12*31</f>
        <v>654</v>
      </c>
      <c r="K117" t="s">
        <v>204</v>
      </c>
      <c r="L117">
        <f>G131+677</f>
        <v>1461</v>
      </c>
      <c r="N117">
        <f>C125+C126+C127+C129+C125+12*110</f>
        <v>1461</v>
      </c>
    </row>
    <row r="118" spans="2:14" x14ac:dyDescent="0.15">
      <c r="F118" t="s">
        <v>205</v>
      </c>
      <c r="K118" t="s">
        <v>206</v>
      </c>
      <c r="L118">
        <f>G132+689</f>
        <v>1567</v>
      </c>
      <c r="N118">
        <f>C125*3+C126+C127+C129+C125+12*114</f>
        <v>1567</v>
      </c>
    </row>
    <row r="119" spans="2:14" x14ac:dyDescent="0.15">
      <c r="F119" t="s">
        <v>207</v>
      </c>
      <c r="G119">
        <f>I107+282</f>
        <v>780</v>
      </c>
      <c r="H119" t="s">
        <v>208</v>
      </c>
      <c r="I119">
        <f>C125*6+C126*6+C127+12*35</f>
        <v>780</v>
      </c>
      <c r="K119" t="s">
        <v>210</v>
      </c>
      <c r="L119">
        <f>G134+701</f>
        <v>1679</v>
      </c>
      <c r="N119">
        <f>C125*3+C126*3+C127+C129+C125+12*119</f>
        <v>1679</v>
      </c>
    </row>
    <row r="120" spans="2:14" x14ac:dyDescent="0.15">
      <c r="F120" t="s">
        <v>211</v>
      </c>
    </row>
    <row r="121" spans="2:14" x14ac:dyDescent="0.15">
      <c r="F121" t="s">
        <v>212</v>
      </c>
      <c r="G121">
        <f>I99+270</f>
        <v>694</v>
      </c>
      <c r="H121" t="s">
        <v>213</v>
      </c>
      <c r="I121">
        <f>C125*10+C126+C127+12*29</f>
        <v>694</v>
      </c>
    </row>
    <row r="122" spans="2:14" x14ac:dyDescent="0.15">
      <c r="F122" t="s">
        <v>214</v>
      </c>
      <c r="G122">
        <f>I105+282</f>
        <v>806</v>
      </c>
      <c r="H122" t="s">
        <v>215</v>
      </c>
      <c r="I122">
        <f>C125*10+C126*3+C127+12*34</f>
        <v>806</v>
      </c>
    </row>
    <row r="123" spans="2:14" x14ac:dyDescent="0.15">
      <c r="F123" t="s">
        <v>216</v>
      </c>
      <c r="G123">
        <f>I122+132</f>
        <v>938</v>
      </c>
      <c r="H123" t="s">
        <v>217</v>
      </c>
      <c r="I123">
        <f>C125*10+C126*3+C127*3+12*40</f>
        <v>938</v>
      </c>
    </row>
    <row r="124" spans="2:14" x14ac:dyDescent="0.15">
      <c r="B124" t="s">
        <v>218</v>
      </c>
      <c r="F124" t="s">
        <v>219</v>
      </c>
      <c r="G124">
        <f>I108+294</f>
        <v>944</v>
      </c>
      <c r="H124" t="s">
        <v>220</v>
      </c>
      <c r="I124">
        <f>C125*10+C126*6+C127+12*39</f>
        <v>944</v>
      </c>
    </row>
    <row r="125" spans="2:14" x14ac:dyDescent="0.15">
      <c r="B125" t="s">
        <v>221</v>
      </c>
      <c r="C125">
        <v>29</v>
      </c>
      <c r="F125" t="s">
        <v>222</v>
      </c>
      <c r="G125">
        <f>I124+150</f>
        <v>1094</v>
      </c>
      <c r="H125" t="s">
        <v>223</v>
      </c>
      <c r="I125">
        <f>C125*10+C126*6+C128*3+12*47</f>
        <v>1094</v>
      </c>
    </row>
    <row r="126" spans="2:14" x14ac:dyDescent="0.15">
      <c r="B126" t="s">
        <v>224</v>
      </c>
      <c r="C126">
        <v>26</v>
      </c>
      <c r="K126" t="s">
        <v>189</v>
      </c>
    </row>
    <row r="127" spans="2:14" x14ac:dyDescent="0.15">
      <c r="B127" t="s">
        <v>225</v>
      </c>
      <c r="C127">
        <v>30</v>
      </c>
      <c r="F127" t="s">
        <v>226</v>
      </c>
      <c r="G127">
        <f>I100+282</f>
        <v>863</v>
      </c>
      <c r="H127" t="s">
        <v>227</v>
      </c>
      <c r="I127">
        <f>C125*15+C126+C127+12*31</f>
        <v>863</v>
      </c>
      <c r="K127" t="s">
        <v>228</v>
      </c>
    </row>
    <row r="128" spans="2:14" x14ac:dyDescent="0.15">
      <c r="B128" t="s">
        <v>229</v>
      </c>
      <c r="C128">
        <v>28</v>
      </c>
      <c r="F128" t="s">
        <v>230</v>
      </c>
      <c r="G128">
        <f>I106+294</f>
        <v>987</v>
      </c>
      <c r="H128" t="s">
        <v>231</v>
      </c>
      <c r="I128">
        <f>C125*15+C126*3+C127+12*37</f>
        <v>987</v>
      </c>
    </row>
    <row r="129" spans="1:13" x14ac:dyDescent="0.15">
      <c r="B129" t="s">
        <v>232</v>
      </c>
      <c r="C129">
        <v>27</v>
      </c>
      <c r="F129" t="s">
        <v>233</v>
      </c>
      <c r="G129">
        <f>I109+306</f>
        <v>1137</v>
      </c>
      <c r="H129" t="s">
        <v>234</v>
      </c>
      <c r="I129">
        <f>C125*15+C126*6+C127+12*43</f>
        <v>1137</v>
      </c>
    </row>
    <row r="130" spans="1:13" x14ac:dyDescent="0.15">
      <c r="F130" t="s">
        <v>235</v>
      </c>
      <c r="G130">
        <f>I101+294</f>
        <v>1061</v>
      </c>
      <c r="H130" t="s">
        <v>236</v>
      </c>
      <c r="I130">
        <f>C125*21+C126+C127+12*33</f>
        <v>1061</v>
      </c>
    </row>
    <row r="131" spans="1:13" x14ac:dyDescent="0.15">
      <c r="F131" t="s">
        <v>237</v>
      </c>
      <c r="G131">
        <f>I112+423</f>
        <v>784</v>
      </c>
      <c r="H131" t="s">
        <v>238</v>
      </c>
      <c r="I131">
        <f>C125+C126+C127+27+12*56</f>
        <v>784</v>
      </c>
    </row>
    <row r="132" spans="1:13" x14ac:dyDescent="0.15">
      <c r="F132" t="s">
        <v>240</v>
      </c>
      <c r="G132">
        <f>I113+435</f>
        <v>878</v>
      </c>
      <c r="H132" t="s">
        <v>241</v>
      </c>
      <c r="I132">
        <f>C125*3+C126+C127+C129+12*59</f>
        <v>878</v>
      </c>
    </row>
    <row r="133" spans="1:13" x14ac:dyDescent="0.15">
      <c r="F133" t="s">
        <v>243</v>
      </c>
      <c r="G133">
        <f>G116+447</f>
        <v>1001</v>
      </c>
      <c r="H133" t="s">
        <v>244</v>
      </c>
      <c r="I133">
        <f>C125*6+C126+C127+C129+12*62</f>
        <v>1001</v>
      </c>
    </row>
    <row r="134" spans="1:13" x14ac:dyDescent="0.15">
      <c r="F134" t="s">
        <v>246</v>
      </c>
      <c r="G134">
        <f>G114+447</f>
        <v>978</v>
      </c>
      <c r="H134" t="s">
        <v>247</v>
      </c>
      <c r="I134">
        <f>C125*3+C126*3+C127+C129+12*63</f>
        <v>978</v>
      </c>
    </row>
    <row r="135" spans="1:13" x14ac:dyDescent="0.15">
      <c r="J135" t="s">
        <v>248</v>
      </c>
      <c r="K135" t="s">
        <v>249</v>
      </c>
      <c r="L135" t="s">
        <v>250</v>
      </c>
      <c r="M135" t="s">
        <v>251</v>
      </c>
    </row>
    <row r="136" spans="1:13" x14ac:dyDescent="0.15">
      <c r="I136" t="s">
        <v>252</v>
      </c>
      <c r="J136">
        <v>8</v>
      </c>
      <c r="K136">
        <v>26</v>
      </c>
      <c r="L136">
        <v>4</v>
      </c>
    </row>
    <row r="137" spans="1:13" x14ac:dyDescent="0.15">
      <c r="A137" t="s">
        <v>253</v>
      </c>
      <c r="B137">
        <v>8</v>
      </c>
      <c r="C137">
        <v>26</v>
      </c>
      <c r="D137">
        <v>4</v>
      </c>
      <c r="I137" t="s">
        <v>254</v>
      </c>
      <c r="J137">
        <v>21</v>
      </c>
      <c r="K137">
        <v>78</v>
      </c>
      <c r="L137">
        <v>11</v>
      </c>
    </row>
    <row r="138" spans="1:13" x14ac:dyDescent="0.15">
      <c r="A138" t="s">
        <v>255</v>
      </c>
      <c r="B138">
        <v>13</v>
      </c>
      <c r="C138">
        <v>52</v>
      </c>
      <c r="D138">
        <v>7</v>
      </c>
      <c r="I138" t="s">
        <v>153</v>
      </c>
      <c r="J138">
        <v>41</v>
      </c>
      <c r="K138">
        <v>156</v>
      </c>
      <c r="L138">
        <v>22</v>
      </c>
    </row>
    <row r="139" spans="1:13" x14ac:dyDescent="0.15">
      <c r="A139" t="s">
        <v>256</v>
      </c>
      <c r="B139">
        <v>20</v>
      </c>
      <c r="C139">
        <v>78</v>
      </c>
      <c r="D139">
        <v>11</v>
      </c>
      <c r="I139" t="s">
        <v>257</v>
      </c>
      <c r="J139">
        <v>67</v>
      </c>
      <c r="L139">
        <v>35</v>
      </c>
    </row>
    <row r="140" spans="1:13" x14ac:dyDescent="0.15">
      <c r="A140" t="s">
        <v>258</v>
      </c>
      <c r="B140">
        <v>26</v>
      </c>
      <c r="C140">
        <v>104</v>
      </c>
      <c r="D140">
        <v>13</v>
      </c>
      <c r="I140" t="s">
        <v>259</v>
      </c>
      <c r="J140">
        <v>100</v>
      </c>
      <c r="L140">
        <v>52</v>
      </c>
    </row>
    <row r="141" spans="1:13" x14ac:dyDescent="0.15">
      <c r="A141" t="s">
        <v>260</v>
      </c>
      <c r="B141">
        <v>33</v>
      </c>
      <c r="C141">
        <v>130</v>
      </c>
      <c r="D141">
        <v>17</v>
      </c>
      <c r="I141" t="s">
        <v>261</v>
      </c>
      <c r="J141">
        <v>139</v>
      </c>
      <c r="L141">
        <v>72</v>
      </c>
    </row>
    <row r="142" spans="1:13" x14ac:dyDescent="0.15">
      <c r="A142" t="s">
        <v>262</v>
      </c>
      <c r="B142">
        <v>39</v>
      </c>
      <c r="C142">
        <v>156</v>
      </c>
      <c r="D142">
        <v>20</v>
      </c>
      <c r="I142" t="s">
        <v>263</v>
      </c>
    </row>
    <row r="143" spans="1:13" x14ac:dyDescent="0.15">
      <c r="A143" t="s">
        <v>264</v>
      </c>
      <c r="B143">
        <v>46</v>
      </c>
      <c r="C143">
        <v>182</v>
      </c>
      <c r="D143">
        <v>24</v>
      </c>
      <c r="H143" t="s">
        <v>265</v>
      </c>
      <c r="I143" t="s">
        <v>266</v>
      </c>
      <c r="L143" t="s">
        <v>267</v>
      </c>
    </row>
    <row r="144" spans="1:13" x14ac:dyDescent="0.15">
      <c r="A144" t="s">
        <v>268</v>
      </c>
      <c r="B144">
        <v>8</v>
      </c>
      <c r="C144">
        <v>27</v>
      </c>
      <c r="D144">
        <v>4</v>
      </c>
      <c r="H144">
        <v>17</v>
      </c>
      <c r="I144" t="s">
        <v>269</v>
      </c>
      <c r="J144">
        <f>B137+25</f>
        <v>33</v>
      </c>
      <c r="L144">
        <f>D137+13</f>
        <v>17</v>
      </c>
      <c r="M144">
        <v>9</v>
      </c>
    </row>
    <row r="145" spans="1:13" x14ac:dyDescent="0.15">
      <c r="A145" t="s">
        <v>270</v>
      </c>
      <c r="B145">
        <v>14</v>
      </c>
      <c r="C145">
        <v>57</v>
      </c>
      <c r="D145">
        <v>7</v>
      </c>
      <c r="H145">
        <v>20</v>
      </c>
      <c r="I145" t="s">
        <v>271</v>
      </c>
      <c r="J145">
        <f>J137+28</f>
        <v>49</v>
      </c>
      <c r="K145">
        <f>K137+111</f>
        <v>189</v>
      </c>
      <c r="L145">
        <f>L137+15</f>
        <v>26</v>
      </c>
      <c r="M145">
        <v>11</v>
      </c>
    </row>
    <row r="146" spans="1:13" x14ac:dyDescent="0.15">
      <c r="A146" t="s">
        <v>272</v>
      </c>
      <c r="B146">
        <v>21</v>
      </c>
      <c r="C146">
        <v>81</v>
      </c>
      <c r="D146">
        <v>11</v>
      </c>
      <c r="H146">
        <f>72-(J138+8)</f>
        <v>23</v>
      </c>
      <c r="I146" t="s">
        <v>273</v>
      </c>
      <c r="J146">
        <f>J138+31</f>
        <v>72</v>
      </c>
      <c r="L146">
        <f>L138+16</f>
        <v>38</v>
      </c>
      <c r="M146">
        <v>12</v>
      </c>
    </row>
    <row r="147" spans="1:13" x14ac:dyDescent="0.15">
      <c r="A147" t="s">
        <v>274</v>
      </c>
      <c r="B147">
        <v>27</v>
      </c>
      <c r="C147">
        <v>108</v>
      </c>
      <c r="D147">
        <v>14</v>
      </c>
      <c r="H147">
        <f>J147-(J139+8)</f>
        <v>26</v>
      </c>
      <c r="I147" t="s">
        <v>159</v>
      </c>
      <c r="J147">
        <f>J139+34</f>
        <v>101</v>
      </c>
      <c r="L147">
        <f>L139+18</f>
        <v>53</v>
      </c>
      <c r="M147">
        <v>14</v>
      </c>
    </row>
    <row r="148" spans="1:13" x14ac:dyDescent="0.15">
      <c r="A148" t="s">
        <v>275</v>
      </c>
      <c r="B148">
        <v>34</v>
      </c>
      <c r="C148">
        <v>135</v>
      </c>
      <c r="D148">
        <v>18</v>
      </c>
      <c r="H148">
        <v>26</v>
      </c>
      <c r="I148" t="s">
        <v>276</v>
      </c>
      <c r="J148">
        <f>J145+20</f>
        <v>69</v>
      </c>
      <c r="K148">
        <f>K145+78</f>
        <v>267</v>
      </c>
      <c r="L148">
        <f>L145+10</f>
        <v>36</v>
      </c>
      <c r="M148">
        <v>14</v>
      </c>
    </row>
    <row r="149" spans="1:13" x14ac:dyDescent="0.15">
      <c r="A149" t="s">
        <v>277</v>
      </c>
      <c r="B149">
        <v>41</v>
      </c>
      <c r="C149">
        <v>162</v>
      </c>
      <c r="D149">
        <v>21</v>
      </c>
      <c r="H149">
        <v>32</v>
      </c>
      <c r="I149" t="s">
        <v>278</v>
      </c>
      <c r="J149">
        <f>J148+26</f>
        <v>95</v>
      </c>
      <c r="K149">
        <f>K148+102</f>
        <v>369</v>
      </c>
      <c r="L149">
        <f>L148+14</f>
        <v>50</v>
      </c>
      <c r="M149">
        <v>17</v>
      </c>
    </row>
    <row r="150" spans="1:13" x14ac:dyDescent="0.15">
      <c r="A150" t="s">
        <v>279</v>
      </c>
      <c r="B150">
        <v>46</v>
      </c>
      <c r="C150">
        <v>189</v>
      </c>
      <c r="D150">
        <v>25</v>
      </c>
      <c r="H150">
        <f>127-(J139+22)</f>
        <v>38</v>
      </c>
      <c r="I150" t="s">
        <v>280</v>
      </c>
      <c r="J150">
        <f>J149+32</f>
        <v>127</v>
      </c>
      <c r="L150">
        <f>L149+16</f>
        <v>66</v>
      </c>
      <c r="M150">
        <f>L150-(L139+11)</f>
        <v>20</v>
      </c>
    </row>
    <row r="151" spans="1:13" x14ac:dyDescent="0.15">
      <c r="A151" t="s">
        <v>281</v>
      </c>
      <c r="B151">
        <v>8</v>
      </c>
      <c r="C151">
        <v>28</v>
      </c>
      <c r="D151">
        <v>4</v>
      </c>
      <c r="H151">
        <f>J151-(J138+43)</f>
        <v>41</v>
      </c>
      <c r="I151" t="s">
        <v>282</v>
      </c>
      <c r="J151">
        <f>J149+30</f>
        <v>125</v>
      </c>
      <c r="L151">
        <f>L149+15</f>
        <v>65</v>
      </c>
      <c r="M151">
        <f>L151-(L138+22)</f>
        <v>21</v>
      </c>
    </row>
    <row r="152" spans="1:13" x14ac:dyDescent="0.15">
      <c r="A152" t="s">
        <v>283</v>
      </c>
      <c r="B152">
        <v>14</v>
      </c>
      <c r="C152">
        <v>56</v>
      </c>
      <c r="D152">
        <v>7</v>
      </c>
      <c r="I152" t="s">
        <v>284</v>
      </c>
      <c r="J152">
        <f>J150+39</f>
        <v>166</v>
      </c>
      <c r="L152">
        <f>L150+20</f>
        <v>86</v>
      </c>
      <c r="M152">
        <f>L152-(L140+11)</f>
        <v>23</v>
      </c>
    </row>
    <row r="153" spans="1:13" x14ac:dyDescent="0.15">
      <c r="A153" t="s">
        <v>285</v>
      </c>
      <c r="B153">
        <v>21</v>
      </c>
      <c r="C153">
        <v>84</v>
      </c>
      <c r="D153">
        <v>11</v>
      </c>
      <c r="I153" t="s">
        <v>286</v>
      </c>
      <c r="J153">
        <f>J150+33</f>
        <v>160</v>
      </c>
      <c r="L153">
        <f>L150+17</f>
        <v>83</v>
      </c>
      <c r="M153">
        <f>L153-(L139+22)</f>
        <v>26</v>
      </c>
    </row>
    <row r="154" spans="1:13" x14ac:dyDescent="0.15">
      <c r="A154" t="s">
        <v>287</v>
      </c>
      <c r="B154">
        <v>28</v>
      </c>
      <c r="C154">
        <v>112</v>
      </c>
      <c r="D154">
        <v>14</v>
      </c>
      <c r="I154" t="s">
        <v>288</v>
      </c>
      <c r="J154">
        <f>J152+36</f>
        <v>202</v>
      </c>
      <c r="L154">
        <f>L152+18</f>
        <v>104</v>
      </c>
      <c r="M154">
        <f>L154-(L140+22)</f>
        <v>30</v>
      </c>
    </row>
    <row r="155" spans="1:13" x14ac:dyDescent="0.15">
      <c r="A155" t="s">
        <v>289</v>
      </c>
      <c r="B155">
        <v>36</v>
      </c>
      <c r="C155">
        <v>140</v>
      </c>
      <c r="D155">
        <v>18</v>
      </c>
      <c r="H155" t="s">
        <v>290</v>
      </c>
      <c r="I155" t="s">
        <v>291</v>
      </c>
      <c r="L155" t="s">
        <v>292</v>
      </c>
    </row>
    <row r="156" spans="1:13" x14ac:dyDescent="0.15">
      <c r="A156" t="s">
        <v>293</v>
      </c>
      <c r="B156">
        <v>43</v>
      </c>
      <c r="C156">
        <v>168</v>
      </c>
      <c r="D156">
        <v>21</v>
      </c>
      <c r="H156">
        <f>J156-(J136+8+9)</f>
        <v>67</v>
      </c>
      <c r="I156" t="s">
        <v>294</v>
      </c>
      <c r="J156">
        <f>J144+59</f>
        <v>92</v>
      </c>
      <c r="L156">
        <f>L144+31</f>
        <v>48</v>
      </c>
      <c r="M156">
        <f>L156-(L136+4+5)</f>
        <v>35</v>
      </c>
    </row>
    <row r="157" spans="1:13" x14ac:dyDescent="0.15">
      <c r="A157" t="s">
        <v>295</v>
      </c>
      <c r="B157">
        <v>49</v>
      </c>
      <c r="C157">
        <v>196</v>
      </c>
      <c r="D157">
        <v>25</v>
      </c>
      <c r="H157">
        <f>J157-(J137+8+9)</f>
        <v>73</v>
      </c>
      <c r="I157" t="s">
        <v>296</v>
      </c>
      <c r="J157">
        <f>J145+62</f>
        <v>111</v>
      </c>
      <c r="L157">
        <f>L145+32</f>
        <v>58</v>
      </c>
      <c r="M157">
        <f>L157-(L137+4+5)</f>
        <v>38</v>
      </c>
    </row>
    <row r="158" spans="1:13" x14ac:dyDescent="0.15">
      <c r="A158" t="s">
        <v>297</v>
      </c>
      <c r="B158">
        <v>9</v>
      </c>
      <c r="C158">
        <v>29</v>
      </c>
      <c r="D158">
        <v>5</v>
      </c>
      <c r="H158">
        <f>J158-(J137+22+9)</f>
        <v>82</v>
      </c>
      <c r="I158" t="s">
        <v>298</v>
      </c>
      <c r="J158">
        <f>J148+65</f>
        <v>134</v>
      </c>
      <c r="L158">
        <f>L148+34</f>
        <v>70</v>
      </c>
      <c r="M158">
        <f>L158-(L137+11+5)</f>
        <v>43</v>
      </c>
    </row>
    <row r="159" spans="1:13" x14ac:dyDescent="0.15">
      <c r="A159" t="s">
        <v>299</v>
      </c>
      <c r="B159">
        <v>15</v>
      </c>
      <c r="C159">
        <v>58</v>
      </c>
      <c r="D159">
        <v>8</v>
      </c>
      <c r="H159">
        <f>J159-(J138+8+9)</f>
        <v>79</v>
      </c>
      <c r="I159" t="s">
        <v>300</v>
      </c>
      <c r="J159">
        <f>J146+65</f>
        <v>137</v>
      </c>
      <c r="L159">
        <f>L146+34</f>
        <v>72</v>
      </c>
      <c r="M159">
        <f>L159-(L138+4+5)</f>
        <v>41</v>
      </c>
    </row>
    <row r="160" spans="1:13" x14ac:dyDescent="0.15">
      <c r="A160" t="s">
        <v>301</v>
      </c>
      <c r="B160">
        <v>22</v>
      </c>
      <c r="C160">
        <v>87</v>
      </c>
      <c r="D160">
        <v>12</v>
      </c>
      <c r="H160">
        <f>J160-(J138+22+9)</f>
        <v>91</v>
      </c>
      <c r="I160" t="s">
        <v>302</v>
      </c>
      <c r="J160">
        <f>J149+68</f>
        <v>163</v>
      </c>
      <c r="K160">
        <f>C137*6+C144*3+C158+12*31</f>
        <v>638</v>
      </c>
      <c r="L160">
        <f>L149+35</f>
        <v>85</v>
      </c>
      <c r="M160">
        <f>L160-(L138+11+5)</f>
        <v>47</v>
      </c>
    </row>
    <row r="161" spans="1:14" x14ac:dyDescent="0.15">
      <c r="A161" t="s">
        <v>303</v>
      </c>
      <c r="B161">
        <v>29</v>
      </c>
      <c r="C161">
        <v>116</v>
      </c>
      <c r="D161">
        <v>15</v>
      </c>
      <c r="H161">
        <f>J161-(J139+8+9)</f>
        <v>85</v>
      </c>
      <c r="I161" t="s">
        <v>304</v>
      </c>
      <c r="J161">
        <f>J159+32</f>
        <v>169</v>
      </c>
      <c r="L161">
        <f>L159+16</f>
        <v>88</v>
      </c>
      <c r="M161">
        <f>L161-(L139+4+5)</f>
        <v>44</v>
      </c>
    </row>
    <row r="162" spans="1:14" x14ac:dyDescent="0.15">
      <c r="A162" t="s">
        <v>305</v>
      </c>
      <c r="B162">
        <v>37</v>
      </c>
      <c r="C162">
        <v>145</v>
      </c>
      <c r="D162">
        <v>19</v>
      </c>
      <c r="H162">
        <f>J162-(J139+22+9)</f>
        <v>100</v>
      </c>
      <c r="I162" t="s">
        <v>306</v>
      </c>
      <c r="J162">
        <f>J150+71</f>
        <v>198</v>
      </c>
      <c r="L162">
        <f>L150+37</f>
        <v>103</v>
      </c>
      <c r="M162">
        <f>L162-(L139+11+5)</f>
        <v>52</v>
      </c>
    </row>
    <row r="163" spans="1:14" x14ac:dyDescent="0.15">
      <c r="A163" t="s">
        <v>307</v>
      </c>
      <c r="B163">
        <v>44</v>
      </c>
      <c r="C163">
        <v>174</v>
      </c>
      <c r="D163">
        <v>22</v>
      </c>
      <c r="I163" t="s">
        <v>308</v>
      </c>
    </row>
    <row r="164" spans="1:14" x14ac:dyDescent="0.15">
      <c r="A164" t="s">
        <v>309</v>
      </c>
      <c r="B164">
        <v>51</v>
      </c>
      <c r="C164">
        <v>203</v>
      </c>
      <c r="D164">
        <v>26</v>
      </c>
      <c r="H164" t="s">
        <v>310</v>
      </c>
      <c r="I164" t="s">
        <v>311</v>
      </c>
      <c r="L164" t="s">
        <v>312</v>
      </c>
    </row>
    <row r="165" spans="1:14" x14ac:dyDescent="0.15">
      <c r="A165" t="s">
        <v>38</v>
      </c>
      <c r="B165">
        <v>9</v>
      </c>
      <c r="C165">
        <v>30</v>
      </c>
      <c r="D165">
        <v>5</v>
      </c>
      <c r="H165">
        <f>J165-(J136+8+9+9)</f>
        <v>165</v>
      </c>
      <c r="I165" t="s">
        <v>313</v>
      </c>
      <c r="J165">
        <f>J156+107</f>
        <v>199</v>
      </c>
      <c r="L165">
        <f>L156+54</f>
        <v>102</v>
      </c>
      <c r="M165">
        <f>L165-(L136+4+5+5)</f>
        <v>84</v>
      </c>
      <c r="N165" t="s">
        <v>314</v>
      </c>
    </row>
    <row r="166" spans="1:14" x14ac:dyDescent="0.15">
      <c r="A166" t="s">
        <v>315</v>
      </c>
      <c r="B166">
        <v>15</v>
      </c>
      <c r="C166">
        <v>60</v>
      </c>
      <c r="D166">
        <v>8</v>
      </c>
      <c r="H166">
        <f>J166-(J137+8+9+9)</f>
        <v>174</v>
      </c>
      <c r="I166" t="s">
        <v>239</v>
      </c>
      <c r="J166">
        <f>J157+110</f>
        <v>221</v>
      </c>
      <c r="L166">
        <f>L157+56</f>
        <v>114</v>
      </c>
      <c r="M166">
        <f>L166-(L137+4+5+5)</f>
        <v>89</v>
      </c>
    </row>
    <row r="167" spans="1:14" x14ac:dyDescent="0.15">
      <c r="A167" t="s">
        <v>316</v>
      </c>
      <c r="B167">
        <v>23</v>
      </c>
      <c r="C167">
        <v>90</v>
      </c>
      <c r="D167">
        <v>12</v>
      </c>
      <c r="H167">
        <f>J167-(J137+22+9+9)</f>
        <v>186</v>
      </c>
      <c r="I167" t="s">
        <v>245</v>
      </c>
      <c r="J167">
        <f>J158+113</f>
        <v>247</v>
      </c>
      <c r="L167">
        <f>L158+57</f>
        <v>127</v>
      </c>
      <c r="M167">
        <f>L167-(L137+11+5+5)</f>
        <v>95</v>
      </c>
    </row>
    <row r="168" spans="1:14" x14ac:dyDescent="0.15">
      <c r="A168" t="s">
        <v>317</v>
      </c>
      <c r="B168">
        <v>30</v>
      </c>
      <c r="C168">
        <v>120</v>
      </c>
      <c r="D168">
        <v>15</v>
      </c>
      <c r="H168">
        <f>J168-(J138+8+9+9)</f>
        <v>183</v>
      </c>
      <c r="I168" t="s">
        <v>242</v>
      </c>
      <c r="J168">
        <f>J159+113</f>
        <v>250</v>
      </c>
      <c r="L168">
        <f>L159+57</f>
        <v>129</v>
      </c>
      <c r="M168">
        <f>L168-(L138+4+5+5)</f>
        <v>93</v>
      </c>
    </row>
    <row r="169" spans="1:14" x14ac:dyDescent="0.15">
      <c r="A169" t="s">
        <v>318</v>
      </c>
      <c r="B169">
        <v>38</v>
      </c>
      <c r="C169">
        <v>150</v>
      </c>
      <c r="D169">
        <v>20</v>
      </c>
      <c r="H169">
        <f>J169-(J138+22+9+9)</f>
        <v>198</v>
      </c>
      <c r="I169" t="s">
        <v>319</v>
      </c>
      <c r="J169">
        <f>J160+116</f>
        <v>279</v>
      </c>
      <c r="L169">
        <f>L160+59</f>
        <v>144</v>
      </c>
      <c r="M169">
        <f>L169-(L138+11+5+5)</f>
        <v>101</v>
      </c>
    </row>
    <row r="170" spans="1:14" x14ac:dyDescent="0.15">
      <c r="A170" t="s">
        <v>320</v>
      </c>
      <c r="B170">
        <v>45</v>
      </c>
      <c r="C170">
        <v>180</v>
      </c>
      <c r="D170">
        <v>23</v>
      </c>
      <c r="H170">
        <f>J170-(J139+8+9+9)</f>
        <v>192</v>
      </c>
      <c r="I170" t="s">
        <v>321</v>
      </c>
      <c r="J170">
        <f>J161+116</f>
        <v>285</v>
      </c>
      <c r="L170">
        <f>L161+59</f>
        <v>147</v>
      </c>
      <c r="M170">
        <f>L170-(L139+4+5+5)</f>
        <v>98</v>
      </c>
    </row>
    <row r="171" spans="1:14" x14ac:dyDescent="0.15">
      <c r="A171" t="s">
        <v>322</v>
      </c>
      <c r="B171">
        <v>53</v>
      </c>
      <c r="C171">
        <v>210</v>
      </c>
      <c r="D171">
        <v>27</v>
      </c>
      <c r="H171">
        <f>J171-(J139+22+9+9)</f>
        <v>210</v>
      </c>
      <c r="I171" t="s">
        <v>323</v>
      </c>
      <c r="J171">
        <f>J162+119</f>
        <v>317</v>
      </c>
      <c r="L171">
        <f>L162+60</f>
        <v>163</v>
      </c>
      <c r="M171">
        <f>L171-(L139+11+5+5)</f>
        <v>107</v>
      </c>
    </row>
    <row r="172" spans="1:14" x14ac:dyDescent="0.15">
      <c r="A172" t="s">
        <v>324</v>
      </c>
      <c r="B172">
        <v>9</v>
      </c>
      <c r="C172">
        <v>31</v>
      </c>
      <c r="D172">
        <v>5</v>
      </c>
    </row>
    <row r="173" spans="1:14" x14ac:dyDescent="0.15">
      <c r="A173" t="s">
        <v>325</v>
      </c>
      <c r="B173">
        <v>16</v>
      </c>
      <c r="C173">
        <v>62</v>
      </c>
      <c r="D173">
        <v>8</v>
      </c>
    </row>
    <row r="174" spans="1:14" x14ac:dyDescent="0.15">
      <c r="A174" t="s">
        <v>326</v>
      </c>
      <c r="B174">
        <v>24</v>
      </c>
      <c r="C174">
        <v>93</v>
      </c>
      <c r="D174">
        <v>13</v>
      </c>
    </row>
    <row r="175" spans="1:14" x14ac:dyDescent="0.15">
      <c r="A175" t="s">
        <v>327</v>
      </c>
      <c r="B175">
        <v>31</v>
      </c>
      <c r="C175">
        <v>124</v>
      </c>
      <c r="D175">
        <v>16</v>
      </c>
    </row>
    <row r="176" spans="1:14" x14ac:dyDescent="0.15">
      <c r="A176" t="s">
        <v>328</v>
      </c>
      <c r="B176">
        <v>39</v>
      </c>
      <c r="C176">
        <v>155</v>
      </c>
      <c r="D176">
        <v>20</v>
      </c>
      <c r="H176" t="s">
        <v>329</v>
      </c>
      <c r="I176" t="s">
        <v>330</v>
      </c>
      <c r="L176" t="s">
        <v>331</v>
      </c>
    </row>
    <row r="177" spans="1:14" x14ac:dyDescent="0.15">
      <c r="A177" t="s">
        <v>332</v>
      </c>
      <c r="B177">
        <v>47</v>
      </c>
      <c r="C177">
        <v>186</v>
      </c>
      <c r="D177">
        <v>24</v>
      </c>
      <c r="H177">
        <f>J177-(J136+8+9+9+9)</f>
        <v>326</v>
      </c>
      <c r="I177" t="s">
        <v>333</v>
      </c>
      <c r="J177">
        <f>J165+170</f>
        <v>369</v>
      </c>
      <c r="L177">
        <f>L165+86</f>
        <v>188</v>
      </c>
      <c r="M177">
        <f>L177-(L136+4+5+5+5)</f>
        <v>165</v>
      </c>
      <c r="N177" t="s">
        <v>334</v>
      </c>
    </row>
    <row r="178" spans="1:14" x14ac:dyDescent="0.15">
      <c r="A178" t="s">
        <v>335</v>
      </c>
      <c r="B178">
        <v>55</v>
      </c>
      <c r="C178">
        <v>217</v>
      </c>
      <c r="D178">
        <v>28</v>
      </c>
      <c r="H178">
        <f>J178-(J137+8+9+9+9)</f>
        <v>338</v>
      </c>
      <c r="I178" t="s">
        <v>336</v>
      </c>
      <c r="J178">
        <f>J166+173</f>
        <v>394</v>
      </c>
      <c r="L178">
        <f>L166+87</f>
        <v>201</v>
      </c>
      <c r="M178">
        <f>L178-(L137+4+5+5+5)</f>
        <v>171</v>
      </c>
      <c r="N178" t="s">
        <v>337</v>
      </c>
    </row>
    <row r="179" spans="1:14" x14ac:dyDescent="0.15">
      <c r="A179" t="s">
        <v>338</v>
      </c>
      <c r="B179">
        <v>9</v>
      </c>
      <c r="C179">
        <v>32</v>
      </c>
      <c r="D179">
        <v>5</v>
      </c>
      <c r="H179">
        <f>J179-(J137+22+9+9+9)</f>
        <v>353</v>
      </c>
      <c r="I179" t="s">
        <v>209</v>
      </c>
      <c r="J179">
        <f>J167+176</f>
        <v>423</v>
      </c>
      <c r="L179">
        <f>L167+89</f>
        <v>216</v>
      </c>
      <c r="M179">
        <f>L179-(L137+11+5+5+5)</f>
        <v>179</v>
      </c>
    </row>
    <row r="180" spans="1:14" x14ac:dyDescent="0.15">
      <c r="A180" t="s">
        <v>339</v>
      </c>
      <c r="B180">
        <v>16</v>
      </c>
      <c r="C180">
        <v>64</v>
      </c>
      <c r="D180">
        <v>8</v>
      </c>
      <c r="H180">
        <f>J180-(J138+8+9+9+9)</f>
        <v>350</v>
      </c>
      <c r="I180" t="s">
        <v>340</v>
      </c>
      <c r="J180">
        <f>J168+176</f>
        <v>426</v>
      </c>
      <c r="L180">
        <f>L168+89</f>
        <v>218</v>
      </c>
      <c r="M180">
        <f>L180-(L138+4+5+5+5)</f>
        <v>177</v>
      </c>
      <c r="N180" t="s">
        <v>341</v>
      </c>
    </row>
    <row r="181" spans="1:14" x14ac:dyDescent="0.15">
      <c r="A181" t="s">
        <v>342</v>
      </c>
      <c r="B181">
        <v>24</v>
      </c>
      <c r="C181">
        <v>96</v>
      </c>
      <c r="D181">
        <v>13</v>
      </c>
    </row>
    <row r="182" spans="1:14" x14ac:dyDescent="0.15">
      <c r="A182" t="s">
        <v>343</v>
      </c>
      <c r="B182">
        <v>32</v>
      </c>
      <c r="C182">
        <v>128</v>
      </c>
      <c r="D182">
        <v>16</v>
      </c>
    </row>
    <row r="183" spans="1:14" x14ac:dyDescent="0.15">
      <c r="A183" t="s">
        <v>344</v>
      </c>
      <c r="B183">
        <v>40</v>
      </c>
      <c r="C183">
        <v>160</v>
      </c>
      <c r="D183">
        <v>21</v>
      </c>
    </row>
    <row r="184" spans="1:14" x14ac:dyDescent="0.15">
      <c r="A184" t="s">
        <v>345</v>
      </c>
      <c r="B184">
        <v>48</v>
      </c>
      <c r="C184">
        <v>192</v>
      </c>
      <c r="D184">
        <v>24</v>
      </c>
    </row>
    <row r="185" spans="1:14" x14ac:dyDescent="0.15">
      <c r="A185" t="s">
        <v>346</v>
      </c>
      <c r="B185">
        <v>56</v>
      </c>
      <c r="C185">
        <v>224</v>
      </c>
      <c r="D185">
        <v>29</v>
      </c>
    </row>
    <row r="186" spans="1:14" x14ac:dyDescent="0.15">
      <c r="A186" t="s">
        <v>347</v>
      </c>
      <c r="B186">
        <v>10</v>
      </c>
      <c r="C186">
        <v>33</v>
      </c>
      <c r="D186">
        <v>5</v>
      </c>
      <c r="J186">
        <v>111.5</v>
      </c>
      <c r="L186">
        <v>129</v>
      </c>
      <c r="N186">
        <f>L186-J186</f>
        <v>17.5</v>
      </c>
    </row>
    <row r="187" spans="1:14" x14ac:dyDescent="0.15">
      <c r="A187" t="s">
        <v>348</v>
      </c>
      <c r="B187">
        <v>17</v>
      </c>
      <c r="C187">
        <v>66</v>
      </c>
      <c r="D187">
        <v>9</v>
      </c>
      <c r="I187" t="s">
        <v>349</v>
      </c>
      <c r="J187">
        <f>44+11+5+30+1.5*14</f>
        <v>111</v>
      </c>
      <c r="L187">
        <f>44+22+5+30+1.5*19</f>
        <v>129.5</v>
      </c>
      <c r="N187">
        <f>L187-J187</f>
        <v>18.5</v>
      </c>
    </row>
    <row r="188" spans="1:14" x14ac:dyDescent="0.15">
      <c r="A188" t="s">
        <v>350</v>
      </c>
      <c r="B188">
        <v>25</v>
      </c>
      <c r="C188">
        <v>99</v>
      </c>
      <c r="D188">
        <v>13</v>
      </c>
      <c r="I188" t="s">
        <v>351</v>
      </c>
      <c r="J188">
        <f>27+4+5+4+76+1.5*12</f>
        <v>134</v>
      </c>
    </row>
    <row r="189" spans="1:14" x14ac:dyDescent="0.15">
      <c r="A189" t="s">
        <v>352</v>
      </c>
      <c r="B189">
        <v>33</v>
      </c>
      <c r="C189">
        <v>132</v>
      </c>
      <c r="D189">
        <v>17</v>
      </c>
    </row>
    <row r="190" spans="1:14" x14ac:dyDescent="0.15">
      <c r="A190" t="s">
        <v>353</v>
      </c>
      <c r="B190">
        <v>42</v>
      </c>
      <c r="C190">
        <v>165</v>
      </c>
      <c r="D190">
        <v>22</v>
      </c>
    </row>
    <row r="191" spans="1:14" x14ac:dyDescent="0.15">
      <c r="A191" t="s">
        <v>354</v>
      </c>
      <c r="B191">
        <v>50</v>
      </c>
      <c r="C191">
        <v>198</v>
      </c>
      <c r="D191">
        <v>25</v>
      </c>
    </row>
    <row r="192" spans="1:14" x14ac:dyDescent="0.15">
      <c r="A192" t="s">
        <v>355</v>
      </c>
      <c r="B192">
        <v>58</v>
      </c>
      <c r="C192">
        <v>231</v>
      </c>
      <c r="D192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8"/>
  <sheetViews>
    <sheetView workbookViewId="0">
      <selection activeCell="G16" sqref="G16"/>
    </sheetView>
  </sheetViews>
  <sheetFormatPr defaultRowHeight="13.5" x14ac:dyDescent="0.15"/>
  <cols>
    <col min="9" max="9" width="11.875" customWidth="1"/>
  </cols>
  <sheetData>
    <row r="1" spans="1:14" x14ac:dyDescent="0.15">
      <c r="A1" s="3" t="s">
        <v>47</v>
      </c>
      <c r="B1" s="4"/>
      <c r="C1" s="4"/>
      <c r="D1" s="5"/>
      <c r="E1" s="3" t="s">
        <v>48</v>
      </c>
      <c r="F1" s="4"/>
      <c r="G1" s="5"/>
    </row>
    <row r="2" spans="1:14" x14ac:dyDescent="0.15">
      <c r="A2" s="6" t="s">
        <v>356</v>
      </c>
      <c r="B2" s="7" t="s">
        <v>1</v>
      </c>
      <c r="C2" s="7" t="s">
        <v>88</v>
      </c>
      <c r="D2" s="8" t="s">
        <v>3</v>
      </c>
      <c r="E2" s="9"/>
      <c r="F2" s="10"/>
      <c r="G2" s="11"/>
    </row>
    <row r="3" spans="1:14" x14ac:dyDescent="0.15">
      <c r="A3" s="12" t="s">
        <v>357</v>
      </c>
      <c r="B3" s="13">
        <v>6</v>
      </c>
      <c r="C3" s="13">
        <v>22</v>
      </c>
      <c r="D3" s="14">
        <v>2</v>
      </c>
      <c r="E3" s="12">
        <v>12</v>
      </c>
      <c r="F3" s="13">
        <f>26-E3</f>
        <v>14</v>
      </c>
      <c r="G3" s="14">
        <f>FLOOR(E3*0.9,1)+FLOOR(F3*0.9,1)</f>
        <v>22</v>
      </c>
      <c r="I3" t="s">
        <v>358</v>
      </c>
      <c r="J3" t="s">
        <v>359</v>
      </c>
      <c r="K3">
        <v>26</v>
      </c>
      <c r="L3" t="s">
        <v>360</v>
      </c>
      <c r="N3">
        <f>FLOOR(42*0.9,1)+FLOOR(17*0.9,1)+FLOOR(12*7*0.9,1)+FLOOR(12*4*0.9,1)</f>
        <v>170</v>
      </c>
    </row>
    <row r="4" spans="1:14" x14ac:dyDescent="0.15">
      <c r="A4" s="15" t="s">
        <v>361</v>
      </c>
      <c r="B4" s="16">
        <v>11</v>
      </c>
      <c r="C4" s="16">
        <v>46</v>
      </c>
      <c r="D4" s="17">
        <v>5</v>
      </c>
      <c r="E4" s="15">
        <f>E3*2</f>
        <v>24</v>
      </c>
      <c r="F4" s="16">
        <f>F3*2</f>
        <v>28</v>
      </c>
      <c r="G4" s="17">
        <f t="shared" ref="G4:G8" si="0">FLOOR(E4*0.9,1)+FLOOR(F4*0.9,1)</f>
        <v>46</v>
      </c>
      <c r="I4" t="s">
        <v>362</v>
      </c>
      <c r="J4" t="s">
        <v>363</v>
      </c>
      <c r="K4">
        <v>29</v>
      </c>
      <c r="L4" t="s">
        <v>364</v>
      </c>
    </row>
    <row r="5" spans="1:14" x14ac:dyDescent="0.15">
      <c r="A5" s="15" t="s">
        <v>27</v>
      </c>
      <c r="B5" s="16">
        <v>17</v>
      </c>
      <c r="C5" s="16">
        <v>69</v>
      </c>
      <c r="D5" s="17">
        <v>9</v>
      </c>
      <c r="E5" s="15">
        <f>E3*3</f>
        <v>36</v>
      </c>
      <c r="F5" s="16">
        <f>F3*3</f>
        <v>42</v>
      </c>
      <c r="G5" s="17">
        <f t="shared" si="0"/>
        <v>69</v>
      </c>
      <c r="I5" t="s">
        <v>365</v>
      </c>
      <c r="J5" t="s">
        <v>366</v>
      </c>
      <c r="K5">
        <v>30</v>
      </c>
      <c r="L5" t="s">
        <v>367</v>
      </c>
    </row>
    <row r="6" spans="1:14" x14ac:dyDescent="0.15">
      <c r="A6" s="15" t="s">
        <v>28</v>
      </c>
      <c r="B6" s="16">
        <v>22</v>
      </c>
      <c r="C6" s="16">
        <v>93</v>
      </c>
      <c r="D6" s="17">
        <v>11</v>
      </c>
      <c r="E6" s="15">
        <f>E3*4</f>
        <v>48</v>
      </c>
      <c r="F6" s="16">
        <f>F3*4</f>
        <v>56</v>
      </c>
      <c r="G6" s="17">
        <f t="shared" si="0"/>
        <v>93</v>
      </c>
      <c r="I6" t="s">
        <v>368</v>
      </c>
      <c r="J6" t="s">
        <v>369</v>
      </c>
      <c r="K6">
        <v>29</v>
      </c>
      <c r="L6" t="s">
        <v>364</v>
      </c>
    </row>
    <row r="7" spans="1:14" x14ac:dyDescent="0.15">
      <c r="A7" s="15" t="s">
        <v>29</v>
      </c>
      <c r="B7" s="16">
        <v>29</v>
      </c>
      <c r="C7" s="16">
        <v>117</v>
      </c>
      <c r="D7" s="17">
        <v>15</v>
      </c>
      <c r="E7" s="15">
        <f>E3*5</f>
        <v>60</v>
      </c>
      <c r="F7" s="16">
        <f>F3*5</f>
        <v>70</v>
      </c>
      <c r="G7" s="17">
        <f t="shared" si="0"/>
        <v>117</v>
      </c>
      <c r="I7" t="s">
        <v>370</v>
      </c>
      <c r="J7" t="s">
        <v>141</v>
      </c>
      <c r="K7">
        <v>27</v>
      </c>
      <c r="L7" t="s">
        <v>371</v>
      </c>
      <c r="N7">
        <f>12*6*0.9</f>
        <v>64.8</v>
      </c>
    </row>
    <row r="8" spans="1:14" x14ac:dyDescent="0.15">
      <c r="A8" s="15" t="s">
        <v>30</v>
      </c>
      <c r="B8" s="16">
        <v>34</v>
      </c>
      <c r="C8" s="16">
        <v>139</v>
      </c>
      <c r="D8" s="17">
        <v>17</v>
      </c>
      <c r="E8" s="15">
        <f>E3*6</f>
        <v>72</v>
      </c>
      <c r="F8" s="16">
        <f>F3*6</f>
        <v>84</v>
      </c>
      <c r="G8" s="17">
        <f t="shared" si="0"/>
        <v>139</v>
      </c>
    </row>
    <row r="9" spans="1:14" x14ac:dyDescent="0.15">
      <c r="A9" s="18" t="s">
        <v>31</v>
      </c>
      <c r="B9" s="19">
        <v>40</v>
      </c>
      <c r="C9" s="19">
        <v>163</v>
      </c>
      <c r="D9" s="20">
        <v>20</v>
      </c>
      <c r="E9" s="18">
        <f>E3*7</f>
        <v>84</v>
      </c>
      <c r="F9" s="19">
        <f>F3*7</f>
        <v>98</v>
      </c>
      <c r="G9" s="20">
        <f>FLOOR(E9*0.9,1)+FLOOR(F9*0.9,1)</f>
        <v>163</v>
      </c>
      <c r="J9" t="s">
        <v>372</v>
      </c>
      <c r="K9" t="s">
        <v>48</v>
      </c>
    </row>
    <row r="10" spans="1:14" x14ac:dyDescent="0.15">
      <c r="A10" s="12" t="s">
        <v>373</v>
      </c>
      <c r="B10" s="13">
        <v>6</v>
      </c>
      <c r="C10" s="13">
        <v>23</v>
      </c>
      <c r="D10" s="14">
        <v>2</v>
      </c>
      <c r="E10" s="12">
        <f>E3</f>
        <v>12</v>
      </c>
      <c r="F10" s="13">
        <f>27-E10</f>
        <v>15</v>
      </c>
      <c r="G10" s="14">
        <f>FLOOR(E10*0.9,1)+FLOOR(F10*0.9,1)</f>
        <v>23</v>
      </c>
      <c r="I10" t="s">
        <v>374</v>
      </c>
      <c r="J10">
        <f>C3+90</f>
        <v>112</v>
      </c>
      <c r="K10">
        <f>47+12*6*0.9</f>
        <v>111.8</v>
      </c>
      <c r="M10">
        <f>FLOOR(12*(8-1)*0.9,1)+FLOOR(F3*0.9+F24*0.9-F3*0.9,1)</f>
        <v>90</v>
      </c>
    </row>
    <row r="11" spans="1:14" x14ac:dyDescent="0.15">
      <c r="A11" s="15" t="s">
        <v>375</v>
      </c>
      <c r="B11" s="16">
        <v>12</v>
      </c>
      <c r="C11" s="16">
        <v>48</v>
      </c>
      <c r="D11" s="17">
        <v>5</v>
      </c>
      <c r="E11" s="15">
        <f>E10*2</f>
        <v>24</v>
      </c>
      <c r="F11" s="16">
        <f>F10*2</f>
        <v>30</v>
      </c>
      <c r="G11" s="17">
        <f>FLOOR(E11*0.9,1)+FLOOR(F11*0.9,1)</f>
        <v>48</v>
      </c>
      <c r="I11" t="s">
        <v>376</v>
      </c>
      <c r="J11">
        <f>22+46+101</f>
        <v>169</v>
      </c>
      <c r="K11">
        <f>SUM(C3:C4)+C24+12*7*0.9</f>
        <v>168.60000000000002</v>
      </c>
      <c r="M11">
        <f>FLOOR(12*(11-3)*0.9,1)+FLOOR((F3*3+F24-F3*3)*0.9,1)</f>
        <v>101</v>
      </c>
    </row>
    <row r="12" spans="1:14" x14ac:dyDescent="0.15">
      <c r="A12" s="15" t="s">
        <v>377</v>
      </c>
      <c r="B12" s="16">
        <v>18</v>
      </c>
      <c r="C12" s="16">
        <v>72</v>
      </c>
      <c r="D12" s="17">
        <v>9</v>
      </c>
      <c r="E12" s="15">
        <f>E10*3</f>
        <v>36</v>
      </c>
      <c r="F12" s="16">
        <f>F10*3</f>
        <v>45</v>
      </c>
      <c r="G12" s="17">
        <f t="shared" ref="G12:G16" si="1">FLOOR(E12*0.9,1)+FLOOR(F12*0.9,1)</f>
        <v>72</v>
      </c>
      <c r="I12" t="s">
        <v>378</v>
      </c>
      <c r="J12">
        <f>SUM(C3:C5)+112</f>
        <v>249</v>
      </c>
      <c r="K12">
        <f>SUM(C3:C5)+C24+12*8*0.9</f>
        <v>248.4</v>
      </c>
      <c r="M12">
        <f>FLOOR(12*(15-6)*0.9,1)+FLOOR((F3*6+F24-F3*6)*0.9,1)</f>
        <v>112</v>
      </c>
    </row>
    <row r="13" spans="1:14" x14ac:dyDescent="0.15">
      <c r="A13" s="15" t="s">
        <v>379</v>
      </c>
      <c r="B13" s="16">
        <v>23</v>
      </c>
      <c r="C13" s="16">
        <v>97</v>
      </c>
      <c r="D13" s="17">
        <v>12</v>
      </c>
      <c r="E13" s="15">
        <f>E10*4</f>
        <v>48</v>
      </c>
      <c r="F13" s="16">
        <f>F10*4</f>
        <v>60</v>
      </c>
      <c r="G13" s="17">
        <f t="shared" si="1"/>
        <v>97</v>
      </c>
      <c r="I13" t="s">
        <v>380</v>
      </c>
      <c r="J13">
        <f>SUM(C3:C6)+123</f>
        <v>353</v>
      </c>
      <c r="K13">
        <f>SUM(C3:C6)+C24+12*9*0.9</f>
        <v>352.2</v>
      </c>
      <c r="M13">
        <f>FLOOR(12*(20-10)*0.9,1)+FLOOR(F3*10*0.9+F24*0.9-F3*10*0.9,1)</f>
        <v>123</v>
      </c>
    </row>
    <row r="14" spans="1:14" x14ac:dyDescent="0.15">
      <c r="A14" s="15" t="s">
        <v>381</v>
      </c>
      <c r="B14" s="16">
        <v>30</v>
      </c>
      <c r="C14" s="16">
        <v>121</v>
      </c>
      <c r="D14" s="17">
        <v>16</v>
      </c>
      <c r="E14" s="15">
        <f>E10*5</f>
        <v>60</v>
      </c>
      <c r="F14" s="16">
        <f>F10*5</f>
        <v>75</v>
      </c>
      <c r="G14" s="17">
        <f t="shared" si="1"/>
        <v>121</v>
      </c>
      <c r="I14" t="s">
        <v>382</v>
      </c>
      <c r="J14">
        <f>SUM(C3:C7)+133</f>
        <v>480</v>
      </c>
      <c r="K14">
        <f>SUM(C3:C7)+C24+12*10*0.9</f>
        <v>480</v>
      </c>
      <c r="M14">
        <f>FLOOR(12*(26-15)*0.9,1)+FLOOR(F3*15*0.9+F24*0.9-F3*15*0.9,1)</f>
        <v>133</v>
      </c>
    </row>
    <row r="15" spans="1:14" x14ac:dyDescent="0.15">
      <c r="A15" s="15" t="s">
        <v>383</v>
      </c>
      <c r="B15" s="16">
        <v>36</v>
      </c>
      <c r="C15" s="16">
        <v>145</v>
      </c>
      <c r="D15" s="17">
        <v>18</v>
      </c>
      <c r="E15" s="15">
        <f>E10*6</f>
        <v>72</v>
      </c>
      <c r="F15" s="16">
        <f>F10*6</f>
        <v>90</v>
      </c>
      <c r="G15" s="17">
        <f t="shared" si="1"/>
        <v>145</v>
      </c>
      <c r="I15" t="s">
        <v>384</v>
      </c>
      <c r="J15">
        <f>SUM(C3:C8)+144</f>
        <v>630</v>
      </c>
      <c r="K15">
        <f>SUM(C3:C8)+C24+12*11*0.9</f>
        <v>629.79999999999995</v>
      </c>
      <c r="M15">
        <f>FLOOR(12*(33-21)*0.9,1)+FLOOR(F3*21*0.9+F24*0.9-F3*21*0.9,1)</f>
        <v>144</v>
      </c>
    </row>
    <row r="16" spans="1:14" x14ac:dyDescent="0.15">
      <c r="A16" s="18" t="s">
        <v>385</v>
      </c>
      <c r="B16" s="19">
        <v>42</v>
      </c>
      <c r="C16" s="19">
        <v>169</v>
      </c>
      <c r="D16" s="20">
        <v>21</v>
      </c>
      <c r="E16" s="18">
        <f>E10*7</f>
        <v>84</v>
      </c>
      <c r="F16" s="19">
        <f>F10*7</f>
        <v>105</v>
      </c>
      <c r="G16" s="20">
        <f t="shared" si="1"/>
        <v>169</v>
      </c>
      <c r="I16" t="s">
        <v>386</v>
      </c>
      <c r="J16">
        <f>SUM(C3:C9)+155</f>
        <v>804</v>
      </c>
      <c r="K16">
        <f>SUM(C3:C9)+C24+12*12*0.9</f>
        <v>803.6</v>
      </c>
      <c r="M16">
        <f>FLOOR(12*(41-28)*0.9,1)+FLOOR(F3*28*0.9+F24*0.9-F3*28*0.9,1)</f>
        <v>155</v>
      </c>
    </row>
    <row r="17" spans="1:13" x14ac:dyDescent="0.15">
      <c r="A17" s="12" t="s">
        <v>387</v>
      </c>
      <c r="B17" s="13"/>
      <c r="C17" s="13"/>
      <c r="D17" s="14"/>
      <c r="E17" s="12"/>
      <c r="F17" s="13"/>
      <c r="G17" s="14"/>
      <c r="I17" t="s">
        <v>388</v>
      </c>
      <c r="J17">
        <f>J11+73</f>
        <v>242</v>
      </c>
      <c r="K17">
        <f>SUM(C3:C4)+SUM(C24:C25)+12*9*0.9</f>
        <v>241.2</v>
      </c>
      <c r="M17">
        <f>FLOOR(12*(15-11)*0.9,1)+FLOOR(((F3*3+F24*3)-(F3*3+F24))*0.9,1)</f>
        <v>73</v>
      </c>
    </row>
    <row r="18" spans="1:13" x14ac:dyDescent="0.15">
      <c r="A18" s="15" t="s">
        <v>389</v>
      </c>
      <c r="B18" s="16"/>
      <c r="C18" s="16"/>
      <c r="D18" s="17"/>
      <c r="E18" s="15"/>
      <c r="F18" s="16"/>
      <c r="G18" s="17"/>
      <c r="I18" t="s">
        <v>390</v>
      </c>
      <c r="J18">
        <f>J12+84</f>
        <v>333</v>
      </c>
      <c r="K18">
        <f>SUM(C3:C5)+SUM(C24:C25)+12*11*0.9</f>
        <v>331.8</v>
      </c>
      <c r="M18">
        <f>FLOOR(12*(20-15)*0.9,1)+FLOOR((F3*6+F24*3-(F3*6+F24))*0.9,1)</f>
        <v>84</v>
      </c>
    </row>
    <row r="19" spans="1:13" x14ac:dyDescent="0.15">
      <c r="A19" s="15" t="s">
        <v>391</v>
      </c>
      <c r="B19" s="16"/>
      <c r="C19" s="16"/>
      <c r="D19" s="17"/>
      <c r="E19" s="15"/>
      <c r="F19" s="16"/>
      <c r="G19" s="17"/>
      <c r="I19" t="s">
        <v>392</v>
      </c>
      <c r="J19">
        <f>J18+109</f>
        <v>442</v>
      </c>
      <c r="K19">
        <f>SUM(C3:C5)+SUM(C24:C26)+12*14*0.9</f>
        <v>441.20000000000005</v>
      </c>
      <c r="M19">
        <f>FLOOR(12*(26-20)*0.9,1)+FLOOR((F3*6+F24*6-(F3*6+F24*3))*0.9,1)</f>
        <v>109</v>
      </c>
    </row>
    <row r="20" spans="1:13" x14ac:dyDescent="0.15">
      <c r="A20" s="15" t="s">
        <v>393</v>
      </c>
      <c r="B20" s="16"/>
      <c r="C20" s="16"/>
      <c r="D20" s="17"/>
      <c r="E20" s="15"/>
      <c r="F20" s="16"/>
      <c r="G20" s="17"/>
    </row>
    <row r="21" spans="1:13" x14ac:dyDescent="0.15">
      <c r="A21" s="15" t="s">
        <v>394</v>
      </c>
      <c r="B21" s="16"/>
      <c r="C21" s="16"/>
      <c r="D21" s="17"/>
      <c r="E21" s="15"/>
      <c r="F21" s="16"/>
      <c r="G21" s="17"/>
      <c r="I21" t="s">
        <v>395</v>
      </c>
      <c r="J21">
        <f>J10+210</f>
        <v>322</v>
      </c>
      <c r="K21">
        <f>C3+C24+C31+12*23*0.9</f>
        <v>321.39999999999998</v>
      </c>
    </row>
    <row r="22" spans="1:13" x14ac:dyDescent="0.15">
      <c r="A22" s="15" t="s">
        <v>396</v>
      </c>
      <c r="B22" s="16"/>
      <c r="C22" s="16"/>
      <c r="D22" s="17"/>
      <c r="E22" s="15"/>
      <c r="F22" s="16"/>
      <c r="G22" s="17"/>
      <c r="I22" t="s">
        <v>397</v>
      </c>
      <c r="J22">
        <f>J11+221</f>
        <v>390</v>
      </c>
      <c r="K22">
        <f>SUM(C3:C4)+C24+C31+12*25*0.9</f>
        <v>389</v>
      </c>
    </row>
    <row r="23" spans="1:13" x14ac:dyDescent="0.15">
      <c r="A23" s="18" t="s">
        <v>398</v>
      </c>
      <c r="B23" s="19"/>
      <c r="C23" s="19"/>
      <c r="D23" s="20"/>
      <c r="E23" s="18"/>
      <c r="F23" s="19"/>
      <c r="G23" s="20"/>
      <c r="I23" t="s">
        <v>399</v>
      </c>
      <c r="J23">
        <f>J12+232</f>
        <v>481</v>
      </c>
      <c r="K23">
        <f>SUM(C3:C5)+C24+C31+12*27*0.9</f>
        <v>479.6</v>
      </c>
    </row>
    <row r="24" spans="1:13" x14ac:dyDescent="0.15">
      <c r="A24" s="12" t="s">
        <v>400</v>
      </c>
      <c r="B24" s="13">
        <v>7</v>
      </c>
      <c r="C24" s="13">
        <v>25</v>
      </c>
      <c r="D24" s="14">
        <v>3</v>
      </c>
      <c r="E24" s="12">
        <f>E3</f>
        <v>12</v>
      </c>
      <c r="F24" s="13">
        <f>29-E24</f>
        <v>17</v>
      </c>
      <c r="G24" s="14">
        <f t="shared" ref="G24:G37" si="2">FLOOR(E24*0.9,1)+FLOOR(F24*0.9,1)</f>
        <v>25</v>
      </c>
      <c r="I24" t="s">
        <v>401</v>
      </c>
      <c r="J24">
        <f>J18+242</f>
        <v>575</v>
      </c>
      <c r="K24">
        <f>SUM(C3:C5)+SUM(C24:C25)+SUM(C31)+12*31*0.9</f>
        <v>573.79999999999995</v>
      </c>
    </row>
    <row r="25" spans="1:13" x14ac:dyDescent="0.15">
      <c r="A25" s="15" t="s">
        <v>402</v>
      </c>
      <c r="B25" s="16">
        <v>13</v>
      </c>
      <c r="C25" s="16">
        <v>51</v>
      </c>
      <c r="D25" s="17">
        <v>6</v>
      </c>
      <c r="E25" s="15">
        <f>E24*2</f>
        <v>24</v>
      </c>
      <c r="F25" s="16">
        <f>F24*2</f>
        <v>34</v>
      </c>
      <c r="G25" s="17">
        <f t="shared" si="2"/>
        <v>51</v>
      </c>
      <c r="I25" t="s">
        <v>403</v>
      </c>
      <c r="J25">
        <f>J24+107</f>
        <v>682</v>
      </c>
      <c r="K25">
        <f>SUM(C3:C5)+SUM(C24:C25)+SUM(C31:C32)+12*36*0.9</f>
        <v>680.8</v>
      </c>
    </row>
    <row r="26" spans="1:13" x14ac:dyDescent="0.15">
      <c r="A26" s="15" t="s">
        <v>404</v>
      </c>
      <c r="B26" s="16">
        <v>19</v>
      </c>
      <c r="C26" s="16">
        <v>77</v>
      </c>
      <c r="D26" s="17">
        <v>10</v>
      </c>
      <c r="E26" s="15">
        <f>E24*3</f>
        <v>36</v>
      </c>
      <c r="F26" s="16">
        <f>F24*3</f>
        <v>51</v>
      </c>
      <c r="G26" s="17">
        <f t="shared" si="2"/>
        <v>77</v>
      </c>
      <c r="I26" t="s">
        <v>405</v>
      </c>
      <c r="J26">
        <f>J25+131</f>
        <v>813</v>
      </c>
      <c r="K26">
        <f>SUM(C3:C5)+SUM(C24:C26)+SUM(C31:C32)+12*41*0.9</f>
        <v>811.8</v>
      </c>
    </row>
    <row r="27" spans="1:13" x14ac:dyDescent="0.15">
      <c r="A27" s="15" t="s">
        <v>406</v>
      </c>
      <c r="B27" s="16">
        <v>25</v>
      </c>
      <c r="C27" s="16">
        <v>104</v>
      </c>
      <c r="D27" s="17">
        <v>13</v>
      </c>
      <c r="E27" s="15">
        <f>E24*4</f>
        <v>48</v>
      </c>
      <c r="F27" s="16">
        <f>F24*4</f>
        <v>68</v>
      </c>
      <c r="G27" s="17">
        <f t="shared" si="2"/>
        <v>104</v>
      </c>
      <c r="I27" t="s">
        <v>407</v>
      </c>
      <c r="J27">
        <f>J17+232</f>
        <v>474</v>
      </c>
      <c r="K27">
        <f>SUM(C3:C4)+SUM(C24:C25)+SUM(C31)+12*28*0.9</f>
        <v>472.40000000000003</v>
      </c>
    </row>
    <row r="28" spans="1:13" x14ac:dyDescent="0.15">
      <c r="A28" s="15" t="s">
        <v>408</v>
      </c>
      <c r="B28" s="16">
        <v>32</v>
      </c>
      <c r="C28" s="16">
        <v>130</v>
      </c>
      <c r="D28" s="17">
        <v>16</v>
      </c>
      <c r="E28" s="15">
        <f>E24*5</f>
        <v>60</v>
      </c>
      <c r="F28" s="16">
        <f>F24*5</f>
        <v>85</v>
      </c>
      <c r="G28" s="17">
        <f t="shared" si="2"/>
        <v>130</v>
      </c>
      <c r="I28" t="s">
        <v>409</v>
      </c>
      <c r="J28">
        <f>J27+96</f>
        <v>570</v>
      </c>
      <c r="K28">
        <f>SUM(C3:C4)+SUM(C24:C25)+SUM(C31:C32)+12*32*0.9</f>
        <v>568.6</v>
      </c>
    </row>
    <row r="29" spans="1:13" x14ac:dyDescent="0.15">
      <c r="A29" s="15" t="s">
        <v>410</v>
      </c>
      <c r="B29" s="16">
        <v>39</v>
      </c>
      <c r="C29" s="16">
        <v>155</v>
      </c>
      <c r="D29" s="17">
        <v>19</v>
      </c>
      <c r="E29" s="15">
        <f>E24*6</f>
        <v>72</v>
      </c>
      <c r="F29" s="16">
        <f>F24*6</f>
        <v>102</v>
      </c>
      <c r="G29" s="17">
        <f t="shared" si="2"/>
        <v>155</v>
      </c>
    </row>
    <row r="30" spans="1:13" x14ac:dyDescent="0.15">
      <c r="A30" s="18" t="s">
        <v>411</v>
      </c>
      <c r="B30" s="19">
        <v>45</v>
      </c>
      <c r="C30" s="19">
        <v>182</v>
      </c>
      <c r="D30" s="20">
        <v>22</v>
      </c>
      <c r="E30" s="18">
        <f>E24*7</f>
        <v>84</v>
      </c>
      <c r="F30" s="19">
        <f>F24*7</f>
        <v>119</v>
      </c>
      <c r="G30" s="20">
        <f t="shared" si="2"/>
        <v>182</v>
      </c>
      <c r="I30" t="s">
        <v>412</v>
      </c>
      <c r="J30">
        <f>J21+382</f>
        <v>704</v>
      </c>
      <c r="K30">
        <f>SUM(C3)+SUM(C24)+SUM(C31)+SUM(C24)+12*(50+6)*0.9</f>
        <v>702.80000000000007</v>
      </c>
    </row>
    <row r="31" spans="1:13" x14ac:dyDescent="0.15">
      <c r="A31" s="12" t="s">
        <v>413</v>
      </c>
      <c r="B31" s="13">
        <v>7</v>
      </c>
      <c r="C31" s="13">
        <v>26</v>
      </c>
      <c r="D31" s="14">
        <v>3</v>
      </c>
      <c r="E31" s="12">
        <f>E3</f>
        <v>12</v>
      </c>
      <c r="F31" s="13">
        <f>30-E31</f>
        <v>18</v>
      </c>
      <c r="G31" s="14">
        <f t="shared" si="2"/>
        <v>26</v>
      </c>
      <c r="I31" t="s">
        <v>414</v>
      </c>
      <c r="J31">
        <f>J22+393</f>
        <v>783</v>
      </c>
      <c r="K31">
        <f>SUM(C3:C4)+SUM(C24)+SUM(C31)+SUM(C24)+12*(50+9)*0.9</f>
        <v>781.2</v>
      </c>
    </row>
    <row r="32" spans="1:13" x14ac:dyDescent="0.15">
      <c r="A32" s="15" t="s">
        <v>39</v>
      </c>
      <c r="B32" s="16">
        <v>13</v>
      </c>
      <c r="C32" s="16">
        <v>53</v>
      </c>
      <c r="D32" s="17">
        <v>6</v>
      </c>
      <c r="E32" s="15">
        <f>E31*2</f>
        <v>24</v>
      </c>
      <c r="F32" s="16">
        <f>F31*2</f>
        <v>36</v>
      </c>
      <c r="G32" s="17">
        <f t="shared" si="2"/>
        <v>53</v>
      </c>
      <c r="I32" t="s">
        <v>415</v>
      </c>
      <c r="J32">
        <f>J27+403</f>
        <v>877</v>
      </c>
    </row>
    <row r="33" spans="1:10" x14ac:dyDescent="0.15">
      <c r="A33" s="15" t="s">
        <v>40</v>
      </c>
      <c r="B33" s="16">
        <v>20</v>
      </c>
      <c r="C33" s="16">
        <v>80</v>
      </c>
      <c r="D33" s="17">
        <v>10</v>
      </c>
      <c r="E33" s="15">
        <f>E31*3</f>
        <v>36</v>
      </c>
      <c r="F33" s="16">
        <f>F31*3</f>
        <v>54</v>
      </c>
      <c r="G33" s="17">
        <f t="shared" si="2"/>
        <v>80</v>
      </c>
      <c r="I33" t="s">
        <v>416</v>
      </c>
      <c r="J33">
        <f>J24+414</f>
        <v>989</v>
      </c>
    </row>
    <row r="34" spans="1:10" x14ac:dyDescent="0.15">
      <c r="A34" s="15" t="s">
        <v>41</v>
      </c>
      <c r="B34" s="16">
        <v>26</v>
      </c>
      <c r="C34" s="16">
        <v>107</v>
      </c>
      <c r="D34" s="17">
        <v>13</v>
      </c>
      <c r="E34" s="15">
        <f>E31*4</f>
        <v>48</v>
      </c>
      <c r="F34" s="16">
        <f>F31*4</f>
        <v>72</v>
      </c>
      <c r="G34" s="17">
        <f t="shared" si="2"/>
        <v>107</v>
      </c>
    </row>
    <row r="35" spans="1:10" x14ac:dyDescent="0.15">
      <c r="A35" s="15" t="s">
        <v>42</v>
      </c>
      <c r="B35" s="16">
        <v>33</v>
      </c>
      <c r="C35" s="16">
        <v>135</v>
      </c>
      <c r="D35" s="17">
        <v>17</v>
      </c>
      <c r="E35" s="15">
        <f>E31*5</f>
        <v>60</v>
      </c>
      <c r="F35" s="16">
        <f>F31*5</f>
        <v>90</v>
      </c>
      <c r="G35" s="17">
        <f t="shared" si="2"/>
        <v>135</v>
      </c>
      <c r="I35" t="s">
        <v>417</v>
      </c>
      <c r="J35">
        <f>J30+607</f>
        <v>1311</v>
      </c>
    </row>
    <row r="36" spans="1:10" x14ac:dyDescent="0.15">
      <c r="A36" s="15" t="s">
        <v>43</v>
      </c>
      <c r="B36" s="16">
        <v>40</v>
      </c>
      <c r="C36" s="16">
        <v>161</v>
      </c>
      <c r="D36" s="17">
        <v>20</v>
      </c>
      <c r="E36" s="15">
        <f>E31*6</f>
        <v>72</v>
      </c>
      <c r="F36" s="16">
        <f>F31*6</f>
        <v>108</v>
      </c>
      <c r="G36" s="17">
        <f t="shared" si="2"/>
        <v>161</v>
      </c>
      <c r="I36" t="s">
        <v>418</v>
      </c>
      <c r="J36">
        <f>J31+617</f>
        <v>1400</v>
      </c>
    </row>
    <row r="37" spans="1:10" x14ac:dyDescent="0.15">
      <c r="A37" s="18" t="s">
        <v>44</v>
      </c>
      <c r="B37" s="19">
        <v>46</v>
      </c>
      <c r="C37" s="19">
        <v>188</v>
      </c>
      <c r="D37" s="20">
        <v>23</v>
      </c>
      <c r="E37" s="18">
        <f>E31*7</f>
        <v>84</v>
      </c>
      <c r="F37" s="19">
        <f>F31*7</f>
        <v>126</v>
      </c>
      <c r="G37" s="20">
        <f t="shared" si="2"/>
        <v>188</v>
      </c>
      <c r="I37" t="s">
        <v>419</v>
      </c>
      <c r="J37">
        <f>J32+628</f>
        <v>1505</v>
      </c>
    </row>
    <row r="38" spans="1:10" x14ac:dyDescent="0.15">
      <c r="A38" s="12" t="s">
        <v>420</v>
      </c>
      <c r="B38" s="13">
        <v>7</v>
      </c>
      <c r="C38" s="13">
        <v>27</v>
      </c>
      <c r="D38" s="14">
        <v>3</v>
      </c>
      <c r="E38" s="12">
        <f>E3</f>
        <v>12</v>
      </c>
      <c r="F38" s="13">
        <f>31-E38</f>
        <v>19</v>
      </c>
      <c r="G38" s="14">
        <f>FLOOR(E38*0.9,1)+FLOOR(F38*0.9,1)</f>
        <v>27</v>
      </c>
    </row>
    <row r="39" spans="1:10" x14ac:dyDescent="0.15">
      <c r="A39" s="15" t="s">
        <v>421</v>
      </c>
      <c r="B39" s="16">
        <v>14</v>
      </c>
      <c r="C39" s="16">
        <v>55</v>
      </c>
      <c r="D39" s="17">
        <v>6</v>
      </c>
      <c r="E39" s="15">
        <f>E38*2</f>
        <v>24</v>
      </c>
      <c r="F39" s="16">
        <f>F38*2</f>
        <v>38</v>
      </c>
      <c r="G39" s="17">
        <f>FLOOR(E39*0.9,1)+FLOOR(F39*0.9,1)</f>
        <v>55</v>
      </c>
    </row>
    <row r="40" spans="1:10" x14ac:dyDescent="0.15">
      <c r="A40" s="15" t="s">
        <v>422</v>
      </c>
      <c r="B40" s="16">
        <v>21</v>
      </c>
      <c r="C40" s="16">
        <v>83</v>
      </c>
      <c r="D40" s="17">
        <v>11</v>
      </c>
      <c r="E40" s="15">
        <f>E38*3</f>
        <v>36</v>
      </c>
      <c r="F40" s="16">
        <f>F38*3</f>
        <v>57</v>
      </c>
      <c r="G40" s="17">
        <f t="shared" ref="G40:G44" si="3">FLOOR(E40*0.9,1)+FLOOR(F40*0.9,1)</f>
        <v>83</v>
      </c>
    </row>
    <row r="41" spans="1:10" x14ac:dyDescent="0.15">
      <c r="A41" s="15" t="s">
        <v>423</v>
      </c>
      <c r="B41" s="16">
        <v>27</v>
      </c>
      <c r="C41" s="16">
        <v>111</v>
      </c>
      <c r="D41" s="17">
        <v>14</v>
      </c>
      <c r="E41" s="15">
        <f>E38*4</f>
        <v>48</v>
      </c>
      <c r="F41" s="16">
        <f>F38*4</f>
        <v>76</v>
      </c>
      <c r="G41" s="17">
        <f t="shared" si="3"/>
        <v>111</v>
      </c>
    </row>
    <row r="42" spans="1:10" x14ac:dyDescent="0.15">
      <c r="A42" s="15" t="s">
        <v>424</v>
      </c>
      <c r="B42" s="16">
        <v>34</v>
      </c>
      <c r="C42" s="16">
        <v>139</v>
      </c>
      <c r="D42" s="17">
        <v>17</v>
      </c>
      <c r="E42" s="15">
        <f>E38*5</f>
        <v>60</v>
      </c>
      <c r="F42" s="16">
        <f>F38*5</f>
        <v>95</v>
      </c>
      <c r="G42" s="17">
        <f t="shared" si="3"/>
        <v>139</v>
      </c>
    </row>
    <row r="43" spans="1:10" x14ac:dyDescent="0.15">
      <c r="A43" s="15" t="s">
        <v>425</v>
      </c>
      <c r="B43" s="16">
        <v>42</v>
      </c>
      <c r="C43" s="16">
        <v>166</v>
      </c>
      <c r="D43" s="17">
        <v>21</v>
      </c>
      <c r="E43" s="15">
        <f>E38*6</f>
        <v>72</v>
      </c>
      <c r="F43" s="16">
        <f>F38*6</f>
        <v>114</v>
      </c>
      <c r="G43" s="17">
        <f t="shared" si="3"/>
        <v>166</v>
      </c>
    </row>
    <row r="44" spans="1:10" x14ac:dyDescent="0.15">
      <c r="A44" s="18" t="s">
        <v>426</v>
      </c>
      <c r="B44" s="19">
        <v>48</v>
      </c>
      <c r="C44" s="19">
        <v>194</v>
      </c>
      <c r="D44" s="20">
        <v>24</v>
      </c>
      <c r="E44" s="18">
        <f>E38*7</f>
        <v>84</v>
      </c>
      <c r="F44" s="19">
        <f>F38*7</f>
        <v>133</v>
      </c>
      <c r="G44" s="20">
        <f t="shared" si="3"/>
        <v>194</v>
      </c>
    </row>
    <row r="45" spans="1:10" x14ac:dyDescent="0.15">
      <c r="A45" s="12" t="s">
        <v>427</v>
      </c>
      <c r="B45" s="13">
        <v>7</v>
      </c>
      <c r="C45" s="13">
        <v>28</v>
      </c>
      <c r="D45" s="14">
        <v>3</v>
      </c>
      <c r="E45" s="12"/>
      <c r="F45" s="13"/>
      <c r="G45" s="14"/>
    </row>
    <row r="46" spans="1:10" x14ac:dyDescent="0.15">
      <c r="A46" s="15" t="s">
        <v>428</v>
      </c>
      <c r="B46" s="16">
        <v>14</v>
      </c>
      <c r="C46" s="16">
        <v>57</v>
      </c>
      <c r="D46" s="17">
        <v>6</v>
      </c>
      <c r="E46" s="15"/>
      <c r="F46" s="16"/>
      <c r="G46" s="17"/>
    </row>
    <row r="47" spans="1:10" x14ac:dyDescent="0.15">
      <c r="A47" s="15" t="s">
        <v>429</v>
      </c>
      <c r="B47" s="16">
        <v>21</v>
      </c>
      <c r="C47" s="16">
        <v>86</v>
      </c>
      <c r="D47" s="17">
        <v>11</v>
      </c>
      <c r="E47" s="15"/>
      <c r="F47" s="16"/>
      <c r="G47" s="17"/>
    </row>
    <row r="48" spans="1:10" x14ac:dyDescent="0.15">
      <c r="A48" s="15" t="s">
        <v>430</v>
      </c>
      <c r="B48" s="16">
        <v>28</v>
      </c>
      <c r="C48" s="16">
        <v>115</v>
      </c>
      <c r="D48" s="17">
        <v>14</v>
      </c>
      <c r="E48" s="15"/>
      <c r="F48" s="16"/>
      <c r="G48" s="17"/>
    </row>
    <row r="49" spans="1:7" x14ac:dyDescent="0.15">
      <c r="A49" s="15" t="s">
        <v>431</v>
      </c>
      <c r="B49" s="16">
        <v>35</v>
      </c>
      <c r="C49" s="16">
        <v>144</v>
      </c>
      <c r="D49" s="17">
        <v>18</v>
      </c>
      <c r="E49" s="15"/>
      <c r="F49" s="16"/>
      <c r="G49" s="17"/>
    </row>
    <row r="50" spans="1:7" x14ac:dyDescent="0.15">
      <c r="A50" s="15" t="s">
        <v>432</v>
      </c>
      <c r="B50" s="16">
        <v>43</v>
      </c>
      <c r="C50" s="16">
        <v>172</v>
      </c>
      <c r="D50" s="17">
        <v>21</v>
      </c>
      <c r="E50" s="15"/>
      <c r="F50" s="16"/>
      <c r="G50" s="17"/>
    </row>
    <row r="51" spans="1:7" x14ac:dyDescent="0.15">
      <c r="A51" s="18" t="s">
        <v>433</v>
      </c>
      <c r="B51" s="19">
        <v>49</v>
      </c>
      <c r="C51" s="19">
        <v>201</v>
      </c>
      <c r="D51" s="20">
        <v>25</v>
      </c>
      <c r="E51" s="18"/>
      <c r="F51" s="19"/>
      <c r="G51" s="20"/>
    </row>
    <row r="52" spans="1:7" x14ac:dyDescent="0.15">
      <c r="A52" t="s">
        <v>434</v>
      </c>
    </row>
    <row r="53" spans="1:7" x14ac:dyDescent="0.15">
      <c r="A53" t="s">
        <v>435</v>
      </c>
    </row>
    <row r="54" spans="1:7" x14ac:dyDescent="0.15">
      <c r="A54" t="s">
        <v>436</v>
      </c>
    </row>
    <row r="55" spans="1:7" x14ac:dyDescent="0.15">
      <c r="A55" t="s">
        <v>437</v>
      </c>
    </row>
    <row r="56" spans="1:7" x14ac:dyDescent="0.15">
      <c r="A56" t="s">
        <v>438</v>
      </c>
    </row>
    <row r="57" spans="1:7" x14ac:dyDescent="0.15">
      <c r="A57" t="s">
        <v>439</v>
      </c>
    </row>
    <row r="58" spans="1:7" x14ac:dyDescent="0.15">
      <c r="A58" t="s">
        <v>440</v>
      </c>
    </row>
  </sheetData>
  <mergeCells count="2">
    <mergeCell ref="A1:D1"/>
    <mergeCell ref="E1:G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7" sqref="G27"/>
    </sheetView>
  </sheetViews>
  <sheetFormatPr defaultRowHeight="13.5" x14ac:dyDescent="0.15"/>
  <cols>
    <col min="1" max="1" width="8.375" bestFit="1" customWidth="1"/>
  </cols>
  <sheetData>
    <row r="1" spans="1:11" x14ac:dyDescent="0.15">
      <c r="B1" t="s">
        <v>11</v>
      </c>
      <c r="C1" t="s">
        <v>1</v>
      </c>
      <c r="D1" t="s">
        <v>2</v>
      </c>
      <c r="E1" t="s">
        <v>3</v>
      </c>
      <c r="F1" t="s">
        <v>12</v>
      </c>
      <c r="K1" t="s">
        <v>49</v>
      </c>
    </row>
    <row r="2" spans="1:11" x14ac:dyDescent="0.15">
      <c r="A2" s="1"/>
      <c r="B2" s="1" t="s">
        <v>0</v>
      </c>
      <c r="C2">
        <v>8</v>
      </c>
      <c r="D2">
        <v>26</v>
      </c>
      <c r="E2">
        <v>4</v>
      </c>
      <c r="F2" t="s">
        <v>13</v>
      </c>
      <c r="K2">
        <f>D2-12</f>
        <v>14</v>
      </c>
    </row>
    <row r="3" spans="1:11" x14ac:dyDescent="0.15">
      <c r="A3" s="1"/>
      <c r="B3" s="1" t="s">
        <v>4</v>
      </c>
      <c r="C3">
        <v>8</v>
      </c>
      <c r="D3">
        <v>27</v>
      </c>
      <c r="E3">
        <v>4</v>
      </c>
      <c r="F3" t="s">
        <v>14</v>
      </c>
      <c r="K3">
        <f t="shared" ref="K3:K9" si="0">D3-12</f>
        <v>15</v>
      </c>
    </row>
    <row r="4" spans="1:11" x14ac:dyDescent="0.15">
      <c r="A4" s="1"/>
      <c r="B4" s="1" t="s">
        <v>5</v>
      </c>
      <c r="C4">
        <v>8</v>
      </c>
      <c r="D4">
        <v>28</v>
      </c>
      <c r="E4">
        <v>4</v>
      </c>
      <c r="K4">
        <f t="shared" si="0"/>
        <v>16</v>
      </c>
    </row>
    <row r="5" spans="1:11" x14ac:dyDescent="0.15">
      <c r="A5" s="1"/>
      <c r="B5" s="1" t="s">
        <v>6</v>
      </c>
      <c r="C5">
        <v>9</v>
      </c>
      <c r="D5">
        <v>29</v>
      </c>
      <c r="E5">
        <v>5</v>
      </c>
      <c r="F5" t="s">
        <v>15</v>
      </c>
      <c r="K5">
        <f t="shared" si="0"/>
        <v>17</v>
      </c>
    </row>
    <row r="6" spans="1:11" x14ac:dyDescent="0.15">
      <c r="A6" s="1"/>
      <c r="B6" s="1" t="s">
        <v>7</v>
      </c>
      <c r="C6">
        <v>9</v>
      </c>
      <c r="D6">
        <v>30</v>
      </c>
      <c r="E6">
        <v>5</v>
      </c>
      <c r="F6" t="s">
        <v>16</v>
      </c>
      <c r="K6">
        <f t="shared" si="0"/>
        <v>18</v>
      </c>
    </row>
    <row r="7" spans="1:11" x14ac:dyDescent="0.15">
      <c r="A7" s="1"/>
      <c r="B7" s="1" t="s">
        <v>8</v>
      </c>
      <c r="C7">
        <v>9</v>
      </c>
      <c r="D7">
        <v>31</v>
      </c>
      <c r="E7">
        <v>5</v>
      </c>
      <c r="F7" t="s">
        <v>17</v>
      </c>
      <c r="K7">
        <f t="shared" si="0"/>
        <v>19</v>
      </c>
    </row>
    <row r="8" spans="1:11" x14ac:dyDescent="0.15">
      <c r="A8" s="1"/>
      <c r="B8" s="1" t="s">
        <v>9</v>
      </c>
      <c r="C8">
        <v>9</v>
      </c>
      <c r="D8">
        <v>32</v>
      </c>
      <c r="E8">
        <v>5</v>
      </c>
      <c r="F8" t="s">
        <v>18</v>
      </c>
      <c r="K8">
        <f t="shared" si="0"/>
        <v>20</v>
      </c>
    </row>
    <row r="9" spans="1:11" x14ac:dyDescent="0.15">
      <c r="A9" s="1"/>
      <c r="B9" s="1" t="s">
        <v>10</v>
      </c>
      <c r="C9">
        <v>10</v>
      </c>
      <c r="D9">
        <v>33</v>
      </c>
      <c r="E9">
        <v>5</v>
      </c>
      <c r="F9" t="s">
        <v>19</v>
      </c>
      <c r="K9">
        <f t="shared" si="0"/>
        <v>21</v>
      </c>
    </row>
    <row r="11" spans="1:11" x14ac:dyDescent="0.15">
      <c r="C11" s="2" t="s">
        <v>47</v>
      </c>
      <c r="D11" s="2"/>
      <c r="E11" s="2"/>
      <c r="F11" s="2" t="s">
        <v>48</v>
      </c>
      <c r="G11" s="2"/>
      <c r="H11" s="2"/>
    </row>
    <row r="12" spans="1:11" x14ac:dyDescent="0.15">
      <c r="A12" t="s">
        <v>20</v>
      </c>
      <c r="B12" t="s">
        <v>21</v>
      </c>
      <c r="C12" t="s">
        <v>1</v>
      </c>
      <c r="D12" t="s">
        <v>2</v>
      </c>
      <c r="E12" t="s">
        <v>3</v>
      </c>
      <c r="F12" t="s">
        <v>1</v>
      </c>
      <c r="G12" t="s">
        <v>2</v>
      </c>
      <c r="H12" t="s">
        <v>3</v>
      </c>
    </row>
    <row r="13" spans="1:11" x14ac:dyDescent="0.15">
      <c r="A13" t="s">
        <v>22</v>
      </c>
      <c r="B13" t="s">
        <v>23</v>
      </c>
    </row>
    <row r="14" spans="1:11" x14ac:dyDescent="0.15">
      <c r="A14" t="s">
        <v>24</v>
      </c>
      <c r="B14" t="s">
        <v>25</v>
      </c>
    </row>
    <row r="15" spans="1:11" x14ac:dyDescent="0.15">
      <c r="A15" t="s">
        <v>27</v>
      </c>
      <c r="B15" t="s">
        <v>26</v>
      </c>
    </row>
    <row r="16" spans="1:11" x14ac:dyDescent="0.15">
      <c r="A16" t="s">
        <v>28</v>
      </c>
      <c r="B16" t="s">
        <v>32</v>
      </c>
    </row>
    <row r="17" spans="1:7" x14ac:dyDescent="0.15">
      <c r="A17" t="s">
        <v>29</v>
      </c>
      <c r="B17" t="s">
        <v>33</v>
      </c>
    </row>
    <row r="18" spans="1:7" x14ac:dyDescent="0.15">
      <c r="A18" t="s">
        <v>30</v>
      </c>
      <c r="B18" t="s">
        <v>34</v>
      </c>
    </row>
    <row r="19" spans="1:7" x14ac:dyDescent="0.15">
      <c r="A19" t="s">
        <v>31</v>
      </c>
      <c r="B19" t="s">
        <v>35</v>
      </c>
    </row>
    <row r="20" spans="1:7" x14ac:dyDescent="0.15">
      <c r="A20" t="s">
        <v>23</v>
      </c>
      <c r="B20" t="s">
        <v>36</v>
      </c>
    </row>
    <row r="21" spans="1:7" x14ac:dyDescent="0.15">
      <c r="A21" t="s">
        <v>23</v>
      </c>
      <c r="B21" t="s">
        <v>37</v>
      </c>
    </row>
    <row r="27" spans="1:7" x14ac:dyDescent="0.15">
      <c r="A27" s="1" t="s">
        <v>38</v>
      </c>
      <c r="B27" s="1" t="s">
        <v>46</v>
      </c>
      <c r="C27">
        <v>25</v>
      </c>
      <c r="D27">
        <v>98</v>
      </c>
      <c r="E27">
        <v>13</v>
      </c>
      <c r="G27">
        <f>FLOOR((8-1)*12,1)+FLOOR(($K$6+$K$2-$K$6),1)</f>
        <v>98</v>
      </c>
    </row>
    <row r="28" spans="1:7" x14ac:dyDescent="0.15">
      <c r="A28" s="1" t="s">
        <v>39</v>
      </c>
      <c r="B28" s="1" t="s">
        <v>50</v>
      </c>
      <c r="C28">
        <v>28</v>
      </c>
      <c r="D28">
        <v>110</v>
      </c>
      <c r="E28">
        <v>15</v>
      </c>
      <c r="G28">
        <f>FLOOR((11-3)*12,1)+FLOOR(($K$6*3+$K$2-$K$6*3),1)</f>
        <v>110</v>
      </c>
    </row>
    <row r="29" spans="1:7" x14ac:dyDescent="0.15">
      <c r="A29" s="1" t="s">
        <v>40</v>
      </c>
      <c r="B29" s="1" t="s">
        <v>51</v>
      </c>
      <c r="C29">
        <v>31</v>
      </c>
      <c r="D29">
        <v>122</v>
      </c>
      <c r="E29">
        <v>16</v>
      </c>
      <c r="G29">
        <f>FLOOR((15-6)*12,1)+FLOOR(($K$6*6+$K$2-$K$6*6),1)</f>
        <v>122</v>
      </c>
    </row>
    <row r="30" spans="1:7" x14ac:dyDescent="0.15">
      <c r="A30" s="1" t="s">
        <v>41</v>
      </c>
      <c r="B30" s="1" t="s">
        <v>52</v>
      </c>
      <c r="C30">
        <v>34</v>
      </c>
      <c r="D30">
        <v>134</v>
      </c>
      <c r="E30">
        <v>18</v>
      </c>
    </row>
    <row r="31" spans="1:7" x14ac:dyDescent="0.15">
      <c r="A31" s="1" t="s">
        <v>42</v>
      </c>
      <c r="B31" s="1" t="s">
        <v>53</v>
      </c>
      <c r="C31">
        <v>37</v>
      </c>
      <c r="D31">
        <v>146</v>
      </c>
      <c r="E31">
        <v>19</v>
      </c>
    </row>
    <row r="32" spans="1:7" x14ac:dyDescent="0.15">
      <c r="A32" s="1" t="s">
        <v>43</v>
      </c>
      <c r="B32" s="1" t="s">
        <v>54</v>
      </c>
      <c r="C32">
        <v>40</v>
      </c>
      <c r="D32">
        <v>158</v>
      </c>
      <c r="E32">
        <v>21</v>
      </c>
    </row>
    <row r="33" spans="1:5" x14ac:dyDescent="0.15">
      <c r="A33" s="1" t="s">
        <v>44</v>
      </c>
      <c r="B33" s="1" t="s">
        <v>55</v>
      </c>
      <c r="C33">
        <v>43</v>
      </c>
      <c r="D33">
        <v>170</v>
      </c>
      <c r="E33">
        <v>22</v>
      </c>
    </row>
  </sheetData>
  <mergeCells count="2">
    <mergeCell ref="C11:E11"/>
    <mergeCell ref="F11:H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9" workbookViewId="0">
      <selection activeCell="I21" sqref="I21"/>
    </sheetView>
  </sheetViews>
  <sheetFormatPr defaultRowHeight="13.5" x14ac:dyDescent="0.15"/>
  <sheetData>
    <row r="1" spans="1:13" x14ac:dyDescent="0.15">
      <c r="B1" t="s">
        <v>11</v>
      </c>
      <c r="C1" t="s">
        <v>1</v>
      </c>
      <c r="D1" t="s">
        <v>2</v>
      </c>
      <c r="E1" t="s">
        <v>3</v>
      </c>
      <c r="F1" t="s">
        <v>12</v>
      </c>
      <c r="K1" t="s">
        <v>49</v>
      </c>
      <c r="M1" t="s">
        <v>85</v>
      </c>
    </row>
    <row r="2" spans="1:13" x14ac:dyDescent="0.15">
      <c r="A2" s="1"/>
      <c r="B2" s="1" t="s">
        <v>0</v>
      </c>
      <c r="C2">
        <v>8</v>
      </c>
      <c r="D2">
        <v>26</v>
      </c>
      <c r="E2">
        <v>4</v>
      </c>
      <c r="F2" t="s">
        <v>13</v>
      </c>
      <c r="K2">
        <f>D2-12</f>
        <v>14</v>
      </c>
      <c r="M2">
        <v>0.88</v>
      </c>
    </row>
    <row r="3" spans="1:13" x14ac:dyDescent="0.15">
      <c r="A3" s="1"/>
      <c r="B3" s="1" t="s">
        <v>4</v>
      </c>
      <c r="C3">
        <v>8</v>
      </c>
      <c r="D3">
        <v>27</v>
      </c>
      <c r="E3">
        <v>4</v>
      </c>
      <c r="F3" t="s">
        <v>14</v>
      </c>
      <c r="K3">
        <f t="shared" ref="K3:K9" si="0">D3-12</f>
        <v>15</v>
      </c>
    </row>
    <row r="4" spans="1:13" x14ac:dyDescent="0.15">
      <c r="A4" s="1"/>
      <c r="B4" s="1" t="s">
        <v>5</v>
      </c>
      <c r="C4">
        <v>8</v>
      </c>
      <c r="D4">
        <v>28</v>
      </c>
      <c r="E4">
        <v>4</v>
      </c>
      <c r="K4">
        <f t="shared" si="0"/>
        <v>16</v>
      </c>
    </row>
    <row r="5" spans="1:13" x14ac:dyDescent="0.15">
      <c r="A5" s="1"/>
      <c r="B5" s="1" t="s">
        <v>6</v>
      </c>
      <c r="C5">
        <v>9</v>
      </c>
      <c r="D5">
        <v>29</v>
      </c>
      <c r="E5">
        <v>5</v>
      </c>
      <c r="F5" t="s">
        <v>15</v>
      </c>
      <c r="K5">
        <f t="shared" si="0"/>
        <v>17</v>
      </c>
    </row>
    <row r="6" spans="1:13" x14ac:dyDescent="0.15">
      <c r="A6" s="1"/>
      <c r="B6" s="1" t="s">
        <v>7</v>
      </c>
      <c r="C6">
        <v>9</v>
      </c>
      <c r="D6">
        <v>30</v>
      </c>
      <c r="E6">
        <v>5</v>
      </c>
      <c r="F6" t="s">
        <v>16</v>
      </c>
      <c r="K6">
        <f t="shared" si="0"/>
        <v>18</v>
      </c>
    </row>
    <row r="7" spans="1:13" x14ac:dyDescent="0.15">
      <c r="A7" s="1"/>
      <c r="B7" s="1" t="s">
        <v>8</v>
      </c>
      <c r="C7">
        <v>9</v>
      </c>
      <c r="D7">
        <v>31</v>
      </c>
      <c r="E7">
        <v>5</v>
      </c>
      <c r="F7" t="s">
        <v>17</v>
      </c>
      <c r="K7">
        <f t="shared" si="0"/>
        <v>19</v>
      </c>
    </row>
    <row r="8" spans="1:13" x14ac:dyDescent="0.15">
      <c r="A8" s="1"/>
      <c r="B8" s="1" t="s">
        <v>9</v>
      </c>
      <c r="C8">
        <v>9</v>
      </c>
      <c r="D8">
        <v>32</v>
      </c>
      <c r="E8">
        <v>5</v>
      </c>
      <c r="F8" t="s">
        <v>18</v>
      </c>
      <c r="K8">
        <f t="shared" si="0"/>
        <v>20</v>
      </c>
    </row>
    <row r="9" spans="1:13" x14ac:dyDescent="0.15">
      <c r="A9" s="1"/>
      <c r="B9" s="1" t="s">
        <v>10</v>
      </c>
      <c r="C9">
        <v>10</v>
      </c>
      <c r="D9">
        <v>33</v>
      </c>
      <c r="E9">
        <v>5</v>
      </c>
      <c r="F9" t="s">
        <v>19</v>
      </c>
      <c r="K9">
        <f t="shared" si="0"/>
        <v>21</v>
      </c>
    </row>
    <row r="12" spans="1:13" x14ac:dyDescent="0.15">
      <c r="C12" s="2" t="s">
        <v>47</v>
      </c>
      <c r="D12" s="2"/>
      <c r="E12" s="2"/>
      <c r="F12" s="2" t="s">
        <v>48</v>
      </c>
      <c r="G12" s="2"/>
      <c r="H12" s="2"/>
    </row>
    <row r="13" spans="1:13" x14ac:dyDescent="0.15">
      <c r="A13" t="s">
        <v>20</v>
      </c>
      <c r="B13" t="s">
        <v>21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3</v>
      </c>
    </row>
    <row r="14" spans="1:13" x14ac:dyDescent="0.15">
      <c r="A14" s="1" t="s">
        <v>38</v>
      </c>
      <c r="B14" s="1" t="s">
        <v>62</v>
      </c>
      <c r="C14">
        <v>24</v>
      </c>
      <c r="D14">
        <v>94</v>
      </c>
      <c r="E14">
        <v>12</v>
      </c>
      <c r="G14">
        <f>FLOOR((7-1)*12+12*$M$2,1)+FLOOR(($K$6+$K$2*$M$2-$K$6),1)</f>
        <v>94</v>
      </c>
    </row>
    <row r="15" spans="1:13" x14ac:dyDescent="0.15">
      <c r="A15" s="1" t="s">
        <v>39</v>
      </c>
      <c r="B15" s="1" t="s">
        <v>50</v>
      </c>
      <c r="C15">
        <v>27</v>
      </c>
      <c r="D15">
        <v>106</v>
      </c>
      <c r="E15">
        <v>14</v>
      </c>
      <c r="G15">
        <f>FLOOR((10-3)*12+12*$M$2,1)+FLOOR(($K$6*3+$K$2*$M$2-$K$6*3),1)</f>
        <v>106</v>
      </c>
    </row>
    <row r="16" spans="1:13" x14ac:dyDescent="0.15">
      <c r="A16" s="1" t="s">
        <v>40</v>
      </c>
      <c r="B16" s="1" t="s">
        <v>51</v>
      </c>
      <c r="C16">
        <v>30</v>
      </c>
      <c r="D16">
        <v>118</v>
      </c>
      <c r="E16">
        <v>15</v>
      </c>
    </row>
    <row r="17" spans="1:7" x14ac:dyDescent="0.15">
      <c r="A17" s="1" t="s">
        <v>41</v>
      </c>
      <c r="B17" s="1" t="s">
        <v>52</v>
      </c>
      <c r="C17">
        <v>33</v>
      </c>
      <c r="D17">
        <v>130</v>
      </c>
      <c r="E17">
        <v>17</v>
      </c>
    </row>
    <row r="18" spans="1:7" x14ac:dyDescent="0.15">
      <c r="A18" s="1" t="s">
        <v>42</v>
      </c>
      <c r="B18" s="1" t="s">
        <v>53</v>
      </c>
      <c r="C18">
        <v>36</v>
      </c>
      <c r="D18">
        <v>142</v>
      </c>
      <c r="E18">
        <v>18</v>
      </c>
    </row>
    <row r="19" spans="1:7" x14ac:dyDescent="0.15">
      <c r="A19" s="1" t="s">
        <v>43</v>
      </c>
      <c r="B19" s="1" t="s">
        <v>54</v>
      </c>
      <c r="C19">
        <v>39</v>
      </c>
      <c r="D19">
        <v>154</v>
      </c>
      <c r="E19">
        <v>20</v>
      </c>
    </row>
    <row r="20" spans="1:7" x14ac:dyDescent="0.15">
      <c r="A20" s="1" t="s">
        <v>44</v>
      </c>
      <c r="B20" s="1" t="s">
        <v>55</v>
      </c>
      <c r="C20">
        <v>42</v>
      </c>
      <c r="D20">
        <v>186</v>
      </c>
      <c r="E20">
        <v>21</v>
      </c>
    </row>
    <row r="21" spans="1:7" x14ac:dyDescent="0.15">
      <c r="A21" s="1" t="s">
        <v>45</v>
      </c>
      <c r="B21" s="1" t="s">
        <v>63</v>
      </c>
      <c r="C21">
        <v>14</v>
      </c>
      <c r="D21">
        <v>57</v>
      </c>
      <c r="E21">
        <v>8</v>
      </c>
      <c r="G21">
        <f>FLOOR(((7+3*$M$2+1)-(6+$M$2+1))*12,1)+FLOOR(($K$6+$K$2*3*$M$2-($K$6+$K$2*$M$2)),1)</f>
        <v>57</v>
      </c>
    </row>
    <row r="22" spans="1:7" x14ac:dyDescent="0.15">
      <c r="A22" s="1" t="s">
        <v>63</v>
      </c>
      <c r="B22" s="1" t="s">
        <v>64</v>
      </c>
      <c r="C22">
        <v>20</v>
      </c>
      <c r="D22">
        <v>79</v>
      </c>
      <c r="E22">
        <v>10</v>
      </c>
    </row>
    <row r="23" spans="1:7" x14ac:dyDescent="0.15">
      <c r="A23" s="1" t="s">
        <v>64</v>
      </c>
      <c r="B23" s="1" t="s">
        <v>65</v>
      </c>
      <c r="C23">
        <v>25</v>
      </c>
      <c r="D23">
        <v>102</v>
      </c>
      <c r="E23">
        <v>13</v>
      </c>
    </row>
    <row r="24" spans="1:7" x14ac:dyDescent="0.15">
      <c r="A24" s="1" t="s">
        <v>65</v>
      </c>
      <c r="B24" s="1" t="s">
        <v>66</v>
      </c>
      <c r="C24">
        <v>31</v>
      </c>
      <c r="D24">
        <v>124</v>
      </c>
      <c r="E24">
        <v>15</v>
      </c>
    </row>
    <row r="25" spans="1:7" x14ac:dyDescent="0.15">
      <c r="A25" s="1" t="s">
        <v>66</v>
      </c>
      <c r="B25" s="1" t="s">
        <v>67</v>
      </c>
      <c r="C25">
        <v>36</v>
      </c>
      <c r="D25">
        <v>147</v>
      </c>
      <c r="E25">
        <v>19</v>
      </c>
    </row>
    <row r="26" spans="1:7" x14ac:dyDescent="0.15">
      <c r="A26" s="1" t="s">
        <v>67</v>
      </c>
      <c r="B26" s="1" t="s">
        <v>68</v>
      </c>
      <c r="C26">
        <v>42</v>
      </c>
      <c r="D26">
        <v>169</v>
      </c>
      <c r="E26">
        <v>21</v>
      </c>
    </row>
    <row r="27" spans="1:7" x14ac:dyDescent="0.15">
      <c r="A27" s="1" t="s">
        <v>50</v>
      </c>
      <c r="B27" s="1" t="s">
        <v>56</v>
      </c>
      <c r="C27">
        <v>17</v>
      </c>
      <c r="D27">
        <v>69</v>
      </c>
      <c r="E27">
        <v>9</v>
      </c>
    </row>
    <row r="28" spans="1:7" x14ac:dyDescent="0.15">
      <c r="A28" s="1" t="s">
        <v>61</v>
      </c>
      <c r="B28" s="1" t="s">
        <v>57</v>
      </c>
      <c r="C28">
        <v>23</v>
      </c>
      <c r="D28">
        <v>91</v>
      </c>
      <c r="E28">
        <v>12</v>
      </c>
    </row>
    <row r="29" spans="1:7" x14ac:dyDescent="0.15">
      <c r="A29" s="1" t="s">
        <v>57</v>
      </c>
      <c r="B29" s="1" t="s">
        <v>58</v>
      </c>
      <c r="C29">
        <v>28</v>
      </c>
      <c r="D29">
        <v>114</v>
      </c>
      <c r="E29">
        <v>14</v>
      </c>
    </row>
    <row r="30" spans="1:7" x14ac:dyDescent="0.15">
      <c r="A30" s="1" t="s">
        <v>58</v>
      </c>
      <c r="B30" s="1" t="s">
        <v>59</v>
      </c>
      <c r="C30">
        <v>34</v>
      </c>
      <c r="D30">
        <v>136</v>
      </c>
      <c r="E30">
        <v>17</v>
      </c>
    </row>
    <row r="31" spans="1:7" x14ac:dyDescent="0.15">
      <c r="A31" s="1" t="s">
        <v>59</v>
      </c>
      <c r="B31" s="1" t="s">
        <v>60</v>
      </c>
      <c r="C31">
        <v>39</v>
      </c>
      <c r="D31">
        <v>159</v>
      </c>
      <c r="E31">
        <v>20</v>
      </c>
    </row>
    <row r="32" spans="1:7" x14ac:dyDescent="0.15">
      <c r="A32" s="1" t="s">
        <v>60</v>
      </c>
      <c r="B32" s="1" t="s">
        <v>69</v>
      </c>
      <c r="C32">
        <v>45</v>
      </c>
      <c r="D32">
        <v>181</v>
      </c>
      <c r="E32">
        <v>23</v>
      </c>
    </row>
    <row r="33" spans="1:7" x14ac:dyDescent="0.15">
      <c r="A33" s="1" t="s">
        <v>38</v>
      </c>
      <c r="B33" s="1" t="s">
        <v>70</v>
      </c>
      <c r="C33">
        <v>26</v>
      </c>
      <c r="D33">
        <v>101</v>
      </c>
      <c r="E33">
        <v>14</v>
      </c>
    </row>
    <row r="34" spans="1:7" x14ac:dyDescent="0.15">
      <c r="A34" s="1" t="s">
        <v>70</v>
      </c>
      <c r="B34" s="1" t="s">
        <v>71</v>
      </c>
      <c r="C34">
        <v>18</v>
      </c>
      <c r="D34">
        <v>70</v>
      </c>
      <c r="E34">
        <v>10</v>
      </c>
    </row>
    <row r="35" spans="1:7" x14ac:dyDescent="0.15">
      <c r="A35" s="1" t="s">
        <v>71</v>
      </c>
      <c r="B35" s="1" t="s">
        <v>72</v>
      </c>
      <c r="C35">
        <v>25</v>
      </c>
      <c r="D35">
        <v>99</v>
      </c>
      <c r="E35">
        <v>13</v>
      </c>
    </row>
    <row r="36" spans="1:7" x14ac:dyDescent="0.15">
      <c r="A36" s="1" t="s">
        <v>72</v>
      </c>
      <c r="B36" s="1" t="s">
        <v>73</v>
      </c>
      <c r="C36">
        <v>32</v>
      </c>
      <c r="D36">
        <v>128</v>
      </c>
      <c r="E36">
        <v>17</v>
      </c>
    </row>
    <row r="37" spans="1:7" x14ac:dyDescent="0.15">
      <c r="A37" s="1" t="s">
        <v>73</v>
      </c>
      <c r="B37" s="1" t="s">
        <v>74</v>
      </c>
      <c r="C37">
        <v>40</v>
      </c>
      <c r="D37">
        <v>157</v>
      </c>
      <c r="E37">
        <v>20</v>
      </c>
    </row>
    <row r="38" spans="1:7" x14ac:dyDescent="0.15">
      <c r="A38" s="1" t="s">
        <v>74</v>
      </c>
      <c r="B38" s="1" t="s">
        <v>75</v>
      </c>
      <c r="C38">
        <v>47</v>
      </c>
      <c r="D38">
        <v>186</v>
      </c>
      <c r="E38">
        <v>24</v>
      </c>
    </row>
    <row r="39" spans="1:7" x14ac:dyDescent="0.15">
      <c r="A39" s="1" t="s">
        <v>75</v>
      </c>
      <c r="B39" s="1" t="s">
        <v>76</v>
      </c>
      <c r="C39">
        <v>54</v>
      </c>
      <c r="D39">
        <v>215</v>
      </c>
      <c r="E39">
        <v>27</v>
      </c>
    </row>
    <row r="40" spans="1:7" x14ac:dyDescent="0.15">
      <c r="A40" s="1" t="s">
        <v>70</v>
      </c>
      <c r="B40" s="1" t="s">
        <v>77</v>
      </c>
      <c r="C40">
        <v>57</v>
      </c>
      <c r="D40">
        <v>226</v>
      </c>
      <c r="E40">
        <v>29</v>
      </c>
      <c r="G40">
        <f>FLOOR((25+$M$2-(8))*12,1)+FLOOR((($K$6+$K$5+$K$2*$M$2)-($K$6+$K$5)),1)</f>
        <v>226</v>
      </c>
    </row>
    <row r="41" spans="1:7" x14ac:dyDescent="0.15">
      <c r="A41" s="1" t="s">
        <v>77</v>
      </c>
      <c r="B41" s="1" t="s">
        <v>79</v>
      </c>
      <c r="C41">
        <v>17</v>
      </c>
      <c r="D41">
        <v>69</v>
      </c>
      <c r="E41">
        <v>9</v>
      </c>
      <c r="G41">
        <f>FLOOR((27+3*$M$2-(25+$M$2))*12,1)+FLOOR((($K$6+$K$5+$K$2*3*$M$2)-($K$6+$K$5+$K$2*$M$2)),1)</f>
        <v>69</v>
      </c>
    </row>
    <row r="42" spans="1:7" x14ac:dyDescent="0.15">
      <c r="A42" s="1" t="s">
        <v>78</v>
      </c>
      <c r="B42" s="1" t="s">
        <v>80</v>
      </c>
      <c r="C42">
        <v>23</v>
      </c>
      <c r="D42">
        <v>91</v>
      </c>
      <c r="E42">
        <v>12</v>
      </c>
      <c r="G42">
        <f>FLOOR(((29+6*$M$2)-(27+3*$M$2))*12,1)+FLOOR((($K$6+$K$5+$K$2*6*$M$2)-($K$6+$K$5+$K$2*3*$M$2)),1)</f>
        <v>91</v>
      </c>
    </row>
    <row r="43" spans="1:7" x14ac:dyDescent="0.15">
      <c r="A43" s="1" t="s">
        <v>80</v>
      </c>
      <c r="B43" s="1" t="s">
        <v>81</v>
      </c>
      <c r="C43">
        <v>28</v>
      </c>
      <c r="D43">
        <v>114</v>
      </c>
      <c r="E43">
        <v>14</v>
      </c>
      <c r="G43">
        <f>FLOOR(((31+10*$M$2)-(29+6*$M$2))*12,1)+FLOOR((($K$6+$K$5+$K$2*10*$M$2)-($K$6+$K$5+$K$2*6*$M$2)),1)</f>
        <v>115</v>
      </c>
    </row>
    <row r="44" spans="1:7" x14ac:dyDescent="0.15">
      <c r="A44" s="1" t="s">
        <v>81</v>
      </c>
      <c r="B44" s="1" t="s">
        <v>82</v>
      </c>
      <c r="C44">
        <v>34</v>
      </c>
      <c r="D44">
        <v>136</v>
      </c>
      <c r="E44">
        <v>17</v>
      </c>
      <c r="G44">
        <f>FLOOR(((33+15*$M$2)-(31+10*$M$2))*12,1)+FLOOR((($K$6+$K$5+$K$2*15*$M$2)-($K$6+$K$5+$K$2*10*$M$2)),1)</f>
        <v>137</v>
      </c>
    </row>
    <row r="45" spans="1:7" x14ac:dyDescent="0.15">
      <c r="A45" s="1" t="s">
        <v>82</v>
      </c>
      <c r="B45" s="1" t="s">
        <v>83</v>
      </c>
      <c r="C45">
        <v>39</v>
      </c>
      <c r="D45">
        <v>159</v>
      </c>
      <c r="E45">
        <v>20</v>
      </c>
    </row>
    <row r="46" spans="1:7" x14ac:dyDescent="0.15">
      <c r="A46" s="1" t="s">
        <v>83</v>
      </c>
      <c r="B46" s="1" t="s">
        <v>84</v>
      </c>
      <c r="C46">
        <v>45</v>
      </c>
      <c r="D46">
        <v>181</v>
      </c>
      <c r="E46">
        <v>23</v>
      </c>
    </row>
  </sheetData>
  <mergeCells count="2">
    <mergeCell ref="C12:E12"/>
    <mergeCell ref="F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投手能力</vt:lpstr>
      <vt:lpstr>センス○</vt:lpstr>
      <vt:lpstr>変化球経験点</vt:lpstr>
      <vt:lpstr>スライダーコツLv5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</dc:creator>
  <cp:lastModifiedBy>subaru</cp:lastModifiedBy>
  <dcterms:created xsi:type="dcterms:W3CDTF">2017-01-29T09:55:58Z</dcterms:created>
  <dcterms:modified xsi:type="dcterms:W3CDTF">2017-05-15T12:58:05Z</dcterms:modified>
</cp:coreProperties>
</file>